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showInkAnnotation="0" codeName="ThisWorkbook" defaultThemeVersion="124226"/>
  <mc:AlternateContent xmlns:mc="http://schemas.openxmlformats.org/markup-compatibility/2006">
    <mc:Choice Requires="x15">
      <x15ac:absPath xmlns:x15ac="http://schemas.microsoft.com/office/spreadsheetml/2010/11/ac" url="https://edenhousinginc-my.sharepoint.com/personal/kate_blessing-kawamura_edenhousing_org/Documents/DTLMU Santa Cruz/4% 2024 Round 1/"/>
    </mc:Choice>
  </mc:AlternateContent>
  <xr:revisionPtr revIDLastSave="1" documentId="13_ncr:1_{3F779B30-3F60-B04F-AD04-24A68E344DFC}" xr6:coauthVersionLast="47" xr6:coauthVersionMax="47" xr10:uidLastSave="{2A92C05C-F5F9-4EBC-9D24-6F672D5CE813}"/>
  <bookViews>
    <workbookView xWindow="-120" yWindow="-120" windowWidth="29040" windowHeight="15840"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alcMode="manual"/>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448" i="3" l="1"/>
  <c r="G34" i="4"/>
  <c r="G30" i="4"/>
  <c r="E30" i="4" s="1"/>
  <c r="S45" i="4"/>
  <c r="S53" i="4"/>
  <c r="S49" i="4"/>
  <c r="S34" i="4"/>
  <c r="E34" i="4"/>
  <c r="J30" i="4"/>
  <c r="AO640" i="3"/>
  <c r="C45" i="4"/>
  <c r="C49" i="4"/>
  <c r="Q627" i="3"/>
  <c r="AM560" i="3"/>
  <c r="E41" i="7" l="1"/>
  <c r="AF1026" i="3" l="1"/>
  <c r="E13" i="4" l="1"/>
  <c r="E10" i="4"/>
  <c r="E6" i="4"/>
  <c r="E5" i="4"/>
  <c r="E4" i="4"/>
  <c r="E29" i="4"/>
  <c r="E36" i="4"/>
  <c r="E35" i="4"/>
  <c r="E33" i="4"/>
  <c r="E32" i="4"/>
  <c r="E31" i="4"/>
  <c r="E43" i="4"/>
  <c r="E40" i="4"/>
  <c r="E46" i="4"/>
  <c r="E45" i="4"/>
  <c r="E53" i="4"/>
  <c r="E52" i="4"/>
  <c r="E51" i="4"/>
  <c r="E50" i="4"/>
  <c r="E49" i="4"/>
  <c r="E56" i="4"/>
  <c r="E58" i="4"/>
  <c r="E61" i="4"/>
  <c r="E65" i="4"/>
  <c r="E74" i="4"/>
  <c r="E75" i="4"/>
  <c r="E79" i="4"/>
  <c r="E80" i="4"/>
  <c r="E94" i="4"/>
  <c r="E93" i="4"/>
  <c r="E92" i="4"/>
  <c r="E90" i="4"/>
  <c r="E89" i="4"/>
  <c r="E88" i="4"/>
  <c r="E85" i="4"/>
  <c r="E86" i="4"/>
  <c r="E83" i="4"/>
  <c r="E37" i="4"/>
  <c r="I30" i="4"/>
  <c r="H30" i="4"/>
  <c r="F30" i="4"/>
  <c r="S94" i="4"/>
  <c r="C53" i="4"/>
  <c r="C65" i="4"/>
  <c r="S93" i="4"/>
  <c r="C61" i="4"/>
  <c r="S52" i="4"/>
  <c r="S51" i="4"/>
  <c r="S80" i="4"/>
  <c r="S99" i="4"/>
  <c r="S89" i="4"/>
  <c r="S50" i="4"/>
  <c r="S35" i="4"/>
  <c r="S36" i="4"/>
  <c r="S86" i="4"/>
  <c r="S85" i="4"/>
  <c r="S92" i="4"/>
  <c r="S43" i="4"/>
  <c r="S40" i="4"/>
  <c r="S79" i="4"/>
  <c r="C37" i="4"/>
  <c r="S37" i="4" s="1"/>
  <c r="S31" i="4"/>
  <c r="C32" i="4"/>
  <c r="S32" i="4" s="1"/>
  <c r="S29" i="4"/>
  <c r="S30" i="4"/>
  <c r="S13" i="4"/>
  <c r="C33" i="4" l="1"/>
  <c r="S33" i="4" s="1"/>
  <c r="AA949" i="3"/>
  <c r="AA948" i="3"/>
  <c r="I949" i="3"/>
  <c r="I948" i="3"/>
  <c r="I947" i="3"/>
  <c r="AA930" i="3"/>
  <c r="AA917" i="3"/>
  <c r="AA918" i="3"/>
  <c r="AF628" i="3" l="1"/>
  <c r="T627" i="3" l="1"/>
  <c r="AF627" i="3" s="1"/>
  <c r="AO629" i="3"/>
  <c r="AO630" i="3"/>
  <c r="AO632" i="3"/>
  <c r="K99" i="4" s="1"/>
  <c r="E99" i="4" s="1"/>
  <c r="K733" i="3" l="1"/>
  <c r="K728" i="3"/>
  <c r="K723" i="3"/>
  <c r="K719" i="3"/>
  <c r="K720" i="3" s="1"/>
  <c r="K721" i="3" s="1"/>
  <c r="M957" i="3"/>
  <c r="K729" i="3" l="1"/>
  <c r="K724" i="3"/>
  <c r="K734" i="3"/>
  <c r="Q629" i="3"/>
  <c r="Q630" i="3"/>
  <c r="Q631" i="3"/>
  <c r="Q628" i="3"/>
  <c r="K735" i="3" l="1"/>
  <c r="K725" i="3"/>
  <c r="K730" i="3"/>
  <c r="L65" i="21"/>
  <c r="K731" i="3" l="1"/>
  <c r="K726" i="3"/>
  <c r="K736" i="3"/>
  <c r="BQ98" i="27"/>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l="1"/>
  <c r="AX679" i="20"/>
  <c r="AX678" i="20"/>
  <c r="AJ714"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19" i="8"/>
  <c r="I19" i="8"/>
  <c r="J17" i="8"/>
  <c r="I17" i="8"/>
  <c r="J16" i="8"/>
  <c r="I16" i="8"/>
  <c r="J14" i="8"/>
  <c r="I14" i="8"/>
  <c r="J12" i="8"/>
  <c r="I12" i="8"/>
  <c r="J11" i="8"/>
  <c r="I11" i="8"/>
  <c r="J9" i="8"/>
  <c r="I9" i="8"/>
  <c r="J7" i="8"/>
  <c r="I7" i="8"/>
  <c r="J6" i="8"/>
  <c r="I6" i="8"/>
  <c r="J5" i="8"/>
  <c r="I5" i="8"/>
  <c r="J4" i="8"/>
  <c r="I4" i="8"/>
  <c r="AH750" i="3"/>
  <c r="AH749" i="3"/>
  <c r="AH748" i="3"/>
  <c r="AH747" i="3"/>
  <c r="AH746" i="3"/>
  <c r="AH745" i="3"/>
  <c r="AH744" i="3"/>
  <c r="AH743" i="3"/>
  <c r="AH741" i="3"/>
  <c r="AH740" i="3"/>
  <c r="AH739" i="3"/>
  <c r="AH738" i="3"/>
  <c r="AH737"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T22" i="15" l="1"/>
  <c r="AJ169" i="20"/>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5" i="3"/>
  <c r="AF1020" i="3"/>
  <c r="AB212" i="3"/>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CS649" i="3" s="1"/>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2"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M37" i="21"/>
  <c r="M38" i="21"/>
  <c r="M39" i="21"/>
  <c r="S39" i="21" s="1"/>
  <c r="M40" i="21"/>
  <c r="S40" i="21" s="1"/>
  <c r="M41" i="21"/>
  <c r="Q41" i="21" s="1" a="1"/>
  <c r="Q41" i="21" s="1"/>
  <c r="M42" i="21"/>
  <c r="Q42" i="21" s="1" a="1"/>
  <c r="Q42" i="21" s="1"/>
  <c r="M43" i="21"/>
  <c r="S43" i="21" s="1"/>
  <c r="M44" i="21"/>
  <c r="S44" i="21" s="1"/>
  <c r="L62" i="21"/>
  <c r="G67" i="21" s="1"/>
  <c r="L63" i="21"/>
  <c r="L64" i="21"/>
  <c r="L66" i="21"/>
  <c r="L67" i="21"/>
  <c r="L68" i="21"/>
  <c r="L69"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D32" i="11" s="1"/>
  <c r="C33" i="11"/>
  <c r="D33" i="11" s="1"/>
  <c r="C34" i="11"/>
  <c r="D34" i="11" s="1"/>
  <c r="C35" i="11"/>
  <c r="C36" i="11"/>
  <c r="D36" i="11" s="1"/>
  <c r="C37" i="11"/>
  <c r="C38" i="11"/>
  <c r="B31" i="11"/>
  <c r="B32" i="11"/>
  <c r="B33" i="11"/>
  <c r="B34" i="11"/>
  <c r="B35" i="11"/>
  <c r="B36" i="11"/>
  <c r="B37" i="11"/>
  <c r="B38" i="11"/>
  <c r="C24" i="11"/>
  <c r="C25" i="11"/>
  <c r="C26" i="11"/>
  <c r="C27" i="11" s="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c r="K57" i="7"/>
  <c r="M57" i="7" s="1"/>
  <c r="O57" i="7" s="1"/>
  <c r="Q57" i="7" s="1"/>
  <c r="S57" i="7" s="1"/>
  <c r="U57" i="7" s="1"/>
  <c r="W57" i="7" s="1"/>
  <c r="Y57" i="7" s="1"/>
  <c r="AA57" i="7" s="1"/>
  <c r="AC57" i="7" s="1"/>
  <c r="AE57" i="7" s="1"/>
  <c r="AG57" i="7" s="1"/>
  <c r="G53" i="7"/>
  <c r="I53" i="7" s="1"/>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D80" i="11" s="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AD23" i="15" s="1"/>
  <c r="AD26"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8" i="4" s="1"/>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104" i="4" s="1"/>
  <c r="R95" i="4"/>
  <c r="R94" i="4"/>
  <c r="R93" i="4"/>
  <c r="R92" i="4"/>
  <c r="R90" i="4"/>
  <c r="R89" i="4"/>
  <c r="R88" i="4"/>
  <c r="R87" i="4"/>
  <c r="R86" i="4"/>
  <c r="R85" i="4"/>
  <c r="R83" i="4"/>
  <c r="R76" i="4"/>
  <c r="R75" i="4"/>
  <c r="R72" i="4"/>
  <c r="R73" i="4"/>
  <c r="R74" i="4"/>
  <c r="R77" i="4" s="1"/>
  <c r="R69" i="4"/>
  <c r="R65" i="4"/>
  <c r="R70" i="4" s="1"/>
  <c r="R61" i="4"/>
  <c r="R60" i="4"/>
  <c r="R59" i="4"/>
  <c r="R58" i="4"/>
  <c r="R57" i="4"/>
  <c r="R56" i="4"/>
  <c r="R62" i="4" s="1"/>
  <c r="R53" i="4"/>
  <c r="R52" i="4"/>
  <c r="R51" i="4"/>
  <c r="R50" i="4"/>
  <c r="R49" i="4"/>
  <c r="R48" i="4"/>
  <c r="R47" i="4"/>
  <c r="R46" i="4"/>
  <c r="R45" i="4"/>
  <c r="R54" i="4" s="1"/>
  <c r="R43" i="4"/>
  <c r="R41" i="4"/>
  <c r="R40" i="4"/>
  <c r="R37" i="4"/>
  <c r="R35" i="4"/>
  <c r="R34" i="4"/>
  <c r="R33" i="4"/>
  <c r="R32" i="4"/>
  <c r="R31" i="4"/>
  <c r="R30" i="4"/>
  <c r="R29" i="4"/>
  <c r="R27" i="4"/>
  <c r="R25" i="4"/>
  <c r="R23" i="4"/>
  <c r="R22" i="4"/>
  <c r="R21" i="4"/>
  <c r="R20" i="4"/>
  <c r="R19" i="4"/>
  <c r="R18" i="4"/>
  <c r="R17" i="4"/>
  <c r="R15" i="4"/>
  <c r="R14" i="4"/>
  <c r="R13" i="4"/>
  <c r="R9" i="4"/>
  <c r="R11" i="4"/>
  <c r="R7" i="4"/>
  <c r="R6" i="4"/>
  <c r="R5" i="4"/>
  <c r="R4" i="4"/>
  <c r="B5" i="11"/>
  <c r="C5" i="11"/>
  <c r="C9" i="11" s="1"/>
  <c r="B6" i="11"/>
  <c r="C6" i="11"/>
  <c r="D6" i="11" s="1"/>
  <c r="B7" i="11"/>
  <c r="C7" i="11"/>
  <c r="C8" i="11"/>
  <c r="B8" i="11"/>
  <c r="B10" i="11"/>
  <c r="B11" i="11"/>
  <c r="C10" i="11"/>
  <c r="C11" i="11"/>
  <c r="D11" i="11" s="1"/>
  <c r="B14" i="11"/>
  <c r="C14" i="11"/>
  <c r="B15" i="11"/>
  <c r="C15" i="11"/>
  <c r="B16" i="11"/>
  <c r="C16" i="11"/>
  <c r="B18" i="11"/>
  <c r="C18" i="11"/>
  <c r="B19" i="11"/>
  <c r="C19" i="11"/>
  <c r="B20" i="11"/>
  <c r="C20" i="11"/>
  <c r="B21" i="11"/>
  <c r="C21" i="11"/>
  <c r="B22" i="11"/>
  <c r="C22" i="11"/>
  <c r="B23" i="11"/>
  <c r="C23" i="11"/>
  <c r="B24" i="11"/>
  <c r="B28" i="11"/>
  <c r="C28" i="11"/>
  <c r="B30" i="11"/>
  <c r="C30" i="11"/>
  <c r="D30" i="11"/>
  <c r="B41" i="11"/>
  <c r="C41" i="11"/>
  <c r="D41" i="11" s="1"/>
  <c r="C42" i="11"/>
  <c r="B42" i="11"/>
  <c r="B44" i="11"/>
  <c r="D44" i="11" s="1"/>
  <c r="C44" i="11"/>
  <c r="B46" i="11"/>
  <c r="C46" i="11"/>
  <c r="B47" i="11"/>
  <c r="B55" i="11" s="1"/>
  <c r="C47" i="11"/>
  <c r="B48" i="11"/>
  <c r="B49" i="11"/>
  <c r="B50" i="11"/>
  <c r="B51" i="11"/>
  <c r="B52" i="11"/>
  <c r="B53" i="11"/>
  <c r="C48" i="11"/>
  <c r="C49" i="11"/>
  <c r="C50" i="11"/>
  <c r="D50" i="11" s="1"/>
  <c r="C51" i="11"/>
  <c r="C52" i="11"/>
  <c r="C53" i="11"/>
  <c r="B57" i="11"/>
  <c r="C57" i="11"/>
  <c r="B58" i="11"/>
  <c r="C58" i="11"/>
  <c r="B59" i="11"/>
  <c r="B63" i="11" s="1"/>
  <c r="C59" i="11"/>
  <c r="D59" i="11" s="1"/>
  <c r="B60" i="11"/>
  <c r="C60" i="11"/>
  <c r="B61" i="11"/>
  <c r="C61" i="11"/>
  <c r="B62" i="11"/>
  <c r="C62" i="11"/>
  <c r="B66" i="11"/>
  <c r="C66" i="11"/>
  <c r="C71" i="11" s="1"/>
  <c r="D71" i="11" s="1"/>
  <c r="B73" i="11"/>
  <c r="C73" i="11"/>
  <c r="B74" i="11"/>
  <c r="C74" i="11"/>
  <c r="B75" i="11"/>
  <c r="B78" i="11" s="1"/>
  <c r="C75" i="11"/>
  <c r="D75" i="11" s="1"/>
  <c r="B76" i="11"/>
  <c r="C76" i="11"/>
  <c r="D76" i="11" s="1"/>
  <c r="B77" i="11"/>
  <c r="C77" i="11"/>
  <c r="B84" i="11"/>
  <c r="C84" i="11"/>
  <c r="D84" i="11" s="1"/>
  <c r="B100" i="11"/>
  <c r="B105" i="11" s="1"/>
  <c r="C100" i="11"/>
  <c r="A4" i="8"/>
  <c r="D4" i="8"/>
  <c r="A5" i="8"/>
  <c r="D5" i="8"/>
  <c r="A6" i="8"/>
  <c r="D6" i="8"/>
  <c r="A7" i="8"/>
  <c r="D7" i="8"/>
  <c r="A8" i="8"/>
  <c r="D8" i="8"/>
  <c r="I8" i="8" s="1"/>
  <c r="J8" i="8" s="1"/>
  <c r="A9" i="8"/>
  <c r="D9" i="8"/>
  <c r="A10" i="8"/>
  <c r="D10" i="8"/>
  <c r="I10" i="8" s="1"/>
  <c r="J10" i="8" s="1"/>
  <c r="A11" i="8"/>
  <c r="D11" i="8"/>
  <c r="A12" i="8"/>
  <c r="D12" i="8"/>
  <c r="A13" i="8"/>
  <c r="D13" i="8"/>
  <c r="I13" i="8" s="1"/>
  <c r="A14" i="8"/>
  <c r="D14" i="8"/>
  <c r="A15" i="8"/>
  <c r="D15" i="8"/>
  <c r="I15" i="8" s="1"/>
  <c r="J15" i="8" s="1"/>
  <c r="A16" i="8"/>
  <c r="D16" i="8"/>
  <c r="A17" i="8"/>
  <c r="D17" i="8"/>
  <c r="A18" i="8"/>
  <c r="D18" i="8"/>
  <c r="I18" i="8" s="1"/>
  <c r="J18" i="8" s="1"/>
  <c r="A19" i="8"/>
  <c r="D19" i="8"/>
  <c r="A20" i="8"/>
  <c r="D20" i="8"/>
  <c r="I20" i="8" s="1"/>
  <c r="J20" i="8" s="1"/>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C11" i="4"/>
  <c r="B26" i="13"/>
  <c r="C38" i="4"/>
  <c r="B38" i="4" s="1"/>
  <c r="C54" i="4"/>
  <c r="B54" i="4" s="1"/>
  <c r="C62" i="4"/>
  <c r="B62" i="4" s="1"/>
  <c r="B62" i="13"/>
  <c r="C77" i="4"/>
  <c r="B77" i="4" s="1"/>
  <c r="C96" i="4"/>
  <c r="B96" i="13" s="1"/>
  <c r="B104" i="13"/>
  <c r="D8" i="4"/>
  <c r="D11" i="4"/>
  <c r="D26" i="4"/>
  <c r="D38" i="4"/>
  <c r="D42" i="4"/>
  <c r="D54" i="4"/>
  <c r="D62" i="4"/>
  <c r="D77" i="4"/>
  <c r="D96" i="4"/>
  <c r="D104" i="4"/>
  <c r="B104" i="4"/>
  <c r="E26" i="13"/>
  <c r="S38" i="4"/>
  <c r="E38" i="13" s="1"/>
  <c r="S42" i="4"/>
  <c r="E42" i="13"/>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63" i="4" s="1"/>
  <c r="J97" i="4" s="1"/>
  <c r="J105" i="4" s="1"/>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H63" i="4" s="1"/>
  <c r="H97" i="4" s="1"/>
  <c r="H105" i="4" s="1"/>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86" i="27" s="1"/>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K105" i="4" s="1"/>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AH718" i="3" s="1"/>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AH719" i="3" s="1"/>
  <c r="X720" i="3"/>
  <c r="X721" i="3"/>
  <c r="AH721" i="3" s="1"/>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D49" i="11"/>
  <c r="I63" i="13"/>
  <c r="I97" i="13"/>
  <c r="I105" i="13"/>
  <c r="I107" i="13"/>
  <c r="D54" i="11"/>
  <c r="D53" i="11"/>
  <c r="J63" i="13"/>
  <c r="J97" i="13"/>
  <c r="J105" i="13"/>
  <c r="J107" i="13"/>
  <c r="L12" i="4"/>
  <c r="D48" i="11"/>
  <c r="D93" i="11"/>
  <c r="D5" i="11"/>
  <c r="D70" i="11"/>
  <c r="D52" i="11"/>
  <c r="I12" i="4"/>
  <c r="G12" i="4"/>
  <c r="D46" i="11"/>
  <c r="L63" i="4"/>
  <c r="L97" i="4"/>
  <c r="L105" i="4"/>
  <c r="Q12" i="4"/>
  <c r="B11" i="4"/>
  <c r="O63" i="4"/>
  <c r="O97" i="4"/>
  <c r="O105" i="4"/>
  <c r="D18" i="11"/>
  <c r="D10" i="11"/>
  <c r="G63" i="13"/>
  <c r="G97" i="13"/>
  <c r="G105" i="13"/>
  <c r="G107" i="13"/>
  <c r="D61" i="11"/>
  <c r="D57" i="11"/>
  <c r="D20" i="11"/>
  <c r="D8" i="11"/>
  <c r="D85" i="11"/>
  <c r="B43" i="11"/>
  <c r="D102" i="11"/>
  <c r="D94" i="11"/>
  <c r="K12" i="4"/>
  <c r="C43" i="11"/>
  <c r="D43" i="11" s="1"/>
  <c r="C12" i="13"/>
  <c r="D63" i="4"/>
  <c r="D97" i="4"/>
  <c r="D105" i="4"/>
  <c r="D7" i="11"/>
  <c r="F63" i="4"/>
  <c r="F97" i="4" s="1"/>
  <c r="F105" i="4" s="1"/>
  <c r="J12" i="4"/>
  <c r="D22" i="11"/>
  <c r="O12" i="4"/>
  <c r="I63" i="4"/>
  <c r="I97" i="4"/>
  <c r="I105" i="4" s="1"/>
  <c r="D95" i="11"/>
  <c r="D25" i="11"/>
  <c r="B82" i="11"/>
  <c r="B11" i="13"/>
  <c r="D12" i="4"/>
  <c r="H12" i="4"/>
  <c r="B9" i="11"/>
  <c r="B13" i="11" s="1"/>
  <c r="D23" i="11"/>
  <c r="D19" i="11"/>
  <c r="D89" i="11"/>
  <c r="D73" i="11"/>
  <c r="D35" i="11"/>
  <c r="D31" i="11"/>
  <c r="D15" i="11"/>
  <c r="D63" i="13"/>
  <c r="D97" i="13"/>
  <c r="D105" i="13"/>
  <c r="D14" i="11"/>
  <c r="Q63" i="4"/>
  <c r="Q97" i="4"/>
  <c r="Q105" i="4"/>
  <c r="C105" i="11"/>
  <c r="D87" i="11"/>
  <c r="N63" i="4"/>
  <c r="N97" i="4"/>
  <c r="N105" i="4"/>
  <c r="N12" i="4"/>
  <c r="F12" i="4"/>
  <c r="D60" i="11"/>
  <c r="M12" i="4"/>
  <c r="R8" i="4"/>
  <c r="D74" i="11"/>
  <c r="D38" i="11"/>
  <c r="R42" i="4"/>
  <c r="P63" i="4"/>
  <c r="P97" i="4"/>
  <c r="P105" i="4"/>
  <c r="D12" i="13"/>
  <c r="D58" i="11"/>
  <c r="D62" i="11"/>
  <c r="D24" i="11"/>
  <c r="D101" i="11"/>
  <c r="D90" i="11"/>
  <c r="C63" i="13"/>
  <c r="C97" i="13"/>
  <c r="C105" i="13"/>
  <c r="D92" i="11"/>
  <c r="B71" i="11"/>
  <c r="D28" i="11"/>
  <c r="D103" i="11"/>
  <c r="D88" i="11"/>
  <c r="C78" i="11"/>
  <c r="D78" i="11" s="1"/>
  <c r="D42" i="11"/>
  <c r="D21" i="11"/>
  <c r="D16" i="11"/>
  <c r="B12" i="11"/>
  <c r="R26" i="4"/>
  <c r="D81" i="11"/>
  <c r="D86" i="11"/>
  <c r="F63" i="13"/>
  <c r="F97" i="13"/>
  <c r="F105" i="13"/>
  <c r="F107" i="13"/>
  <c r="AD199" i="20"/>
  <c r="B42" i="4"/>
  <c r="D77" i="11"/>
  <c r="M63" i="4"/>
  <c r="M97" i="4"/>
  <c r="M105" i="4"/>
  <c r="D91" i="11"/>
  <c r="K63" i="4"/>
  <c r="K97" i="4"/>
  <c r="D104" i="11"/>
  <c r="E12" i="4"/>
  <c r="B96" i="4"/>
  <c r="T63" i="4"/>
  <c r="T97" i="4"/>
  <c r="H63" i="13"/>
  <c r="T105" i="4"/>
  <c r="H97" i="13"/>
  <c r="D96" i="11"/>
  <c r="C97" i="11"/>
  <c r="T107" i="4"/>
  <c r="H105" i="13"/>
  <c r="H107" i="13"/>
  <c r="AD11" i="15"/>
  <c r="R12" i="4" l="1"/>
  <c r="G63" i="4"/>
  <c r="G97" i="4" s="1"/>
  <c r="G105" i="4" s="1"/>
  <c r="R96" i="4"/>
  <c r="E63" i="4"/>
  <c r="D100" i="11"/>
  <c r="D105" i="11"/>
  <c r="D47" i="11"/>
  <c r="G58" i="7"/>
  <c r="I58" i="7"/>
  <c r="K53" i="7"/>
  <c r="C82" i="11"/>
  <c r="R81" i="4"/>
  <c r="E97" i="4"/>
  <c r="E105" i="4" s="1"/>
  <c r="R38" i="4"/>
  <c r="R63" i="4"/>
  <c r="R97" i="4" s="1"/>
  <c r="R105" i="4" s="1"/>
  <c r="D66" i="11"/>
  <c r="C55" i="11"/>
  <c r="D55" i="11" s="1"/>
  <c r="B54" i="13"/>
  <c r="C63" i="11"/>
  <c r="D63" i="11" s="1"/>
  <c r="B77" i="13"/>
  <c r="D51" i="11"/>
  <c r="B81" i="4"/>
  <c r="B97" i="11"/>
  <c r="D97" i="11" s="1"/>
  <c r="D82" i="11"/>
  <c r="B63" i="4"/>
  <c r="C39" i="11"/>
  <c r="B39" i="11"/>
  <c r="D9" i="11"/>
  <c r="N187" i="27"/>
  <c r="N193" i="27" s="1"/>
  <c r="B12" i="4"/>
  <c r="S63" i="4"/>
  <c r="C12" i="4"/>
  <c r="B12" i="13" s="1"/>
  <c r="C12" i="11"/>
  <c r="D12" i="11" s="1"/>
  <c r="B38" i="13"/>
  <c r="AH722" i="3"/>
  <c r="AH736" i="3"/>
  <c r="AF1013" i="3"/>
  <c r="AH735" i="3"/>
  <c r="AH720" i="3"/>
  <c r="J13" i="8"/>
  <c r="AH734" i="3"/>
  <c r="AH730" i="3"/>
  <c r="AH732" i="3"/>
  <c r="AH723" i="3"/>
  <c r="AH731" i="3"/>
  <c r="AH725" i="3"/>
  <c r="AH724" i="3"/>
  <c r="AH727" i="3"/>
  <c r="Q30" i="21" a="1"/>
  <c r="Q30" i="21" s="1"/>
  <c r="AH726" i="3"/>
  <c r="AH733" i="3"/>
  <c r="AH728" i="3"/>
  <c r="AH729" i="3"/>
  <c r="B64" i="1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AO641" i="3"/>
  <c r="K29" i="7"/>
  <c r="S29" i="7"/>
  <c r="AG28" i="7"/>
  <c r="Y28" i="7"/>
  <c r="U28" i="7"/>
  <c r="S28" i="7"/>
  <c r="Q28" i="7"/>
  <c r="W28" i="7"/>
  <c r="I28" i="7"/>
  <c r="O28" i="7"/>
  <c r="AA28" i="7"/>
  <c r="G28" i="7"/>
  <c r="M28" i="7"/>
  <c r="K28" i="7"/>
  <c r="AG40" i="7"/>
  <c r="AG43" i="7" s="1"/>
  <c r="S40" i="7"/>
  <c r="S43" i="7" s="1"/>
  <c r="AK172" i="20"/>
  <c r="AP355" i="20"/>
  <c r="AQ355" i="20" s="1"/>
  <c r="AS349" i="20" s="1"/>
  <c r="T805" i="20"/>
  <c r="AO17" i="20"/>
  <c r="AO36" i="20" s="1"/>
  <c r="AK56" i="20" s="1"/>
  <c r="T797" i="20"/>
  <c r="AF797"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AD28" i="15" s="1"/>
  <c r="DR632" i="3"/>
  <c r="S24" i="21"/>
  <c r="B27" i="11"/>
  <c r="D26" i="11"/>
  <c r="D27" i="11" s="1"/>
  <c r="S30" i="21"/>
  <c r="O40" i="21"/>
  <c r="T7" i="15"/>
  <c r="E43" i="7"/>
  <c r="AC29" i="7"/>
  <c r="M29" i="7"/>
  <c r="Q44" i="21" a="1"/>
  <c r="Q44" i="21" s="1"/>
  <c r="Q40" i="7"/>
  <c r="Q43" i="7" s="1"/>
  <c r="U40" i="7"/>
  <c r="U43" i="7" s="1"/>
  <c r="G29" i="7"/>
  <c r="Q29" i="7"/>
  <c r="AA40" i="7"/>
  <c r="AA43" i="7" s="1"/>
  <c r="Y40" i="7"/>
  <c r="Y43" i="7" s="1"/>
  <c r="M40" i="7"/>
  <c r="M43" i="7" s="1"/>
  <c r="AE29" i="7"/>
  <c r="S28" i="21"/>
  <c r="AE40" i="7"/>
  <c r="AE43" i="7" s="1"/>
  <c r="W40" i="7"/>
  <c r="W43" i="7" s="1"/>
  <c r="W29" i="7"/>
  <c r="P40" i="21" a="1"/>
  <c r="P40" i="21" s="1"/>
  <c r="O40" i="7"/>
  <c r="O43" i="7" s="1"/>
  <c r="U29" i="7"/>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Q31" i="21" a="1"/>
  <c r="Q31" i="21" s="1"/>
  <c r="R987" i="3"/>
  <c r="G112" i="21" s="1"/>
  <c r="G114" i="21" s="1"/>
  <c r="I15" i="21" s="1"/>
  <c r="R986" i="3"/>
  <c r="R985" i="3"/>
  <c r="AC777" i="3"/>
  <c r="T22" i="21"/>
  <c r="S41" i="21"/>
  <c r="E99" i="20"/>
  <c r="O44" i="21"/>
  <c r="R41" i="21"/>
  <c r="T41" i="21"/>
  <c r="Q23" i="21" a="1"/>
  <c r="Q23" i="21" s="1"/>
  <c r="E98" i="20"/>
  <c r="Q40" i="21" a="1"/>
  <c r="Q40" i="21" s="1"/>
  <c r="O41" i="21"/>
  <c r="R40" i="21"/>
  <c r="T40" i="21"/>
  <c r="AC883" i="3"/>
  <c r="BG243" i="3"/>
  <c r="BO245" i="3" s="1"/>
  <c r="T267" i="3" s="1"/>
  <c r="P41" i="21" a="1"/>
  <c r="P41" i="21" s="1"/>
  <c r="Q29" i="21" a="1"/>
  <c r="Q29" i="21" s="1"/>
  <c r="CX632" i="3"/>
  <c r="Q34" i="21" a="1"/>
  <c r="Q34" i="21" s="1"/>
  <c r="T35" i="21"/>
  <c r="T23" i="21"/>
  <c r="BN641" i="3"/>
  <c r="BR642" i="3" s="1"/>
  <c r="R989" i="3"/>
  <c r="ER632" i="3"/>
  <c r="BX655" i="3"/>
  <c r="CB656" i="3" s="1"/>
  <c r="DC652" i="3"/>
  <c r="DC655" i="3" s="1"/>
  <c r="Q32" i="21" a="1"/>
  <c r="Q32" i="21" s="1"/>
  <c r="T32" i="21"/>
  <c r="S32" i="21"/>
  <c r="S26" i="21"/>
  <c r="T26" i="21"/>
  <c r="Q26" i="21" a="1"/>
  <c r="Q26" i="21" s="1"/>
  <c r="BK632" i="3"/>
  <c r="X1051" i="3" s="1"/>
  <c r="CH632" i="3"/>
  <c r="AX681" i="20" s="1"/>
  <c r="BS655" i="3"/>
  <c r="BW656" i="3" s="1"/>
  <c r="T20" i="21"/>
  <c r="M18" i="21"/>
  <c r="T37" i="21"/>
  <c r="Q37" i="21" a="1"/>
  <c r="Q37" i="21" s="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T36" i="21"/>
  <c r="T31" i="21"/>
  <c r="AV116" i="20"/>
  <c r="AW115" i="20" s="1"/>
  <c r="Q36" i="21" a="1"/>
  <c r="Q36" i="21" s="1"/>
  <c r="O42" i="21"/>
  <c r="T39" i="21"/>
  <c r="Q22" i="21" a="1"/>
  <c r="Q22" i="21" s="1"/>
  <c r="S38" i="21"/>
  <c r="S29" i="21"/>
  <c r="S20" i="21"/>
  <c r="T29" i="21"/>
  <c r="Q38" i="21" a="1"/>
  <c r="Q38" i="21" s="1"/>
  <c r="Q20" i="21" a="1"/>
  <c r="Q20" i="21" s="1"/>
  <c r="R43" i="21"/>
  <c r="T43" i="21"/>
  <c r="P42" i="21" a="1"/>
  <c r="P42" i="21" s="1"/>
  <c r="R42"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J40" i="8"/>
  <c r="Z809" i="3" s="1"/>
  <c r="M959" i="3" s="1"/>
  <c r="M960" i="3" s="1"/>
  <c r="G53" i="21"/>
  <c r="E24" i="21"/>
  <c r="E22" i="21"/>
  <c r="F22" i="21" s="1"/>
  <c r="G40" i="8"/>
  <c r="I15" i="7"/>
  <c r="E26" i="21"/>
  <c r="E23" i="21"/>
  <c r="F23" i="21" s="1"/>
  <c r="G23" i="21" s="1"/>
  <c r="B98" i="11" l="1"/>
  <c r="B106" i="11" s="1"/>
  <c r="M53" i="7"/>
  <c r="K58" i="7"/>
  <c r="C97" i="4"/>
  <c r="C105" i="4" s="1"/>
  <c r="AC455" i="3" s="1"/>
  <c r="D39" i="11"/>
  <c r="E63" i="13"/>
  <c r="S97" i="4"/>
  <c r="C64" i="11"/>
  <c r="D64" i="11" s="1"/>
  <c r="C13" i="11"/>
  <c r="D13" i="11" s="1"/>
  <c r="AJ610" i="20"/>
  <c r="G62" i="21"/>
  <c r="AY1004" i="3"/>
  <c r="DX635" i="3"/>
  <c r="BH702" i="3"/>
  <c r="BI702" i="3" s="1"/>
  <c r="BH701" i="3"/>
  <c r="BI701" i="3" s="1"/>
  <c r="BU669" i="3"/>
  <c r="BV669" i="3" s="1"/>
  <c r="BU677" i="3"/>
  <c r="BV677" i="3" s="1"/>
  <c r="BU685" i="3"/>
  <c r="BV685" i="3" s="1"/>
  <c r="BU693" i="3"/>
  <c r="BV693" i="3" s="1"/>
  <c r="BU702" i="3"/>
  <c r="BV702" i="3" s="1"/>
  <c r="BU670" i="3"/>
  <c r="BV670" i="3" s="1"/>
  <c r="BU678" i="3"/>
  <c r="BV678" i="3" s="1"/>
  <c r="BU686" i="3"/>
  <c r="BV686" i="3" s="1"/>
  <c r="BU694" i="3"/>
  <c r="BV694" i="3" s="1"/>
  <c r="BU668" i="3"/>
  <c r="BV668" i="3" s="1"/>
  <c r="BU671" i="3"/>
  <c r="BV671" i="3" s="1"/>
  <c r="BU679" i="3"/>
  <c r="BV679" i="3" s="1"/>
  <c r="BU687" i="3"/>
  <c r="BV687" i="3" s="1"/>
  <c r="BU695" i="3"/>
  <c r="BV695" i="3" s="1"/>
  <c r="BU681" i="3"/>
  <c r="BV681" i="3" s="1"/>
  <c r="BU689" i="3"/>
  <c r="BV689" i="3" s="1"/>
  <c r="BU698" i="3"/>
  <c r="BV698" i="3" s="1"/>
  <c r="BU684" i="3"/>
  <c r="BV684" i="3" s="1"/>
  <c r="BU700" i="3"/>
  <c r="BV700" i="3" s="1"/>
  <c r="BU672" i="3"/>
  <c r="BV672" i="3" s="1"/>
  <c r="BU680" i="3"/>
  <c r="BV680" i="3" s="1"/>
  <c r="BU688" i="3"/>
  <c r="BV688" i="3" s="1"/>
  <c r="BU696" i="3"/>
  <c r="BV696" i="3" s="1"/>
  <c r="BU673" i="3"/>
  <c r="BV673" i="3" s="1"/>
  <c r="BU697" i="3"/>
  <c r="BV697" i="3" s="1"/>
  <c r="BU674" i="3"/>
  <c r="BV674" i="3" s="1"/>
  <c r="BU682" i="3"/>
  <c r="BV682" i="3" s="1"/>
  <c r="BU690" i="3"/>
  <c r="BV690" i="3" s="1"/>
  <c r="BU676" i="3"/>
  <c r="BV676" i="3" s="1"/>
  <c r="BU692" i="3"/>
  <c r="BV692" i="3" s="1"/>
  <c r="BU675" i="3"/>
  <c r="BV675" i="3" s="1"/>
  <c r="BU683" i="3"/>
  <c r="BV683" i="3" s="1"/>
  <c r="BU691" i="3"/>
  <c r="BV691" i="3" s="1"/>
  <c r="BU699" i="3"/>
  <c r="BV699" i="3" s="1"/>
  <c r="BH674" i="3"/>
  <c r="BI674" i="3" s="1"/>
  <c r="BH675" i="3"/>
  <c r="BI675" i="3" s="1"/>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H681" i="3"/>
  <c r="BI681" i="3" s="1"/>
  <c r="BH689" i="3"/>
  <c r="BI689" i="3" s="1"/>
  <c r="BH697" i="3"/>
  <c r="BI697" i="3" s="1"/>
  <c r="E22" i="7"/>
  <c r="AX683" i="20"/>
  <c r="AY684" i="20" s="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34" i="21" s="1"/>
  <c r="P34" i="21" s="1" a="1"/>
  <c r="P34" i="21" s="1"/>
  <c r="R34" i="21" s="1"/>
  <c r="DX649" i="3"/>
  <c r="DX640" i="3"/>
  <c r="DX642" i="3"/>
  <c r="DX641" i="3"/>
  <c r="DX656" i="3"/>
  <c r="DX652" i="3"/>
  <c r="DX647" i="3"/>
  <c r="DX655" i="3"/>
  <c r="DX644" i="3"/>
  <c r="DX654" i="3"/>
  <c r="DX648" i="3"/>
  <c r="CM633" i="3"/>
  <c r="DX651" i="3"/>
  <c r="DX638" i="3"/>
  <c r="DX650" i="3"/>
  <c r="DX643" i="3"/>
  <c r="EH653"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3" i="3"/>
  <c r="EH637" i="3"/>
  <c r="DR657" i="3"/>
  <c r="EM632" i="3"/>
  <c r="EM635" i="3"/>
  <c r="EM643" i="3"/>
  <c r="E6" i="7"/>
  <c r="K15" i="7"/>
  <c r="I22" i="7"/>
  <c r="I35" i="7" s="1"/>
  <c r="E27" i="21"/>
  <c r="G22" i="21"/>
  <c r="B97" i="4" l="1"/>
  <c r="B97" i="13"/>
  <c r="B105" i="13"/>
  <c r="AG258" i="20"/>
  <c r="B105" i="4"/>
  <c r="AC454" i="3" s="1"/>
  <c r="F457" i="3" s="1"/>
  <c r="M58" i="7"/>
  <c r="O53" i="7"/>
  <c r="C98" i="11"/>
  <c r="D98" i="11" s="1"/>
  <c r="S105" i="4"/>
  <c r="E97" i="13"/>
  <c r="O38" i="21"/>
  <c r="P38" i="21" s="1" a="1"/>
  <c r="P38" i="21" s="1"/>
  <c r="R38" i="21" s="1"/>
  <c r="O37" i="21"/>
  <c r="P37" i="21" s="1" a="1"/>
  <c r="P37" i="21" s="1"/>
  <c r="R37" i="21" s="1"/>
  <c r="O36" i="21"/>
  <c r="P36" i="21" s="1" a="1"/>
  <c r="P36" i="21" s="1"/>
  <c r="R36" i="21" s="1"/>
  <c r="O35" i="21"/>
  <c r="P35" i="21" s="1" a="1"/>
  <c r="P35" i="21" s="1"/>
  <c r="R35" i="21" s="1"/>
  <c r="O32" i="21"/>
  <c r="P32" i="21" s="1" a="1"/>
  <c r="P32" i="21" s="1"/>
  <c r="R32" i="21" s="1"/>
  <c r="O33" i="21"/>
  <c r="P33" i="21" s="1" a="1"/>
  <c r="P33" i="21" s="1"/>
  <c r="R33" i="21" s="1"/>
  <c r="O29" i="21"/>
  <c r="P29" i="21" s="1" a="1"/>
  <c r="P29" i="21" s="1"/>
  <c r="R29" i="21" s="1"/>
  <c r="O31" i="21"/>
  <c r="P31" i="21" s="1" a="1"/>
  <c r="P31" i="21" s="1"/>
  <c r="R31" i="21" s="1"/>
  <c r="O30" i="21"/>
  <c r="P30" i="21" s="1" a="1"/>
  <c r="P30" i="21" s="1"/>
  <c r="R30" i="21" s="1"/>
  <c r="O27" i="21"/>
  <c r="P27" i="21" s="1" a="1"/>
  <c r="P27" i="21" s="1"/>
  <c r="R27" i="21" s="1"/>
  <c r="O28" i="21"/>
  <c r="P28" i="21" s="1" a="1"/>
  <c r="P28" i="21" s="1"/>
  <c r="R28" i="21" s="1"/>
  <c r="O24" i="21"/>
  <c r="P24" i="21" s="1" a="1"/>
  <c r="P24" i="21" s="1"/>
  <c r="R24" i="21" s="1"/>
  <c r="O26" i="21"/>
  <c r="P26" i="21" s="1" a="1"/>
  <c r="P26" i="21" s="1"/>
  <c r="R26" i="21" s="1"/>
  <c r="O25" i="21"/>
  <c r="P25" i="21" s="1" a="1"/>
  <c r="P25" i="21" s="1"/>
  <c r="R25" i="21" s="1"/>
  <c r="BH703" i="3"/>
  <c r="BV703" i="3"/>
  <c r="AH753" i="3" s="1"/>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G4" i="7"/>
  <c r="G5"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N183" i="27" l="1"/>
  <c r="AB255" i="20"/>
  <c r="AG257" i="20" s="1"/>
  <c r="AG259" i="20" s="1"/>
  <c r="AK262" i="20" s="1"/>
  <c r="T801" i="20" s="1"/>
  <c r="AF801" i="20" s="1"/>
  <c r="C106" i="11"/>
  <c r="D106" i="11" s="1"/>
  <c r="AB47" i="15"/>
  <c r="AB49" i="15" s="1"/>
  <c r="AB54" i="15" s="1"/>
  <c r="AB55" i="15" s="1"/>
  <c r="O58" i="7"/>
  <c r="Q53" i="7"/>
  <c r="S107" i="4"/>
  <c r="E105" i="13"/>
  <c r="N184" i="27"/>
  <c r="N194" i="27"/>
  <c r="G38" i="21"/>
  <c r="G40" i="21" s="1"/>
  <c r="E10" i="21" s="1"/>
  <c r="AP694" i="20"/>
  <c r="AJ700" i="20" s="1"/>
  <c r="AK783" i="20" s="1"/>
  <c r="T808" i="20" s="1"/>
  <c r="AF808" i="20" s="1"/>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Q58" i="7" l="1"/>
  <c r="S53" i="7"/>
  <c r="AC456" i="3"/>
  <c r="AF540" i="20"/>
  <c r="E107" i="13"/>
  <c r="B1059" i="3"/>
  <c r="AJ1028" i="3"/>
  <c r="AJ1010" i="3"/>
  <c r="AJ993" i="3"/>
  <c r="I13" i="21" s="1"/>
  <c r="AJ1035" i="3"/>
  <c r="I14" i="21" s="1"/>
  <c r="AJ1044" i="3"/>
  <c r="AP541" i="20" s="1"/>
  <c r="AJ1048" i="3"/>
  <c r="AP542" i="20" s="1"/>
  <c r="AP539" i="20"/>
  <c r="K4" i="7"/>
  <c r="M4" i="7" s="1"/>
  <c r="E45" i="7"/>
  <c r="E48" i="7" s="1"/>
  <c r="G45" i="7"/>
  <c r="G49" i="7"/>
  <c r="K6" i="7"/>
  <c r="I7" i="7"/>
  <c r="I11" i="7" s="1"/>
  <c r="I37" i="7" s="1"/>
  <c r="G24" i="21"/>
  <c r="F27" i="21"/>
  <c r="G27" i="21"/>
  <c r="O22" i="7"/>
  <c r="O35" i="7" s="1"/>
  <c r="Q15" i="7"/>
  <c r="O9" i="7"/>
  <c r="Q8" i="7"/>
  <c r="U53" i="7" l="1"/>
  <c r="S58" i="7"/>
  <c r="T11" i="15"/>
  <c r="T23" i="15" s="1"/>
  <c r="T26" i="15" s="1"/>
  <c r="T28" i="15" s="1"/>
  <c r="Y11" i="15"/>
  <c r="Y23" i="15" s="1"/>
  <c r="Y26" i="15" s="1"/>
  <c r="Y28" i="15" s="1"/>
  <c r="Y64" i="15" s="1"/>
  <c r="Y68" i="15" s="1"/>
  <c r="AP543" i="20"/>
  <c r="AJ1052" i="3"/>
  <c r="AP546" i="20" s="1"/>
  <c r="AP545" i="20" s="1"/>
  <c r="AP548" i="20" s="1"/>
  <c r="AF541" i="20" s="1"/>
  <c r="AF542" i="20" s="1"/>
  <c r="AK548" i="20" s="1"/>
  <c r="T807" i="20" s="1"/>
  <c r="AF807" i="20" s="1"/>
  <c r="AZ846" i="3"/>
  <c r="AZ843" i="3"/>
  <c r="K5" i="7"/>
  <c r="E47" i="7"/>
  <c r="E60" i="7"/>
  <c r="O4" i="7"/>
  <c r="M5" i="7"/>
  <c r="I45" i="7"/>
  <c r="I49" i="7"/>
  <c r="M6" i="7"/>
  <c r="K7" i="7"/>
  <c r="G60" i="7"/>
  <c r="G47" i="7"/>
  <c r="G48" i="7"/>
  <c r="Q22" i="7"/>
  <c r="Q35" i="7" s="1"/>
  <c r="S15" i="7"/>
  <c r="G95" i="21"/>
  <c r="G96" i="21" s="1"/>
  <c r="G29" i="21"/>
  <c r="G31" i="21" s="1"/>
  <c r="E9" i="21" s="1"/>
  <c r="G104" i="21"/>
  <c r="G106" i="21" s="1"/>
  <c r="G79" i="21"/>
  <c r="G64" i="21"/>
  <c r="Q9" i="7"/>
  <c r="S8" i="7"/>
  <c r="E62" i="7" l="1"/>
  <c r="W53" i="7"/>
  <c r="U58" i="7"/>
  <c r="T29" i="15"/>
  <c r="AZ851" i="3"/>
  <c r="T24" i="15"/>
  <c r="Y38" i="15" s="1"/>
  <c r="Y40" i="15" s="1"/>
  <c r="K11" i="7"/>
  <c r="K37" i="7" s="1"/>
  <c r="K45" i="7" s="1"/>
  <c r="E66" i="7"/>
  <c r="E67" i="7"/>
  <c r="O5" i="7"/>
  <c r="Q4" i="7"/>
  <c r="M7" i="7"/>
  <c r="M11" i="7" s="1"/>
  <c r="M37" i="7" s="1"/>
  <c r="O6" i="7"/>
  <c r="G67" i="7"/>
  <c r="G62" i="7"/>
  <c r="G66" i="7"/>
  <c r="I48" i="7"/>
  <c r="I60" i="7"/>
  <c r="I47" i="7"/>
  <c r="G69" i="21"/>
  <c r="G81" i="21"/>
  <c r="G65" i="21"/>
  <c r="S22" i="7"/>
  <c r="S35" i="7" s="1"/>
  <c r="U15" i="7"/>
  <c r="E14" i="21"/>
  <c r="E15" i="21" s="1"/>
  <c r="U8" i="7"/>
  <c r="S9" i="7"/>
  <c r="E70" i="7" l="1"/>
  <c r="E72" i="7" s="1"/>
  <c r="W58" i="7"/>
  <c r="Y53" i="7"/>
  <c r="AD38" i="15"/>
  <c r="AD40" i="15" s="1"/>
  <c r="Y41" i="15" s="1"/>
  <c r="AB56" i="15" s="1"/>
  <c r="M26" i="3" s="1"/>
  <c r="K49" i="7"/>
  <c r="S4" i="7"/>
  <c r="Q5" i="7"/>
  <c r="G70" i="7"/>
  <c r="G72" i="7" s="1"/>
  <c r="O7" i="7"/>
  <c r="O11" i="7" s="1"/>
  <c r="O37" i="7" s="1"/>
  <c r="Q6" i="7"/>
  <c r="M45" i="7"/>
  <c r="M49" i="7"/>
  <c r="I66" i="7"/>
  <c r="I67" i="7"/>
  <c r="I62" i="7"/>
  <c r="K47" i="7"/>
  <c r="K60" i="7"/>
  <c r="K48" i="7"/>
  <c r="U22" i="7"/>
  <c r="U35" i="7" s="1"/>
  <c r="W15" i="7"/>
  <c r="G83" i="21"/>
  <c r="E13" i="21" s="1"/>
  <c r="E16" i="21" s="1"/>
  <c r="H3" i="21" s="1"/>
  <c r="U9" i="7"/>
  <c r="W8" i="7"/>
  <c r="Y58" i="7" l="1"/>
  <c r="AA53" i="7"/>
  <c r="AB57" i="15"/>
  <c r="U4" i="7"/>
  <c r="S5" i="7"/>
  <c r="P204" i="3"/>
  <c r="M48" i="7"/>
  <c r="M47" i="7"/>
  <c r="M60" i="7"/>
  <c r="O45" i="7"/>
  <c r="O49" i="7"/>
  <c r="K66" i="7"/>
  <c r="K67" i="7"/>
  <c r="K62" i="7"/>
  <c r="Q7" i="7"/>
  <c r="Q11" i="7" s="1"/>
  <c r="Q37" i="7" s="1"/>
  <c r="S6" i="7"/>
  <c r="I70" i="7"/>
  <c r="I72" i="7" s="1"/>
  <c r="W22" i="7"/>
  <c r="W35" i="7" s="1"/>
  <c r="Y15" i="7"/>
  <c r="W9" i="7"/>
  <c r="Y8" i="7"/>
  <c r="AC53" i="7" l="1"/>
  <c r="AA58" i="7"/>
  <c r="AB59" i="15"/>
  <c r="AB76" i="15" s="1"/>
  <c r="AB77" i="15" s="1"/>
  <c r="AB78" i="15" s="1"/>
  <c r="U5" i="7"/>
  <c r="W4" i="7"/>
  <c r="Q49" i="7"/>
  <c r="Q45" i="7"/>
  <c r="M62" i="7"/>
  <c r="M67" i="7"/>
  <c r="M66" i="7"/>
  <c r="O47" i="7"/>
  <c r="O48" i="7"/>
  <c r="O60" i="7"/>
  <c r="K70" i="7"/>
  <c r="K72" i="7" s="1"/>
  <c r="S7" i="7"/>
  <c r="S11" i="7" s="1"/>
  <c r="S37" i="7" s="1"/>
  <c r="U6" i="7"/>
  <c r="Y22" i="7"/>
  <c r="Y35" i="7" s="1"/>
  <c r="AA15" i="7"/>
  <c r="Y9" i="7"/>
  <c r="AA8" i="7"/>
  <c r="AE53" i="7" l="1"/>
  <c r="AC58" i="7"/>
  <c r="M27" i="3"/>
  <c r="I10" i="21"/>
  <c r="I11" i="21" s="1"/>
  <c r="I16" i="21" s="1"/>
  <c r="H4" i="21" s="1"/>
  <c r="H5" i="21" s="1"/>
  <c r="M70" i="7"/>
  <c r="M72" i="7" s="1"/>
  <c r="W5" i="7"/>
  <c r="Y4" i="7"/>
  <c r="AB80" i="15"/>
  <c r="J81" i="15" s="1"/>
  <c r="U7" i="7"/>
  <c r="U11" i="7" s="1"/>
  <c r="U37" i="7" s="1"/>
  <c r="W6" i="7"/>
  <c r="O67" i="7"/>
  <c r="O66" i="7"/>
  <c r="O62" i="7"/>
  <c r="Q60" i="7"/>
  <c r="Q48" i="7"/>
  <c r="Q47" i="7"/>
  <c r="S49" i="7"/>
  <c r="S45" i="7"/>
  <c r="AC15" i="7"/>
  <c r="AA22" i="7"/>
  <c r="AA35" i="7" s="1"/>
  <c r="AC8" i="7"/>
  <c r="AA9" i="7"/>
  <c r="AG53" i="7" l="1"/>
  <c r="AG58" i="7" s="1"/>
  <c r="AE58" i="7"/>
  <c r="P205" i="3"/>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I693" i="3"/>
  <c r="BI703" i="3" l="1"/>
  <c r="AC753" i="3" s="1"/>
  <c r="E87" i="20" l="1"/>
  <c r="E88" i="20" s="1"/>
  <c r="E89" i="20" s="1"/>
  <c r="AP89" i="20" s="1"/>
  <c r="E97" i="20"/>
  <c r="E100" i="20" s="1"/>
  <c r="AP100" i="20" s="1"/>
  <c r="AK103" i="20" l="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rgb="FF000000"/>
            <rFont val="Tahoma"/>
            <family val="2"/>
          </rPr>
          <t xml:space="preserve">Please contact CTCAC staff if you need assistance in selecting the type of state credit.  </t>
        </r>
        <r>
          <rPr>
            <sz val="9"/>
            <color rgb="FF000000"/>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00000000-0006-0000-0400-000002000000}">
      <text>
        <r>
          <rPr>
            <sz val="9"/>
            <color rgb="FF000000"/>
            <rFont val="Tahoma"/>
            <family val="2"/>
          </rPr>
          <t>Input tax-exempt bond amount.  This cell is linked to the tie breaker.  Do not include any taxable bond amount.</t>
        </r>
      </text>
    </comment>
    <comment ref="Z809" authorId="2" shapeId="0" xr:uid="{00000000-0006-0000-0400-000003000000}">
      <text>
        <r>
          <rPr>
            <sz val="9"/>
            <color rgb="FF000000"/>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color rgb="FF00000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<sst xmlns="http://schemas.openxmlformats.org/spreadsheetml/2006/main" count="5338" uniqueCount="2779">
  <si>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</si>
  <si>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</si>
  <si>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</si>
  <si>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</si>
  <si>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</si>
  <si>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</si>
  <si>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</si>
  <si>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</si>
  <si>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</si>
  <si>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</si>
  <si>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</si>
  <si>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</si>
  <si>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</si>
  <si>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</si>
  <si>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</si>
  <si>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</si>
  <si>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</si>
  <si>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</si>
  <si>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</si>
  <si>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</si>
  <si>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</si>
  <si>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</si>
  <si>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</si>
  <si>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</si>
  <si>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</si>
  <si>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</si>
  <si>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</si>
  <si>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</si>
  <si>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</si>
  <si>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</si>
  <si>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</si>
  <si>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</si>
  <si>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</si>
  <si>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</si>
  <si>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</si>
  <si>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</si>
  <si>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</si>
  <si>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</si>
  <si>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</si>
  <si>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</si>
  <si>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</si>
  <si>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</si>
  <si>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</si>
  <si>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</si>
  <si>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</si>
  <si>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</si>
  <si>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</si>
  <si>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</si>
  <si>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</si>
  <si>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</si>
  <si>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</si>
  <si>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</si>
  <si>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</si>
  <si>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</si>
  <si>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</si>
  <si>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</si>
  <si>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</si>
  <si>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</si>
  <si>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</si>
  <si>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</si>
  <si>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</si>
  <si>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</si>
  <si>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</si>
  <si>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</si>
  <si>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</si>
  <si>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</si>
  <si>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</si>
  <si>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</si>
  <si>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</si>
  <si>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</si>
  <si>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</si>
  <si>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</si>
  <si>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</si>
  <si>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</si>
  <si>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</si>
  <si>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</si>
  <si>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</si>
  <si>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</si>
  <si>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</si>
  <si>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</si>
  <si>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</si>
  <si>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</si>
  <si>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</si>
  <si>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</si>
  <si>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</si>
  <si>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</si>
  <si>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</si>
  <si>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</si>
  <si>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</si>
  <si>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</si>
  <si>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</si>
  <si>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</si>
  <si>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</si>
  <si>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</si>
  <si>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</si>
  <si>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</si>
  <si>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</si>
  <si>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</si>
  <si>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</si>
  <si>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</si>
  <si>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</si>
  <si>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</si>
  <si>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</si>
  <si>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</si>
  <si>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</si>
  <si>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</si>
  <si>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</si>
  <si>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</si>
  <si>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</si>
  <si>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</si>
  <si>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</si>
  <si>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</si>
  <si>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</si>
  <si>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</si>
  <si>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</si>
  <si>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</si>
  <si>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</si>
  <si>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</si>
  <si>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</si>
  <si>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</si>
  <si>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</si>
  <si>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</si>
  <si>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</si>
  <si>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</si>
  <si>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</si>
  <si>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</si>
  <si>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</si>
  <si>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</si>
  <si>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</si>
  <si>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</si>
  <si>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</si>
  <si>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</si>
  <si>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</si>
  <si>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</si>
  <si>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</si>
  <si>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</si>
  <si>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</si>
  <si>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</si>
  <si>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</si>
  <si>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</si>
  <si>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</si>
  <si>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</si>
  <si>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</si>
  <si>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</si>
  <si>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</si>
  <si>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</si>
  <si>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</si>
  <si>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</si>
  <si>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</si>
  <si>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</si>
  <si>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</si>
  <si>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</si>
  <si>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</si>
  <si>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</si>
  <si>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</si>
  <si>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</si>
  <si>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</si>
  <si>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</si>
  <si>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</si>
  <si>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</si>
  <si>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</si>
  <si>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</si>
  <si>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</si>
  <si>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</si>
  <si>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</si>
  <si>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</si>
  <si>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</si>
  <si>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</si>
  <si>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</si>
  <si>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</si>
  <si>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</si>
  <si>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</si>
  <si>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</si>
  <si>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</si>
  <si>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</si>
  <si>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</si>
  <si>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</si>
  <si>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</si>
  <si>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</si>
  <si>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</si>
  <si>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</si>
  <si>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</si>
  <si>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</si>
  <si>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</si>
  <si>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</si>
  <si>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</si>
  <si>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</si>
  <si>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</si>
  <si>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</si>
  <si>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</si>
  <si>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</si>
  <si>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</si>
  <si>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</si>
  <si>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</si>
  <si>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</si>
  <si>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</si>
  <si>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</si>
  <si>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</si>
  <si>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</si>
  <si>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</si>
  <si>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</si>
  <si>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</si>
  <si>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</si>
  <si>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</si>
  <si>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</si>
  <si>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</si>
  <si>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</si>
  <si>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</si>
  <si>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</si>
  <si>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</si>
  <si>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</si>
  <si>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</si>
  <si>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</si>
  <si>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</si>
  <si>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</si>
  <si>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</si>
  <si>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</si>
  <si>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</si>
  <si>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</si>
  <si>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</si>
  <si>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</si>
  <si>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</si>
  <si>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</si>
  <si>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</si>
  <si>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</si>
  <si>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</si>
  <si>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</si>
  <si>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</si>
  <si>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</si>
  <si>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</si>
  <si>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</si>
  <si>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</si>
  <si>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</si>
  <si>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</si>
  <si>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</si>
  <si>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</si>
  <si>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</si>
  <si>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</si>
  <si>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</si>
  <si>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</si>
  <si>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</si>
  <si>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</si>
  <si>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</si>
  <si>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</si>
  <si>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</si>
  <si>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</si>
  <si>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</si>
  <si>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</si>
  <si>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</si>
  <si>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</si>
  <si>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</si>
  <si>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</si>
  <si>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</si>
  <si>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</si>
  <si>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</si>
  <si>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</si>
  <si>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</si>
  <si>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</si>
  <si>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</si>
  <si>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</si>
  <si>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</si>
  <si>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</si>
  <si>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</si>
  <si>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</si>
  <si>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</si>
  <si>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</si>
  <si>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</si>
  <si>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</si>
  <si>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</si>
  <si>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</si>
  <si>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</si>
  <si>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</si>
  <si>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</si>
  <si>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</si>
  <si>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</si>
  <si>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</si>
  <si>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</si>
  <si>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</si>
  <si>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</si>
  <si>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</si>
  <si>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</si>
  <si>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</si>
  <si>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</si>
  <si>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</si>
  <si>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</si>
  <si>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</si>
  <si>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</si>
  <si>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</si>
  <si>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</si>
  <si>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</si>
  <si>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</si>
  <si>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</si>
  <si>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</si>
  <si>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</si>
  <si>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</si>
  <si>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</si>
  <si>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</si>
  <si>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</si>
  <si>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</si>
  <si>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</si>
  <si>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</si>
  <si>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</si>
  <si>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</si>
  <si>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</si>
  <si>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</si>
  <si>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</si>
  <si>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</si>
  <si>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</si>
  <si>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</si>
  <si>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</si>
  <si>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</si>
  <si>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</si>
  <si>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</si>
  <si>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</si>
  <si>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</si>
  <si>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</si>
  <si>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</si>
  <si>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</si>
  <si>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</si>
  <si>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</si>
  <si>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</si>
  <si>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</si>
  <si>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</si>
  <si>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</si>
  <si>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</si>
  <si>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</si>
  <si>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</si>
  <si>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</si>
  <si>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</si>
  <si>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</si>
  <si>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</si>
  <si>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</si>
  <si>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</si>
  <si>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</si>
  <si>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</si>
  <si>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</si>
  <si>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</si>
  <si>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</si>
  <si>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</si>
  <si>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</si>
  <si>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</si>
  <si>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</si>
  <si>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</si>
  <si>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</si>
  <si>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</si>
  <si>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</si>
  <si>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</si>
  <si>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</si>
  <si>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</si>
  <si>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</si>
  <si>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</si>
  <si>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</si>
  <si>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</si>
  <si>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</si>
  <si>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</si>
  <si>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</si>
  <si>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</si>
  <si>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</si>
  <si>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</si>
  <si>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</si>
  <si>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</si>
  <si>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</si>
  <si>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</si>
  <si>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</si>
  <si>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</si>
  <si>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</si>
  <si>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</si>
  <si>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</si>
  <si>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</si>
  <si>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</si>
  <si>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</si>
  <si>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</si>
  <si>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</si>
  <si>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</si>
  <si>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</si>
  <si>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</si>
  <si>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</si>
  <si>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</si>
  <si>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</si>
  <si>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</si>
  <si>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</si>
  <si>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</si>
  <si>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</si>
  <si>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</si>
  <si>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</si>
  <si>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</si>
  <si>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</si>
  <si>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</si>
  <si>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</si>
  <si>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</si>
  <si>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</si>
  <si>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</si>
  <si>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</si>
  <si>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</si>
  <si>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</si>
  <si>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</si>
  <si>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</si>
  <si>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</si>
  <si>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</si>
  <si>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</si>
  <si>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</si>
  <si>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</si>
  <si>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</si>
  <si>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</si>
  <si>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</si>
  <si>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</si>
  <si>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</si>
  <si>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</si>
  <si>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</si>
  <si>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</si>
  <si>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</si>
  <si>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</si>
  <si>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</si>
  <si>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</si>
  <si>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</si>
  <si>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</si>
  <si>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</si>
  <si>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</si>
  <si>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</si>
  <si>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</si>
  <si>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</si>
  <si>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</si>
  <si>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</si>
  <si>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</si>
  <si>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</si>
  <si>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</si>
  <si>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</si>
  <si>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</si>
  <si>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</si>
  <si>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</si>
  <si>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</si>
  <si>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</si>
  <si>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</si>
  <si>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</si>
  <si>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</si>
  <si>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</si>
  <si>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</si>
  <si>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</si>
  <si>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</si>
  <si>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</si>
  <si>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</si>
  <si>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</si>
  <si>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</si>
  <si>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</si>
  <si>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</si>
  <si>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</si>
  <si>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</si>
  <si>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</si>
  <si>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</si>
  <si>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</si>
  <si>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</si>
  <si>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</si>
  <si>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</si>
  <si>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</si>
  <si>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</si>
  <si>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</si>
  <si>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</si>
  <si>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</si>
  <si>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</si>
  <si>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</si>
  <si>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</si>
  <si>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</si>
  <si>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</si>
  <si>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</si>
  <si>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</si>
  <si>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</si>
  <si>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</si>
  <si>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</si>
  <si>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</si>
  <si>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</si>
  <si>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</si>
  <si>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</si>
  <si>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</si>
  <si>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</si>
  <si>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</si>
  <si>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</si>
  <si>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</si>
  <si>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</si>
  <si>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</si>
  <si>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</si>
  <si>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</si>
  <si>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</si>
  <si>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</si>
  <si>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</si>
  <si>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</si>
  <si>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</si>
  <si>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</si>
  <si>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</si>
  <si>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</si>
  <si>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</si>
  <si>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</si>
  <si>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</si>
  <si>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</si>
  <si>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</si>
  <si>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</si>
  <si>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</si>
  <si>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</si>
  <si>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</si>
  <si>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</si>
  <si>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</si>
  <si>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</si>
  <si>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</si>
  <si>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</si>
  <si>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</si>
  <si>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</si>
  <si>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</si>
  <si>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</si>
  <si>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</si>
  <si>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</si>
  <si>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</si>
  <si>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</si>
  <si>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</si>
  <si>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</si>
  <si>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</si>
  <si>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</si>
  <si>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</si>
  <si>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</si>
  <si>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</si>
  <si>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</si>
  <si>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</si>
  <si>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</si>
  <si>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</si>
  <si>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</si>
  <si>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</si>
  <si>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</si>
  <si>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</si>
  <si>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</si>
  <si>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</si>
  <si>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</si>
  <si>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</si>
  <si>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</si>
  <si>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</si>
  <si>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</si>
  <si>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</si>
  <si>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</si>
  <si>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</si>
  <si>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</si>
  <si>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</si>
  <si>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</si>
  <si>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</si>
  <si>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</si>
  <si>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</si>
  <si>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</si>
  <si>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</si>
  <si>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</si>
  <si>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</si>
  <si>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</si>
  <si>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</si>
  <si>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</si>
  <si>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</si>
  <si>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</si>
  <si>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</si>
  <si>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</si>
  <si>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</si>
  <si>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</si>
  <si>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</si>
  <si>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</si>
  <si>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</si>
  <si>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</si>
  <si>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</si>
  <si>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</si>
  <si>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</si>
  <si>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</si>
  <si>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</si>
  <si>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</si>
  <si>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</si>
  <si>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</si>
  <si>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</si>
  <si>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</si>
  <si>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</si>
  <si>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</si>
  <si>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</si>
  <si>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</si>
  <si>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</si>
  <si>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</si>
  <si>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</si>
  <si>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</si>
  <si>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</si>
  <si>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</si>
  <si>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</si>
  <si>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</si>
  <si>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</si>
  <si>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</si>
  <si>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</si>
  <si>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</si>
  <si>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</si>
  <si>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</si>
  <si>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</si>
  <si>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</si>
  <si>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</si>
  <si>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</si>
  <si>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</si>
  <si>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</si>
  <si>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</si>
  <si>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</si>
  <si>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</si>
  <si>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</si>
  <si>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</si>
  <si>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</si>
  <si>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</si>
  <si>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</si>
  <si>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</si>
  <si>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</si>
  <si>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</si>
  <si>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</si>
  <si>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</si>
  <si>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</si>
  <si>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</si>
  <si>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</si>
  <si>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</si>
  <si>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</si>
  <si>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</si>
  <si>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</si>
  <si>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</si>
  <si>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</si>
  <si>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</si>
  <si>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</si>
  <si>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</si>
  <si>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</si>
  <si>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</si>
  <si>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</si>
  <si>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</si>
  <si>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</si>
  <si>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</si>
  <si>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</si>
  <si>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</si>
  <si>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</si>
  <si>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</si>
  <si>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</si>
  <si>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</si>
  <si>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</si>
  <si>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</si>
  <si>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</si>
  <si>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</si>
  <si>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</si>
  <si>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</si>
  <si>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</si>
  <si>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</si>
  <si>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</si>
  <si>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</si>
  <si>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</si>
  <si>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</si>
  <si>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</si>
  <si>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</si>
  <si>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</si>
  <si>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</si>
  <si>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</si>
  <si>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</si>
  <si>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</si>
  <si>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</si>
  <si>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</si>
  <si>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</si>
  <si>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</si>
  <si>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</si>
  <si>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</si>
  <si>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</si>
  <si>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</si>
  <si>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</si>
  <si>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</si>
  <si>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</si>
  <si>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</si>
  <si>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</si>
  <si>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</si>
  <si>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</si>
  <si>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</si>
  <si>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</si>
  <si>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</si>
  <si>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</si>
  <si>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</si>
  <si>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</si>
  <si>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</si>
  <si>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</si>
  <si>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</si>
  <si>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</si>
  <si>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</si>
  <si>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</si>
  <si>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</si>
  <si>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</si>
  <si>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</si>
  <si>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</si>
  <si>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</si>
  <si>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</si>
  <si>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</si>
  <si>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</si>
  <si>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</si>
  <si>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</si>
  <si>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</si>
  <si>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</si>
  <si>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</si>
  <si>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</si>
  <si>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</si>
  <si>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</si>
  <si>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</si>
  <si>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</si>
  <si>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</si>
  <si>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</si>
  <si>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</si>
  <si>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</si>
  <si>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</si>
  <si>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</si>
  <si>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</si>
  <si>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</si>
  <si>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</si>
  <si>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</si>
  <si>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</si>
  <si>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</si>
  <si>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</si>
  <si>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</si>
  <si>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</si>
  <si>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</si>
  <si>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</si>
  <si>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</si>
  <si>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</si>
  <si>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</si>
  <si>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</si>
  <si>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</si>
  <si>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</si>
  <si>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</si>
  <si>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</si>
  <si>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</si>
  <si>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</si>
  <si>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</si>
  <si>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</si>
  <si>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</si>
  <si>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</si>
  <si>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</si>
  <si>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</si>
  <si>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</si>
  <si>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</si>
  <si>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</si>
  <si>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</si>
  <si>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</si>
  <si>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</si>
  <si>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</si>
  <si>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</si>
  <si>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</si>
  <si>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</si>
  <si>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</si>
  <si>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</si>
  <si>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</si>
  <si>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</si>
  <si>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</si>
  <si>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</si>
  <si>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</si>
  <si>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</si>
  <si>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</si>
  <si>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</si>
  <si>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</si>
  <si>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</si>
  <si>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</si>
  <si>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</si>
  <si>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</si>
  <si>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</si>
  <si>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</si>
  <si>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</si>
  <si>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</si>
  <si>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</si>
  <si>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</si>
  <si>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</si>
  <si>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</si>
  <si>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</si>
  <si>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</si>
  <si>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</si>
  <si>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</si>
  <si>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</si>
  <si>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</si>
  <si>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</si>
  <si>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</si>
  <si>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</si>
  <si>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</si>
  <si>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</si>
  <si>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</si>
  <si>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</si>
  <si>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</si>
  <si>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</si>
  <si>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</si>
  <si>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</si>
  <si>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</si>
  <si>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</si>
  <si>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</si>
  <si>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</si>
  <si>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</si>
  <si>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</si>
  <si>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</si>
  <si>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</si>
  <si>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</si>
  <si>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</si>
  <si>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</si>
  <si>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</si>
  <si>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</si>
  <si>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</si>
  <si>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</si>
  <si>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</si>
  <si>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</si>
  <si>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</si>
  <si>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</si>
  <si>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</si>
  <si>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</si>
  <si>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</si>
  <si>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</si>
  <si>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</si>
  <si>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</si>
  <si>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</si>
  <si>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</si>
  <si>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</si>
  <si>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</si>
  <si>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</si>
  <si>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</si>
  <si>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</si>
  <si>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</si>
  <si>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</si>
  <si>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</si>
  <si>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</si>
  <si>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</si>
  <si>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</si>
  <si>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</si>
  <si>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</si>
  <si>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</si>
  <si>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</si>
  <si>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</si>
  <si>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</si>
  <si>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</si>
  <si>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</si>
  <si>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</si>
  <si>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</si>
  <si>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</si>
  <si>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</si>
  <si>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</si>
  <si>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</si>
  <si>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</si>
  <si>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</si>
  <si>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</si>
  <si>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</si>
  <si>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</si>
  <si>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</si>
  <si>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</si>
  <si>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</si>
  <si>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</si>
  <si>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</si>
  <si>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</si>
  <si>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</si>
  <si>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</si>
  <si>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</si>
  <si>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</si>
  <si>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</si>
  <si>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</si>
  <si>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</si>
  <si>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</si>
  <si>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</si>
  <si>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</si>
  <si>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</si>
  <si>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</si>
  <si>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</si>
  <si>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</si>
  <si>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</si>
  <si>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</si>
  <si>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</si>
  <si>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</si>
  <si>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</si>
  <si>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</si>
  <si>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</si>
  <si>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</si>
  <si>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</si>
  <si>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</si>
  <si>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</si>
  <si>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</si>
  <si>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</si>
  <si>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</si>
  <si>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</si>
  <si>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</si>
  <si>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</si>
  <si>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</si>
  <si>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</si>
  <si>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</si>
  <si>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</si>
  <si>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</si>
  <si>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</si>
  <si>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</si>
  <si>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</si>
  <si>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</si>
  <si>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</si>
  <si>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</si>
  <si>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</si>
  <si>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</si>
  <si>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</si>
  <si>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</si>
  <si>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</si>
  <si>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</si>
  <si>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</si>
  <si>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</si>
  <si>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</si>
  <si>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</si>
  <si>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</si>
  <si>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</si>
  <si>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</si>
  <si>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</si>
  <si>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</si>
  <si>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</si>
  <si>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</si>
  <si>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</si>
  <si>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</si>
  <si>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</si>
  <si>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</si>
  <si>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</si>
  <si>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</si>
  <si>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</si>
  <si>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</si>
  <si>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</si>
  <si>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</si>
  <si>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</si>
  <si>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</si>
  <si>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</si>
  <si>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</si>
  <si>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</si>
  <si>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</si>
  <si>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</si>
  <si>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</si>
  <si>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</si>
  <si>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</si>
  <si>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</si>
  <si>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</si>
  <si>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</si>
  <si>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</si>
  <si>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</si>
  <si>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</si>
  <si>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</si>
  <si>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</si>
  <si>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</si>
  <si>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</si>
  <si>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</si>
  <si>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</si>
  <si>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</si>
  <si>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</si>
  <si>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</si>
  <si>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</si>
  <si>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</si>
  <si>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</si>
  <si>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</si>
  <si>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</si>
  <si>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</si>
  <si>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</si>
  <si>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</si>
  <si>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</si>
  <si>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</si>
  <si>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</si>
  <si>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</si>
  <si>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</si>
  <si>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</si>
  <si>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</si>
  <si>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</si>
  <si>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</si>
  <si>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</si>
  <si>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</si>
  <si>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</si>
  <si>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</si>
  <si>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</si>
  <si>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</si>
  <si>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</si>
  <si>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</si>
  <si>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</si>
  <si>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</si>
  <si>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</si>
  <si>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</si>
  <si>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</si>
  <si>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</si>
  <si>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</si>
  <si>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</si>
  <si>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</si>
  <si>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</si>
  <si>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</si>
  <si>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</si>
  <si>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</si>
  <si>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</si>
  <si>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</si>
  <si>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</si>
  <si>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</si>
  <si>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</si>
  <si>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</si>
  <si>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</si>
  <si>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</si>
  <si>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</si>
  <si>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</si>
  <si>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</si>
  <si>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</si>
  <si>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</si>
  <si>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</si>
  <si>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</si>
  <si>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</si>
  <si>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</si>
  <si>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</si>
  <si>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</si>
  <si>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</si>
  <si>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</si>
  <si>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</si>
  <si>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</si>
  <si>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</si>
  <si>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</si>
  <si>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</si>
  <si>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</si>
  <si>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</si>
  <si>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</si>
  <si>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</si>
  <si>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</si>
  <si>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</si>
  <si>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</si>
  <si>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</si>
  <si>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</si>
  <si>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</si>
  <si>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</si>
  <si>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</si>
  <si>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</si>
  <si>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</si>
  <si>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</si>
  <si>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</si>
  <si>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</si>
  <si>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</si>
  <si>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</si>
  <si>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</si>
  <si>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</si>
  <si>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</si>
  <si>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</si>
  <si>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</si>
  <si>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</si>
  <si>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</si>
  <si>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</si>
  <si>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</si>
  <si>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</si>
  <si>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</si>
  <si>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</si>
  <si>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</si>
  <si>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</si>
  <si>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</si>
  <si>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</si>
  <si>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</si>
  <si>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</si>
  <si>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</si>
  <si>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</si>
  <si>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</si>
  <si>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</si>
  <si>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</si>
  <si>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</si>
  <si>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</si>
  <si>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</si>
  <si>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</si>
  <si>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</si>
  <si>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</si>
  <si>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</si>
  <si>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</si>
  <si>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</si>
  <si>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</si>
  <si>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</si>
  <si>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</si>
  <si>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</si>
  <si>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</si>
  <si>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</si>
  <si>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</si>
  <si>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</si>
  <si>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</si>
  <si>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</si>
  <si>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</si>
  <si>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</si>
  <si>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</si>
  <si>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</si>
  <si>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</si>
  <si>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</si>
  <si>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</si>
  <si>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</si>
  <si>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</si>
  <si>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</si>
  <si>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</si>
  <si>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</si>
  <si>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</si>
  <si>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</si>
  <si>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</si>
  <si>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</si>
  <si>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</si>
  <si>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</si>
  <si>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</si>
  <si>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</si>
  <si>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</si>
  <si>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</si>
  <si>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</si>
  <si>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</si>
  <si>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</si>
  <si>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</si>
  <si>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</si>
  <si>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</si>
  <si>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</si>
  <si>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</si>
  <si>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</si>
  <si>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</si>
  <si>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</si>
  <si>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</si>
  <si>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</si>
  <si>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</si>
  <si>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</si>
  <si>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</si>
  <si>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</si>
  <si>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</si>
  <si>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</si>
  <si>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</si>
  <si>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</si>
  <si>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</si>
  <si>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</si>
  <si>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</si>
  <si>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</si>
  <si>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</si>
  <si>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</si>
  <si>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</si>
  <si>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</si>
  <si>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</si>
  <si>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</si>
  <si>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</si>
  <si>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</si>
  <si>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</si>
  <si>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</si>
  <si>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</si>
  <si>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</si>
  <si>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</si>
  <si>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</si>
  <si>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</si>
  <si>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</si>
  <si>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</si>
  <si>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</si>
  <si>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</si>
  <si>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</si>
  <si>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</si>
  <si>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</si>
  <si>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</si>
  <si>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</si>
  <si>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</si>
  <si>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</si>
  <si>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</si>
  <si>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</si>
  <si>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</si>
  <si>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</si>
  <si>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</si>
  <si>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</si>
  <si>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</si>
  <si>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</si>
  <si>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</si>
  <si>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</si>
  <si>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</si>
  <si>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</si>
  <si>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</si>
  <si>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</si>
  <si>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</si>
  <si>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</si>
  <si>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</si>
  <si>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</si>
  <si>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</si>
  <si>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</si>
  <si>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</si>
  <si>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</si>
  <si>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</si>
  <si>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</si>
  <si>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</si>
  <si>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</si>
  <si>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</si>
  <si>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</si>
  <si>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</si>
  <si>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</si>
  <si>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</si>
  <si>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</si>
  <si>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</si>
  <si>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</si>
  <si>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</si>
  <si>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</si>
  <si>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</si>
  <si>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</si>
  <si>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</si>
  <si>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</si>
  <si>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</si>
  <si>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</si>
  <si>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</si>
  <si>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</si>
  <si>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</si>
  <si>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</si>
  <si>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</si>
  <si>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</si>
  <si>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</si>
  <si>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</si>
  <si>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</si>
  <si>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</si>
  <si>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</si>
  <si>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</si>
  <si>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</si>
  <si>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</si>
  <si>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</si>
  <si>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</si>
  <si>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</si>
  <si>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</si>
  <si>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</si>
  <si>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</si>
  <si>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</si>
  <si>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</si>
  <si>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</si>
  <si>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</si>
  <si>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</si>
  <si>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</si>
  <si>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</si>
  <si>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</si>
  <si>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</si>
  <si>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</si>
  <si>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</si>
  <si>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</si>
  <si>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</si>
  <si>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</si>
  <si>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</si>
  <si>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</si>
  <si>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</si>
  <si>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</si>
  <si>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</si>
  <si>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</si>
  <si>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</si>
  <si>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</si>
  <si>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</si>
  <si>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</si>
  <si>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</si>
  <si>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</si>
  <si>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</si>
  <si>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</si>
  <si>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</si>
  <si>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</si>
  <si>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</si>
  <si>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</si>
  <si>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</si>
  <si>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</si>
  <si>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</si>
  <si>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</si>
  <si>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</si>
  <si>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</si>
  <si>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</si>
  <si>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</si>
  <si>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</si>
  <si>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</si>
  <si>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</si>
  <si>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</si>
  <si>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</si>
  <si>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</si>
  <si>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</si>
  <si>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</si>
  <si>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</si>
  <si>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</si>
  <si>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</si>
  <si>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</si>
  <si>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</si>
  <si>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</si>
  <si>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</si>
  <si>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</si>
  <si>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</si>
  <si>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</si>
  <si>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</si>
  <si>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</si>
  <si>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</si>
  <si>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</si>
  <si>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</si>
  <si>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</si>
  <si>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</si>
  <si>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</si>
  <si>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</si>
  <si>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</si>
  <si>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</si>
  <si>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</si>
  <si>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</si>
  <si>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</si>
  <si>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</si>
  <si>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</si>
  <si>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</si>
  <si>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</si>
  <si>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</si>
  <si>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</si>
  <si>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</si>
  <si>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</si>
  <si>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</si>
  <si>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</si>
  <si>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</si>
  <si>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</si>
  <si>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</si>
  <si>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</si>
  <si>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</si>
  <si>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</si>
  <si>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</si>
  <si>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</si>
  <si>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</si>
  <si>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</si>
  <si>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</si>
  <si>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</si>
  <si>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</si>
  <si>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</si>
  <si>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</si>
  <si>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</si>
  <si>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</si>
  <si>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</si>
  <si>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</si>
  <si>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</si>
  <si>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</si>
  <si>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</si>
  <si>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</si>
  <si>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</si>
  <si>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</si>
  <si>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</si>
  <si>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</si>
  <si>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</si>
  <si>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</si>
  <si>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</si>
  <si>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</si>
  <si>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</si>
  <si>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</si>
  <si>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</si>
  <si>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</si>
  <si>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</si>
  <si>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</si>
  <si>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</si>
  <si>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</si>
  <si>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</si>
  <si>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</si>
  <si>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</si>
  <si>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</si>
  <si>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</si>
  <si>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</si>
  <si>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</si>
  <si>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</si>
  <si>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</si>
  <si>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</si>
  <si>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</si>
  <si>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</si>
  <si>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</si>
  <si>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</si>
  <si>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</si>
  <si>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</si>
  <si>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</si>
  <si>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</si>
  <si>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</si>
  <si>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</si>
  <si>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</si>
  <si>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</si>
  <si>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</si>
  <si>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</si>
  <si>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</si>
  <si>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</si>
  <si>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</si>
  <si>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</si>
  <si>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</si>
  <si>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</si>
  <si>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</si>
  <si>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</si>
  <si>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</si>
  <si>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</si>
  <si>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</si>
  <si>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</si>
  <si>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</si>
  <si>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</si>
  <si>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</si>
  <si>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</si>
  <si>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</si>
  <si>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</si>
  <si>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</si>
  <si>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</si>
  <si>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</si>
  <si>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</si>
  <si>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</si>
  <si>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</si>
  <si>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</si>
  <si>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</si>
  <si>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</si>
  <si>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</si>
  <si>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</si>
  <si>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</si>
  <si>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</si>
  <si>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</si>
  <si>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</si>
  <si>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</si>
  <si>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</si>
  <si>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</si>
  <si>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</si>
  <si>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</si>
  <si>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</si>
  <si>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</si>
  <si>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</si>
  <si>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</si>
  <si>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</si>
  <si>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</si>
  <si>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</si>
  <si>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</si>
  <si>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</si>
  <si>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</si>
  <si>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</si>
  <si>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</si>
  <si>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</si>
  <si>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</si>
  <si>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</si>
  <si>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</si>
  <si>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</si>
  <si>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</si>
  <si>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</si>
  <si>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</si>
  <si>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</si>
  <si>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</si>
  <si>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</si>
  <si>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</si>
  <si>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</si>
  <si>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</si>
  <si>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</si>
  <si>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</si>
  <si>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</si>
  <si>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</si>
  <si>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</si>
  <si>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</si>
  <si>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</si>
  <si>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</si>
  <si>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</si>
  <si>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</si>
  <si>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</si>
  <si>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</si>
  <si>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</si>
  <si>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</si>
  <si>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</si>
  <si>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</si>
  <si>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</si>
  <si>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</si>
  <si>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</si>
  <si>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</si>
  <si>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</si>
  <si>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</si>
  <si>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</si>
  <si>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</si>
  <si>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</si>
  <si>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</si>
  <si>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</si>
  <si>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</si>
  <si>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</si>
  <si>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</si>
  <si>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</si>
  <si>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</si>
  <si>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</si>
  <si>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</si>
  <si>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</si>
  <si>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</si>
  <si>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</si>
  <si>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</si>
  <si>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</si>
  <si>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</si>
  <si>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</si>
  <si>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</si>
  <si>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</si>
  <si>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</si>
  <si>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</si>
  <si>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</si>
  <si>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</si>
  <si>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</si>
  <si>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</si>
  <si>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</si>
  <si>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</si>
  <si>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</si>
  <si>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</si>
  <si>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</si>
  <si>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</si>
  <si>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</si>
  <si>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</si>
  <si>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</si>
  <si>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</si>
  <si>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</si>
  <si>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</si>
  <si>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</si>
  <si>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</si>
  <si>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</si>
  <si>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</si>
  <si>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</si>
  <si>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</si>
  <si>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</si>
  <si>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</si>
  <si>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</si>
  <si>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</si>
  <si>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</si>
  <si>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</si>
  <si>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</si>
  <si>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</si>
  <si>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</si>
  <si>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</si>
  <si>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</si>
  <si>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</si>
  <si>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</si>
  <si>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</si>
  <si>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</si>
  <si>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</si>
  <si>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</si>
  <si>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</si>
  <si>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</si>
  <si>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</si>
  <si>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</si>
  <si>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</si>
  <si>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</si>
  <si>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</si>
  <si>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</si>
  <si>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</si>
  <si>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</si>
  <si>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</si>
  <si>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</si>
  <si>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</si>
  <si>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</si>
  <si>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</si>
  <si>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</si>
  <si>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</si>
  <si>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</si>
  <si>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</si>
  <si>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</si>
  <si>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</si>
  <si>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</si>
  <si>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</si>
  <si>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</si>
  <si>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</si>
  <si>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</si>
  <si>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</si>
  <si>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</si>
  <si>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</si>
  <si>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</si>
  <si>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</si>
  <si>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</si>
  <si>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</si>
  <si>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</si>
  <si>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</si>
  <si>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</si>
  <si>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</si>
  <si>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</si>
  <si>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</si>
  <si>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</si>
  <si>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</si>
  <si>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</si>
  <si>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</si>
  <si>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</si>
  <si>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</si>
  <si>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</si>
  <si>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</si>
  <si>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</si>
  <si>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</si>
  <si>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</si>
  <si>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</si>
  <si>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</si>
  <si>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</si>
  <si>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</si>
  <si>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</si>
  <si>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</si>
  <si>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</si>
  <si>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</si>
  <si>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</si>
  <si>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</si>
  <si>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</si>
  <si>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</si>
  <si>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</si>
  <si>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</si>
  <si>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</si>
  <si>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</si>
  <si>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</si>
  <si>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</si>
  <si>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</si>
  <si>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</si>
  <si>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</si>
  <si>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</si>
  <si>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</si>
  <si>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</si>
  <si>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</si>
  <si>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</si>
  <si>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</si>
  <si>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</si>
  <si>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</si>
  <si>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</si>
  <si>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</si>
  <si>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</si>
  <si>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</si>
  <si>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</si>
  <si>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</si>
  <si>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</si>
  <si>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</si>
  <si>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</si>
  <si>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</si>
  <si>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</si>
  <si>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</si>
  <si>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</si>
  <si>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</si>
  <si>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</si>
  <si>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</si>
  <si>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</si>
  <si>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</si>
  <si>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</si>
  <si>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</si>
  <si>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</si>
  <si>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</si>
  <si>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</si>
  <si>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</si>
  <si>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</si>
  <si>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</si>
  <si>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</si>
  <si>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</si>
  <si>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</si>
  <si>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</si>
  <si>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</si>
  <si>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</si>
  <si>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</si>
  <si>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</si>
  <si>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</si>
  <si>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</si>
  <si>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</si>
  <si>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</si>
  <si>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</si>
  <si>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</si>
  <si>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</si>
  <si>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</si>
  <si>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</si>
  <si>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</si>
  <si>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</si>
  <si>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</si>
  <si>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</si>
  <si>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</si>
  <si>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</si>
  <si>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</si>
  <si>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</si>
  <si>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</si>
  <si>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</si>
  <si>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</si>
  <si>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</si>
  <si>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</si>
  <si>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</si>
  <si>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</si>
  <si>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</si>
  <si>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</si>
  <si>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</si>
  <si>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</si>
  <si>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</si>
  <si>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</si>
  <si>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</si>
  <si>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</si>
  <si>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</si>
  <si>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</si>
  <si>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</si>
  <si>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</si>
  <si>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</si>
  <si>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</si>
  <si>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</si>
  <si>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</si>
  <si>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</si>
  <si>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</si>
  <si>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</si>
  <si>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</si>
  <si>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</si>
  <si>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</si>
  <si>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</si>
  <si>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</si>
  <si>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</si>
  <si>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</si>
  <si>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</si>
  <si>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</si>
  <si>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</si>
  <si>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</si>
  <si>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</si>
  <si>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</si>
  <si>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</si>
  <si>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</si>
  <si>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</si>
  <si>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</si>
  <si>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</si>
  <si>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</si>
  <si>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</si>
  <si>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</si>
  <si>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</si>
  <si>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</si>
  <si>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</si>
  <si>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</si>
  <si>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</si>
  <si>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</si>
  <si>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</si>
  <si>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</si>
  <si>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</si>
  <si>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</si>
  <si>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</si>
  <si>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</si>
  <si>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</si>
  <si>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</si>
  <si>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</si>
  <si>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</si>
  <si>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</si>
  <si>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</si>
  <si>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</si>
  <si>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</si>
  <si>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</si>
  <si>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</si>
  <si>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</si>
  <si>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</si>
  <si>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</si>
  <si>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</si>
  <si>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</si>
  <si>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</si>
  <si>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</si>
  <si>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</si>
  <si>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</si>
  <si>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</si>
  <si>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</si>
  <si>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</si>
  <si>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</si>
  <si>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</si>
  <si>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</si>
  <si>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</si>
  <si>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</si>
  <si>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</si>
  <si>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</si>
  <si>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</si>
  <si>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</si>
  <si>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</si>
  <si>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</si>
  <si>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</si>
  <si>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</si>
  <si>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</si>
  <si>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</si>
  <si>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</si>
  <si>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</si>
  <si>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</si>
  <si>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</si>
  <si>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</si>
  <si>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</si>
  <si>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</si>
  <si>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</si>
  <si>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</si>
  <si>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</si>
  <si>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</si>
  <si>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</si>
  <si>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</si>
  <si>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</si>
  <si>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</si>
  <si>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</si>
  <si>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</si>
  <si>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</si>
  <si>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</si>
  <si>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</si>
  <si>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</si>
  <si>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</si>
  <si>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</si>
  <si>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</si>
  <si>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</si>
  <si>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</si>
  <si>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</si>
  <si>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</si>
  <si>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</si>
  <si>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</si>
  <si>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</si>
  <si>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</si>
  <si>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</si>
  <si>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</si>
  <si>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</si>
  <si>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</si>
  <si>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</si>
  <si>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</si>
  <si>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</si>
  <si>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</si>
  <si>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</si>
  <si>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</si>
  <si>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</si>
  <si>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</si>
  <si>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</si>
  <si>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</si>
  <si>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</si>
  <si>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</si>
  <si>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</si>
  <si>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</si>
  <si>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</si>
  <si>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</si>
  <si>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</si>
  <si>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</si>
  <si>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</si>
  <si>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</si>
  <si>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</si>
  <si>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</si>
  <si>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</si>
  <si>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</si>
  <si>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</si>
  <si>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</si>
  <si>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</si>
  <si>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</si>
  <si>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</si>
  <si>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</si>
  <si>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</si>
  <si>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</si>
  <si>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</si>
  <si>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</si>
  <si>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</si>
  <si>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</si>
  <si>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</si>
  <si>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</si>
  <si>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</si>
  <si>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</si>
  <si>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</si>
  <si>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</si>
  <si>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</si>
  <si>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</si>
  <si>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</si>
  <si>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</si>
  <si>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</si>
  <si>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</si>
  <si>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</si>
  <si>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</si>
  <si>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</si>
  <si>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</si>
  <si>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</si>
  <si>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</si>
  <si>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</si>
  <si>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</si>
  <si>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</si>
  <si>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</si>
  <si>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</si>
  <si>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</si>
  <si>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</si>
  <si>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</si>
  <si>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</si>
  <si>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</si>
  <si>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</si>
  <si>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</si>
  <si>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</si>
  <si>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</si>
  <si>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</si>
  <si>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</si>
  <si>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</si>
  <si>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</si>
  <si>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</si>
  <si>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</si>
  <si>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</si>
  <si>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</si>
  <si>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</si>
  <si>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</si>
  <si>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</si>
  <si>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</si>
  <si>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</si>
  <si>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</si>
  <si>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</si>
  <si>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</si>
  <si>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</si>
  <si>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</si>
  <si>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</si>
  <si>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</si>
  <si>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</si>
  <si>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</si>
  <si>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</si>
  <si>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</si>
  <si>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</si>
  <si>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</si>
  <si>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</si>
  <si>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</si>
  <si>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</si>
  <si>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</si>
  <si>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</si>
  <si>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</si>
  <si>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</si>
  <si>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</si>
  <si>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</si>
  <si>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</si>
  <si>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</si>
  <si>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</si>
  <si>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</si>
  <si>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</si>
  <si>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</si>
  <si>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</si>
  <si>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</si>
  <si>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</si>
  <si>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</si>
  <si>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</si>
  <si>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</si>
  <si>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</si>
  <si>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</si>
  <si>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</si>
  <si>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</si>
  <si>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</si>
  <si>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</si>
  <si>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</si>
  <si>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</si>
  <si>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</si>
  <si>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</si>
  <si>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</si>
  <si>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</si>
  <si>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</si>
  <si>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</si>
  <si>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</si>
  <si>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</si>
  <si>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</si>
  <si>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</si>
  <si>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</si>
  <si>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</si>
  <si>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</si>
  <si>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</si>
  <si>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</si>
  <si>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</si>
  <si>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</si>
  <si>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</si>
  <si>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</si>
  <si>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</si>
  <si>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</si>
  <si>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</si>
  <si>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</si>
  <si>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</si>
  <si>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</si>
  <si>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</si>
  <si>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</si>
  <si>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</si>
  <si>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</si>
  <si>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</si>
  <si>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</si>
  <si>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</si>
  <si>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</si>
  <si>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</si>
  <si>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</si>
  <si>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</si>
  <si>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</si>
  <si>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</si>
  <si>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</si>
  <si>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</si>
  <si>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</si>
  <si>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</si>
  <si>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</si>
  <si>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</si>
  <si>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</si>
  <si>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</si>
  <si>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</si>
  <si>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</si>
  <si>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</si>
  <si>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</si>
  <si>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</si>
  <si>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</si>
  <si>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</si>
  <si>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</si>
  <si>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</si>
  <si>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</si>
  <si>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</si>
  <si>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</si>
  <si>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</si>
  <si>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</si>
  <si>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</si>
  <si>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</si>
  <si>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</si>
  <si>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</si>
  <si>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</si>
  <si>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</si>
  <si>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</si>
  <si>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</si>
  <si>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</si>
  <si>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</si>
  <si>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</si>
  <si>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</si>
  <si>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</si>
  <si>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</si>
  <si>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</si>
  <si>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</si>
  <si>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</si>
  <si>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</si>
  <si>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</si>
  <si>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</si>
  <si>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</si>
  <si>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</si>
  <si>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</si>
  <si>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</si>
  <si>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</si>
  <si>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</si>
  <si>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</si>
  <si>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</si>
  <si>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</si>
  <si>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</si>
  <si>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</si>
  <si>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</si>
  <si>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</si>
  <si>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</si>
  <si>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</si>
  <si>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</si>
  <si>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</si>
  <si>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</si>
  <si>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</si>
  <si>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</si>
  <si>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</si>
  <si>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</si>
  <si>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</si>
  <si>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</si>
  <si>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</si>
  <si>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</si>
  <si>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</si>
  <si>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</si>
  <si>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</si>
  <si>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</si>
  <si>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</si>
  <si>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</si>
  <si>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</si>
  <si>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</si>
  <si>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</si>
  <si>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</si>
  <si>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</si>
  <si>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</si>
  <si>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</si>
  <si>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</si>
  <si>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</si>
  <si>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</si>
  <si>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</si>
  <si>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</si>
  <si>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</si>
  <si>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</si>
  <si>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</si>
  <si>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</si>
  <si>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</si>
  <si>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</si>
  <si>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</si>
  <si>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</si>
  <si>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</si>
  <si>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</si>
  <si>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</si>
  <si>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</si>
  <si>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</si>
  <si>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</si>
  <si>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</si>
  <si>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</si>
  <si>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</si>
  <si>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</si>
  <si>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</si>
  <si>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</si>
  <si>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</si>
  <si>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</si>
  <si>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</si>
  <si>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</si>
  <si>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</si>
  <si>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</si>
  <si>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</si>
  <si>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</si>
  <si>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</si>
  <si>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</si>
  <si>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</si>
  <si>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</si>
  <si>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</si>
  <si>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</si>
  <si>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</si>
  <si>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</si>
  <si>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</si>
  <si>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</si>
  <si>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</si>
  <si>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</si>
  <si>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</si>
  <si>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</si>
  <si>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</si>
  <si>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</si>
  <si>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</si>
  <si>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</si>
  <si>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</si>
  <si>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</si>
  <si>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</si>
  <si>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</si>
  <si>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</si>
  <si>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</si>
  <si>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</si>
  <si>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</si>
  <si>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</si>
  <si>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</si>
  <si>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</si>
  <si>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</si>
  <si>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</si>
  <si>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</si>
  <si>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</si>
  <si>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</si>
  <si>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</si>
  <si>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</si>
  <si>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</si>
  <si>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</si>
  <si>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</si>
  <si>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</si>
  <si>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</si>
  <si>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</si>
  <si>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</si>
  <si>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</si>
  <si>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</si>
  <si>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</si>
  <si>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</si>
  <si>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</si>
  <si>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</si>
  <si>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</si>
  <si>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</si>
  <si>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</si>
  <si>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</si>
  <si>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</si>
  <si>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</si>
  <si>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</si>
  <si>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</si>
  <si>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</si>
  <si>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</si>
  <si>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</si>
  <si>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</si>
  <si>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</si>
  <si>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</si>
  <si>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</si>
  <si>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</si>
  <si>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</si>
  <si>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</si>
  <si>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</si>
  <si>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</si>
  <si>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</si>
  <si>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</si>
  <si>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</si>
  <si>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</si>
  <si>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</si>
  <si>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</si>
  <si>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</si>
  <si>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</si>
  <si>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</si>
  <si>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</si>
  <si>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</si>
  <si>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</si>
  <si>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</si>
  <si>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</si>
  <si>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</si>
  <si>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</si>
  <si>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</si>
  <si>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</si>
  <si>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</si>
  <si>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</si>
  <si>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</si>
  <si>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</si>
  <si>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</si>
  <si>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</si>
  <si>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</si>
  <si>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</si>
  <si>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</si>
  <si>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</si>
  <si>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</si>
  <si>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</si>
  <si>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</si>
  <si>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</si>
  <si>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</si>
  <si>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</si>
  <si>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</si>
  <si>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</si>
  <si>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</si>
  <si>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</si>
  <si>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</si>
  <si>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</si>
  <si>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</si>
  <si>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</si>
  <si>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</si>
  <si>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</si>
  <si>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</si>
  <si>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</si>
  <si>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</si>
  <si>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</si>
  <si>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</si>
  <si>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</si>
  <si>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</si>
  <si>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</si>
  <si>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</si>
  <si>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</si>
  <si>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</si>
  <si>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</si>
  <si>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</si>
  <si>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</si>
  <si>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</si>
  <si>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</si>
  <si>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</si>
  <si>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</si>
  <si>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</si>
  <si>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</si>
  <si>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</si>
  <si>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</si>
  <si>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</si>
  <si>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</si>
  <si>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</si>
  <si>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</si>
  <si>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</si>
  <si>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</si>
  <si>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</si>
  <si>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</si>
  <si>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</si>
  <si>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</si>
  <si>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</si>
  <si>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</si>
  <si>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</si>
  <si>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</si>
  <si>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</si>
  <si>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</si>
  <si>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</si>
  <si>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</si>
  <si>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</si>
  <si>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</si>
  <si>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</si>
  <si>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</si>
  <si>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</si>
  <si>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</si>
  <si>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</si>
  <si>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</si>
  <si>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</si>
  <si>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</si>
  <si>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</si>
  <si>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</si>
  <si>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</si>
  <si>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</si>
  <si>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</si>
  <si>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</si>
  <si>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</si>
  <si>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</si>
  <si>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</si>
  <si>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</si>
  <si>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</si>
  <si>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</si>
  <si>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</si>
  <si>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</si>
  <si>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</si>
  <si>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</si>
  <si>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</si>
  <si>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</si>
  <si>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</si>
  <si>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</si>
  <si>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</si>
  <si>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</si>
  <si>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</si>
  <si>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</si>
  <si>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</si>
  <si>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</si>
  <si>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</si>
  <si>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</si>
  <si>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</si>
  <si>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</si>
  <si>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</si>
  <si>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</si>
  <si>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</si>
  <si>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</si>
  <si>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</si>
  <si>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</si>
  <si>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</si>
  <si>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</si>
  <si>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</si>
  <si>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</si>
  <si>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</si>
  <si>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</si>
  <si>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</si>
  <si>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</si>
  <si>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</si>
  <si>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</si>
  <si>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</si>
  <si>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</si>
  <si>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</si>
  <si>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</si>
  <si>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</si>
  <si>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</si>
  <si>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</si>
  <si>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</si>
  <si>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</si>
  <si>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</si>
  <si>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</si>
  <si>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</si>
  <si>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</si>
  <si>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</si>
  <si>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</si>
  <si>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</si>
  <si>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</si>
  <si>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</si>
  <si>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</si>
  <si>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</si>
  <si>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</si>
  <si>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</si>
  <si>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</si>
  <si>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</si>
  <si>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</si>
  <si>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</si>
  <si>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</si>
  <si>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</si>
  <si>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</si>
  <si>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</si>
  <si>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</si>
  <si>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</si>
  <si>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</si>
  <si>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</si>
  <si>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</si>
  <si>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</si>
  <si>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</si>
  <si>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</si>
  <si>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</si>
  <si>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</si>
  <si>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</si>
  <si>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</si>
  <si>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</si>
  <si>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</si>
  <si>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</si>
  <si>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</si>
  <si>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</si>
  <si>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</si>
  <si>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</si>
  <si>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</si>
  <si>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</si>
  <si>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</si>
  <si>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</si>
  <si>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</si>
  <si>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</si>
  <si>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</si>
  <si>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</si>
  <si>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</si>
  <si>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</si>
  <si>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</si>
  <si>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</si>
  <si>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</si>
  <si>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</si>
  <si>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</si>
  <si>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</si>
  <si>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</si>
  <si>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</si>
  <si>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</si>
  <si>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</si>
  <si>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</si>
  <si>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</si>
  <si>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</si>
  <si>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</si>
  <si>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</si>
  <si>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</si>
  <si>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</si>
  <si>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</si>
  <si>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</si>
  <si>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</si>
  <si>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</si>
  <si>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</si>
  <si>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</si>
  <si>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</si>
  <si>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</si>
  <si>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</si>
  <si>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</si>
  <si>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</si>
  <si>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</si>
  <si>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</si>
  <si>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</si>
  <si>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</si>
  <si>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</si>
  <si>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</si>
  <si>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</si>
  <si>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</si>
  <si>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</si>
  <si>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</si>
  <si>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</si>
  <si>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</si>
  <si>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</si>
  <si>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</si>
  <si>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</si>
  <si>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</si>
  <si>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</si>
  <si>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</si>
  <si>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</si>
  <si>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</si>
  <si>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</si>
  <si>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</si>
  <si>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</si>
  <si>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</si>
  <si>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</si>
  <si>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</si>
  <si>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</si>
  <si>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</si>
  <si>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</si>
  <si>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</si>
  <si>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</si>
  <si>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</si>
  <si>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</si>
  <si>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</si>
  <si>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</si>
  <si>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</si>
  <si>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</si>
  <si>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</si>
  <si>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</si>
  <si>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</si>
  <si>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</si>
  <si>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</si>
  <si>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</si>
  <si>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</si>
  <si>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</si>
  <si>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</si>
  <si>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</si>
  <si>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</si>
  <si>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</si>
  <si>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</si>
  <si>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</si>
  <si>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</si>
  <si>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</si>
  <si>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</si>
  <si>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</si>
  <si>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</si>
  <si>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</si>
  <si>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</si>
  <si>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</si>
  <si>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</si>
  <si>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</si>
  <si>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</si>
  <si>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</si>
  <si>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</si>
  <si>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</si>
  <si>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</si>
  <si>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</si>
  <si>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</si>
  <si>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</si>
  <si>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</si>
  <si>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</si>
  <si>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</si>
  <si>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</si>
  <si>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</si>
  <si>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</si>
  <si>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</si>
  <si>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</si>
  <si>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</si>
  <si>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</si>
  <si>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</si>
  <si>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</si>
  <si>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</si>
  <si>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</si>
  <si>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</si>
  <si>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</si>
  <si>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</si>
  <si>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</si>
  <si>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</si>
  <si>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</si>
  <si>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</si>
  <si>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</si>
  <si>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</si>
  <si>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</si>
  <si>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</si>
  <si>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</si>
  <si>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</si>
  <si>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</si>
  <si>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</si>
  <si>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</si>
  <si>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</si>
  <si>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</si>
  <si>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</si>
  <si>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</si>
  <si>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</si>
  <si>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</si>
  <si>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</si>
  <si>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</si>
  <si>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</si>
  <si>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</si>
  <si>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</si>
  <si>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</si>
  <si>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</si>
  <si>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</si>
  <si>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</si>
  <si>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</si>
  <si>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</si>
  <si>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</si>
  <si>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</si>
  <si>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</si>
  <si>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</si>
  <si>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</si>
  <si>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</si>
  <si>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</si>
  <si>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</si>
  <si>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</si>
  <si>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</si>
  <si>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</si>
  <si>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</si>
  <si>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</si>
  <si>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</si>
  <si>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</si>
  <si>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</si>
  <si>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</si>
  <si>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</si>
  <si>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</si>
  <si>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</si>
  <si>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</si>
  <si>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</si>
  <si>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</si>
  <si>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</si>
  <si>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</si>
  <si>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</si>
  <si>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</si>
  <si>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</si>
  <si>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</si>
  <si>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</si>
  <si>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</si>
  <si>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</si>
  <si>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</si>
  <si>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</si>
  <si>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</si>
  <si>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</si>
  <si>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</si>
  <si>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</si>
  <si>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</si>
  <si>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</si>
  <si>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</si>
  <si>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</si>
  <si>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</si>
  <si>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</si>
  <si>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</si>
  <si>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</si>
  <si>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</si>
  <si>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</si>
  <si>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</si>
  <si>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</si>
  <si>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</si>
  <si>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</si>
  <si>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</si>
  <si>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</si>
  <si>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</si>
  <si>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</si>
  <si>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</si>
  <si>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</si>
  <si>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</si>
  <si>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</si>
  <si>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</si>
  <si>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</si>
  <si>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</si>
  <si>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</si>
  <si>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</si>
  <si>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</si>
  <si>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</si>
  <si>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</si>
  <si>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</si>
  <si>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</si>
  <si>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</si>
  <si>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</si>
  <si>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</si>
  <si>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</si>
  <si>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</si>
  <si>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</si>
  <si>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</si>
  <si>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</si>
  <si>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</si>
  <si>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</si>
  <si>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</si>
  <si>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</si>
  <si>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</si>
  <si>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</si>
  <si>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</si>
  <si>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</si>
  <si>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</si>
  <si>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</si>
  <si>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</si>
  <si>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</si>
  <si>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</si>
  <si>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</si>
  <si>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</si>
  <si>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</si>
  <si>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</si>
  <si>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</si>
  <si>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</si>
  <si>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</si>
  <si>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</si>
  <si>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</si>
  <si>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</si>
  <si>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</si>
  <si>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</si>
  <si>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</si>
  <si>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</si>
  <si>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</si>
  <si>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</si>
  <si>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</si>
  <si>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</si>
  <si>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</si>
  <si>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</si>
  <si>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</si>
  <si>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</si>
  <si>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</si>
  <si>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</si>
  <si>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</si>
  <si>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</si>
  <si>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</si>
  <si>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</si>
  <si>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</si>
  <si>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</si>
  <si>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</si>
  <si>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</si>
  <si>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</si>
  <si>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</si>
  <si>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</si>
  <si>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</si>
  <si>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</si>
  <si>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</si>
  <si>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</si>
  <si>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</si>
  <si>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</si>
  <si>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</si>
  <si>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</si>
  <si>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</si>
  <si>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</si>
  <si>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</si>
  <si>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</si>
  <si>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</si>
  <si>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</si>
  <si>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</si>
  <si>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</si>
  <si>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</si>
  <si>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</si>
  <si>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</si>
  <si>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</si>
  <si>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</si>
  <si>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</si>
  <si>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</si>
  <si>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</si>
  <si>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</si>
  <si>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</si>
  <si>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</si>
  <si>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</si>
  <si>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</si>
  <si>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</si>
  <si>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</si>
  <si>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</si>
  <si>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</si>
  <si>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</si>
  <si>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</si>
  <si>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</si>
  <si>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</si>
  <si>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</si>
  <si>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</si>
  <si>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</si>
  <si>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</si>
  <si>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</si>
  <si>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</si>
  <si>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</si>
  <si>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</si>
  <si>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</si>
  <si>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</si>
  <si>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</si>
  <si>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</si>
  <si>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</si>
  <si>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</si>
  <si>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</si>
  <si>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</si>
  <si>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</si>
  <si>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</si>
  <si>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</si>
  <si>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</si>
  <si>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</si>
  <si>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</si>
  <si>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</si>
  <si>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</si>
  <si>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</si>
  <si>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</si>
  <si>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</si>
  <si>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</si>
  <si>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</si>
  <si>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</si>
  <si>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</si>
  <si>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</si>
  <si>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</si>
  <si>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</si>
  <si>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</si>
  <si>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</si>
  <si>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February 26, 2024 Version</t>
  </si>
  <si>
    <t>Eden Housing, Inc.</t>
  </si>
  <si>
    <t>DTLMU Investors, L.P.</t>
  </si>
  <si>
    <t>119 Lincoln Street</t>
  </si>
  <si>
    <t>22645 Grand Street</t>
  </si>
  <si>
    <t>Hayward</t>
  </si>
  <si>
    <t>CA</t>
  </si>
  <si>
    <t>Kate Blessing-Kawamura</t>
  </si>
  <si>
    <t>kate.blessing-kawamura@edenhousing.org</t>
  </si>
  <si>
    <t>005-141-21 and 005-161-11 (will be combined)</t>
  </si>
  <si>
    <t>Andrea Osgood</t>
  </si>
  <si>
    <t>510-247-8103</t>
  </si>
  <si>
    <t>aosgood@edenhousing.org</t>
  </si>
  <si>
    <t>Eden DTLMU, LLC</t>
  </si>
  <si>
    <t>Managing GP</t>
  </si>
  <si>
    <t>FTF DTLMU, LLC</t>
  </si>
  <si>
    <t>Administrative GP</t>
  </si>
  <si>
    <t>433 Marsh Street</t>
  </si>
  <si>
    <t>Jim Rendler</t>
  </si>
  <si>
    <t>408-891-8303</t>
  </si>
  <si>
    <t>For the Future Housing, Inc.</t>
  </si>
  <si>
    <t>Developer</t>
  </si>
  <si>
    <t>San Luis Obispo, CA 93401</t>
  </si>
  <si>
    <t>jrendler@ftfhousing.com</t>
  </si>
  <si>
    <t>Cox Castle</t>
  </si>
  <si>
    <t>50 California Street, Ste. 3200</t>
  </si>
  <si>
    <t>Ofer Elitzur</t>
  </si>
  <si>
    <t>oelitzur@coxcastle.com</t>
  </si>
  <si>
    <t>CohnReznick LLP</t>
  </si>
  <si>
    <t>621 Copitol Mall, Ste.2150</t>
  </si>
  <si>
    <t>Sacramento, CA 95814</t>
  </si>
  <si>
    <t>Kinetic Valuation Group</t>
  </si>
  <si>
    <t>3901 S. 147th Street, Ste. 144</t>
  </si>
  <si>
    <t>California Municipal Finance Authority</t>
  </si>
  <si>
    <t>2111 Palomar Airport Rd., Ste 320</t>
  </si>
  <si>
    <t>Carlsbad, CA 92011</t>
  </si>
  <si>
    <t>Eden Housing Management, Inc.</t>
  </si>
  <si>
    <t>Hayward, CA 94541</t>
  </si>
  <si>
    <t>Darnell Williams</t>
  </si>
  <si>
    <t>darnell.williams@edenhousing.org</t>
  </si>
  <si>
    <t>California Housing Partnership</t>
  </si>
  <si>
    <t>Miki Kobayashi</t>
  </si>
  <si>
    <t>mkobayashi@chpc.net</t>
  </si>
  <si>
    <t>Ten Over Studio</t>
  </si>
  <si>
    <t>539 Marsh St.</t>
  </si>
  <si>
    <t>Joel Synder</t>
  </si>
  <si>
    <t>joels@tenoverstudio.com</t>
  </si>
  <si>
    <t>Echelcon, Inc.</t>
  </si>
  <si>
    <t xml:space="preserve">945 W. Julian Street </t>
  </si>
  <si>
    <t>San Jose, CA 95126</t>
  </si>
  <si>
    <t>Gustavo Auqui</t>
  </si>
  <si>
    <t>gustavoa@echelcon.com</t>
  </si>
  <si>
    <t>TBD</t>
  </si>
  <si>
    <t>City of Santa Cruz</t>
  </si>
  <si>
    <t>40%/60%</t>
  </si>
  <si>
    <t>Bonnie Lipscomb</t>
  </si>
  <si>
    <t>Economic Development Director</t>
  </si>
  <si>
    <t>337 Locust Street</t>
  </si>
  <si>
    <t>831-420-5150</t>
  </si>
  <si>
    <t>blipscomb@santacruzca.gov</t>
  </si>
  <si>
    <t>Downtown Library Mixed Use Project</t>
  </si>
  <si>
    <t>Brian Brewer</t>
  </si>
  <si>
    <t>916-930-5758</t>
  </si>
  <si>
    <t>916-442-9103</t>
  </si>
  <si>
    <t>brian.brewer@cohnreznick.com</t>
  </si>
  <si>
    <t>49 Stevenson Street, Suite 500</t>
  </si>
  <si>
    <t>San Francisco, CA 94105</t>
  </si>
  <si>
    <t>Jay Wortmann</t>
  </si>
  <si>
    <t>402.202.0771</t>
  </si>
  <si>
    <t>Omaha, NE 68144</t>
  </si>
  <si>
    <t>jay@kvgteam.com</t>
  </si>
  <si>
    <t>Inner City Infill Site</t>
  </si>
  <si>
    <t>Secured by Leasehold Interest</t>
  </si>
  <si>
    <t>RVC - Regional Visitor Commercial</t>
  </si>
  <si>
    <t>Density Bonus Agrmt with City of Santa Cruz will be recorded at closing</t>
  </si>
  <si>
    <t>0 spaces for residential</t>
  </si>
  <si>
    <t>HCD - AHSC</t>
  </si>
  <si>
    <t>City of Santa Cruz - AHTF</t>
  </si>
  <si>
    <t>City of Santa Cruz - LHTF</t>
  </si>
  <si>
    <t>Chase Const Loan Tax-Exempt</t>
  </si>
  <si>
    <t>Chase Const Loan Taxable</t>
  </si>
  <si>
    <t>LP Equity</t>
  </si>
  <si>
    <t>Costs deferred to Perm</t>
  </si>
  <si>
    <t>Chase Tax-Exempt Perm Loan</t>
  </si>
  <si>
    <t>CBD/FP-O (Central Business District/Floodplain Overlay), no maximum controls on density</t>
  </si>
  <si>
    <t>560 Mission Street, 3rd Floor</t>
  </si>
  <si>
    <t>James Vossoughi</t>
  </si>
  <si>
    <t>415-315-6708</t>
  </si>
  <si>
    <t>Construction Loan Tax-Exempt</t>
  </si>
  <si>
    <t>Construction Loan Taxable</t>
  </si>
  <si>
    <t>Housing Authority of the County of Santa Cruz</t>
  </si>
  <si>
    <t>50' (96' with approved density bonus waiver)</t>
  </si>
  <si>
    <t>Santa Cruz, CA 95060</t>
  </si>
  <si>
    <t>Tiffany Lake</t>
  </si>
  <si>
    <t>831-420-5109</t>
  </si>
  <si>
    <t>Residual Loan</t>
  </si>
  <si>
    <t>510-329-5102</t>
  </si>
  <si>
    <t>Deferred Costs</t>
  </si>
  <si>
    <t>Deferred fee</t>
  </si>
  <si>
    <t>Permanent</t>
  </si>
  <si>
    <t>2020 W. El Camino Ave., Ste. 670</t>
  </si>
  <si>
    <t>Sacramento, CA 94252</t>
  </si>
  <si>
    <t>Lynn Jones</t>
  </si>
  <si>
    <t>916-695-6071</t>
  </si>
  <si>
    <t>Residual Receipts</t>
  </si>
  <si>
    <t>Admin fees and direct costs</t>
  </si>
  <si>
    <t>Benefits + Payroll Taxes</t>
  </si>
  <si>
    <t>Misc. Maintenance</t>
  </si>
  <si>
    <t>Misc. Taxes, Licenses &amp; Permit</t>
  </si>
  <si>
    <t>Project-based vouchers (PBVs)</t>
  </si>
  <si>
    <t>Section 8</t>
  </si>
  <si>
    <t>HCD - AHSC Loan</t>
  </si>
  <si>
    <t>1 bedroom</t>
  </si>
  <si>
    <t>2 bedroom</t>
  </si>
  <si>
    <t>3 bedroom</t>
  </si>
  <si>
    <t>Anthony Stubbs</t>
  </si>
  <si>
    <t>760-930-1333</t>
  </si>
  <si>
    <t>760-683-3390</t>
  </si>
  <si>
    <t>astubbs@cmfa-ca.com</t>
  </si>
  <si>
    <t>Bright Green Strategies</t>
  </si>
  <si>
    <t>1717 Seabright Avenue, Suite 4</t>
  </si>
  <si>
    <t>Santa Cruz, CA 95062</t>
  </si>
  <si>
    <t>Pete Kennedy</t>
  </si>
  <si>
    <t>831-454-9956</t>
  </si>
  <si>
    <t>pete@brightgreenstrategies.com</t>
  </si>
  <si>
    <t>GP Loan - CCCE Grant</t>
  </si>
  <si>
    <t>Variable</t>
  </si>
  <si>
    <t>Fixed</t>
  </si>
  <si>
    <t>GP Loan</t>
  </si>
  <si>
    <t>Eden DTLMU, LLC (controlled by Eden South Bay, Inc., whose parent company is Eden Housing, Inc.)</t>
  </si>
  <si>
    <t>Annual Issuer Fees</t>
  </si>
  <si>
    <t>Bond Premium, PV System, Environmental Remediation</t>
  </si>
  <si>
    <t>Perm Lender Expenses and Counsel</t>
  </si>
  <si>
    <t>Special Inspections/Testiing</t>
  </si>
  <si>
    <t>Constr Lender Expenses, Inspections, and Counsel</t>
  </si>
  <si>
    <t>Environmental Consulting</t>
  </si>
  <si>
    <t>AHSC HCD Payment</t>
  </si>
  <si>
    <t>SOFR</t>
  </si>
  <si>
    <t>Not Applicable</t>
  </si>
  <si>
    <t>Provided</t>
  </si>
  <si>
    <t>General Partner Loan - CCCE Grant</t>
  </si>
  <si>
    <t>Federal Prevailing Wages tied to PBV commitment from HACSC</t>
  </si>
  <si>
    <t>San Francisco, CA 94104</t>
  </si>
  <si>
    <t>Once complete, the building will include affordable housing and daycare spaces owned by DTLMU Investors, L.P. (collectively 128,371 sf and the subject of this application). The daycare space is considered a community service facility according to IRC Section 42(d)(4)(C) (a third-party attorney’s opinion is enclosed) and is thus included in residential basis. A commercial cash flow for the daycare is provided which shows zero net income. There are additional components of the building outside of the scope of this application that the tax credit partnership (DTLMU Investors, L.P.) will not own. These include a public library (39,015 sf), public parking garage (98,248 sf), and retail space (9,732 sf). The City of Santa Cruz will own and pay for the public library, public parking garage, and retail components. These commercial spaces will be structured as commercial condominium or airspace subdivision to be owned by the city. Since the public library, parking garage, and retail space are not owned by the partnership, there is no cashflow associated with the commercial space. There is no commercial income or expenses, and therefore no commercial cashflow to provide.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</si>
</sst>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8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b/>
      <sz val="9"/>
      <color rgb="FF000000"/>
      <name val="Tahoma"/>
      <family val="2"/>
    </font>
    <font>
      <sz val="9"/>
      <color rgb="FF000000"/>
      <name val="Tahoma"/>
      <family val="2"/>
    </font>
    <font>
      <sz val="10"/>
      <color rgb="FF000000"/>
      <name val="Arial"/>
      <family val="2"/>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25599">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4"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4" fillId="0" borderId="0" applyFont="0" applyFill="0" applyBorder="0" applyAlignment="0" applyProtection="0"/>
    <xf numFmtId="44" fontId="79" fillId="0" borderId="0" applyFont="0" applyFill="0" applyBorder="0" applyAlignment="0" applyProtection="0"/>
    <xf numFmtId="44" fontId="24"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4"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0" fillId="0" borderId="0" applyFont="0" applyFill="0" applyBorder="0" applyAlignment="0" applyProtection="0"/>
    <xf numFmtId="44" fontId="24" fillId="0" borderId="0" applyFont="0" applyFill="0" applyBorder="0" applyAlignment="0" applyProtection="0"/>
    <xf numFmtId="44" fontId="70" fillId="0" borderId="0" applyFont="0" applyFill="0" applyBorder="0" applyAlignment="0" applyProtection="0"/>
    <xf numFmtId="44" fontId="2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4" fillId="0" borderId="0" applyFont="0" applyFill="0" applyBorder="0" applyAlignment="0" applyProtection="0"/>
    <xf numFmtId="44" fontId="60" fillId="0" borderId="0" applyFont="0" applyFill="0" applyBorder="0" applyAlignment="0" applyProtection="0"/>
    <xf numFmtId="44" fontId="24" fillId="0" borderId="0" applyFont="0" applyFill="0" applyBorder="0" applyAlignment="0" applyProtection="0"/>
    <xf numFmtId="44" fontId="71"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75" fillId="0" borderId="0" applyFont="0" applyFill="0" applyBorder="0" applyAlignment="0" applyProtection="0"/>
    <xf numFmtId="44" fontId="24"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7" fillId="0" borderId="0" applyNumberFormat="0" applyBorder="0"/>
    <xf numFmtId="0" fontId="18" fillId="0" borderId="0" applyBorder="0" applyAlignment="0"/>
    <xf numFmtId="0" fontId="19"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4" fillId="0" borderId="0"/>
    <xf numFmtId="0" fontId="24"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4" fillId="0" borderId="0"/>
    <xf numFmtId="0" fontId="84" fillId="0" borderId="0"/>
    <xf numFmtId="0" fontId="24"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4" fillId="0" borderId="0"/>
    <xf numFmtId="0" fontId="60" fillId="0" borderId="0">
      <alignment vertical="top"/>
    </xf>
    <xf numFmtId="0" fontId="84" fillId="0" borderId="0"/>
    <xf numFmtId="0" fontId="84" fillId="0" borderId="0"/>
    <xf numFmtId="0" fontId="84" fillId="0" borderId="0"/>
    <xf numFmtId="0" fontId="84" fillId="0" borderId="0"/>
    <xf numFmtId="0" fontId="2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4" fillId="0" borderId="0"/>
    <xf numFmtId="0" fontId="84" fillId="0" borderId="0"/>
    <xf numFmtId="0" fontId="84" fillId="0" borderId="0"/>
    <xf numFmtId="0" fontId="84" fillId="0" borderId="0"/>
    <xf numFmtId="0" fontId="15" fillId="0" borderId="0" applyProtection="0">
      <protection locked="0"/>
    </xf>
    <xf numFmtId="0" fontId="24" fillId="0" borderId="0" applyProtection="0">
      <protection locked="0"/>
    </xf>
    <xf numFmtId="0" fontId="24" fillId="0" borderId="0" applyProtection="0">
      <protection locked="0"/>
    </xf>
    <xf numFmtId="0" fontId="61" fillId="0" borderId="0"/>
    <xf numFmtId="0" fontId="15"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0"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5" fillId="0" borderId="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9" fontId="15" fillId="0" borderId="0" applyFon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07"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5"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0" fillId="0" borderId="0" applyNumberForma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4" fontId="15" fillId="0" borderId="0" applyFont="0" applyFill="0" applyBorder="0" applyAlignment="0" applyProtection="0"/>
    <xf numFmtId="9" fontId="119" fillId="0" borderId="0" applyFont="0" applyFill="0" applyBorder="0" applyAlignment="0" applyProtection="0"/>
    <xf numFmtId="0" fontId="119" fillId="0" borderId="0"/>
    <xf numFmtId="0" fontId="9" fillId="0" borderId="0"/>
    <xf numFmtId="0" fontId="15" fillId="0" borderId="0"/>
    <xf numFmtId="43"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0" fontId="15" fillId="0" borderId="0" applyBorder="0"/>
    <xf numFmtId="43" fontId="157" fillId="0" borderId="0" applyFon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44" fontId="16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15"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5" fillId="0" borderId="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1">
    <xf numFmtId="0" fontId="0" fillId="0" borderId="0" xfId="0"/>
    <xf numFmtId="0" fontId="0" fillId="0" borderId="0" xfId="0" applyAlignment="1">
      <alignment horizontal="center"/>
    </xf>
    <xf numFmtId="0" fontId="22" fillId="0" borderId="0" xfId="0" applyFont="1"/>
    <xf numFmtId="0" fontId="15" fillId="0" borderId="0" xfId="0" applyFont="1"/>
    <xf numFmtId="0" fontId="24" fillId="0" borderId="0" xfId="0" applyFont="1"/>
    <xf numFmtId="0" fontId="0" fillId="0" borderId="4" xfId="0" applyBorder="1"/>
    <xf numFmtId="0" fontId="24" fillId="0" borderId="0" xfId="0" applyFont="1" applyAlignment="1">
      <alignment horizontal="center"/>
    </xf>
    <xf numFmtId="0" fontId="15"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2" fillId="0" borderId="4" xfId="0" applyFont="1" applyBorder="1"/>
    <xf numFmtId="164" fontId="0" fillId="0" borderId="0" xfId="0" applyNumberFormat="1" applyAlignment="1">
      <alignment horizontal="right"/>
    </xf>
    <xf numFmtId="0" fontId="22" fillId="0" borderId="0" xfId="0" applyFont="1" applyAlignment="1">
      <alignment horizontal="center"/>
    </xf>
    <xf numFmtId="0" fontId="15" fillId="0" borderId="0" xfId="543"/>
    <xf numFmtId="0" fontId="24" fillId="0" borderId="0" xfId="0" applyFont="1" applyAlignment="1">
      <alignment horizontal="left" vertical="top" wrapText="1"/>
    </xf>
    <xf numFmtId="0" fontId="30" fillId="0" borderId="0" xfId="0" applyFont="1"/>
    <xf numFmtId="0" fontId="23" fillId="0" borderId="0" xfId="0" applyFont="1" applyAlignment="1">
      <alignment vertical="top"/>
    </xf>
    <xf numFmtId="0" fontId="23" fillId="0" borderId="0" xfId="0" applyFont="1" applyAlignment="1">
      <alignment vertical="top" wrapText="1"/>
    </xf>
    <xf numFmtId="0" fontId="24" fillId="0" borderId="0" xfId="0" applyFont="1" applyAlignment="1">
      <alignment horizontal="left" indent="4"/>
    </xf>
    <xf numFmtId="0" fontId="23" fillId="0" borderId="0" xfId="0" applyFont="1" applyAlignment="1">
      <alignment horizontal="left" vertical="top"/>
    </xf>
    <xf numFmtId="0" fontId="23" fillId="0" borderId="0" xfId="0" applyFont="1" applyAlignment="1">
      <alignment horizontal="left"/>
    </xf>
    <xf numFmtId="0" fontId="23" fillId="0" borderId="0" xfId="0" applyFont="1"/>
    <xf numFmtId="0" fontId="35" fillId="0" borderId="0" xfId="543" applyFont="1"/>
    <xf numFmtId="1" fontId="23" fillId="0" borderId="0" xfId="0" applyNumberFormat="1" applyFont="1" applyAlignment="1">
      <alignment horizontal="left"/>
    </xf>
    <xf numFmtId="0" fontId="25" fillId="0" borderId="0" xfId="0" applyFont="1"/>
    <xf numFmtId="1" fontId="23" fillId="0" borderId="0" xfId="0" applyNumberFormat="1" applyFont="1" applyAlignment="1">
      <alignment horizontal="right"/>
    </xf>
    <xf numFmtId="0" fontId="0" fillId="0" borderId="0" xfId="0" applyAlignment="1">
      <alignment horizontal="right"/>
    </xf>
    <xf numFmtId="0" fontId="34" fillId="0" borderId="0" xfId="0" applyFont="1"/>
    <xf numFmtId="0" fontId="27" fillId="0" borderId="0" xfId="0" applyFont="1"/>
    <xf numFmtId="172" fontId="15" fillId="0" borderId="0" xfId="543" applyNumberFormat="1"/>
    <xf numFmtId="9" fontId="15" fillId="0" borderId="0" xfId="543" applyNumberFormat="1" applyAlignment="1">
      <alignment horizontal="left"/>
    </xf>
    <xf numFmtId="168" fontId="15" fillId="0" borderId="0" xfId="543" applyNumberFormat="1"/>
    <xf numFmtId="0" fontId="24" fillId="0" borderId="0" xfId="0" applyFont="1" applyAlignment="1">
      <alignment horizontal="right"/>
    </xf>
    <xf numFmtId="0" fontId="38" fillId="0" borderId="0" xfId="0" applyFont="1"/>
    <xf numFmtId="0" fontId="24" fillId="0" borderId="0" xfId="0" applyFont="1" applyAlignment="1">
      <alignment horizontal="left"/>
    </xf>
    <xf numFmtId="0" fontId="26" fillId="0" borderId="0" xfId="0" applyFont="1"/>
    <xf numFmtId="0" fontId="28" fillId="0" borderId="0" xfId="0" applyFont="1"/>
    <xf numFmtId="0" fontId="22"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2" fillId="0" borderId="1" xfId="0" applyFont="1" applyBorder="1" applyAlignment="1">
      <alignment horizontal="center" wrapText="1"/>
    </xf>
    <xf numFmtId="0" fontId="22"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2" fillId="0" borderId="4" xfId="0" applyFont="1" applyBorder="1" applyAlignment="1">
      <alignment horizontal="center"/>
    </xf>
    <xf numFmtId="0" fontId="31" fillId="0" borderId="3" xfId="0" applyFont="1" applyBorder="1" applyAlignment="1">
      <alignment horizontal="left"/>
    </xf>
    <xf numFmtId="0" fontId="31" fillId="0" borderId="9" xfId="0" applyFont="1" applyBorder="1" applyAlignment="1">
      <alignment horizontal="left"/>
    </xf>
    <xf numFmtId="0" fontId="22" fillId="0" borderId="4" xfId="0" applyFont="1" applyBorder="1" applyAlignment="1">
      <alignment horizontal="right"/>
    </xf>
    <xf numFmtId="0" fontId="22" fillId="0" borderId="5" xfId="0" applyFont="1" applyBorder="1" applyAlignment="1">
      <alignment horizontal="right"/>
    </xf>
    <xf numFmtId="0" fontId="31" fillId="0" borderId="0" xfId="0" applyFont="1" applyAlignment="1">
      <alignment horizontal="left"/>
    </xf>
    <xf numFmtId="0" fontId="22" fillId="0" borderId="0" xfId="0" applyFont="1" applyAlignment="1">
      <alignment horizontal="right"/>
    </xf>
    <xf numFmtId="0" fontId="22"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4" fillId="0" borderId="11" xfId="0" applyFont="1" applyBorder="1" applyAlignment="1">
      <alignment horizontal="left"/>
    </xf>
    <xf numFmtId="0" fontId="22" fillId="0" borderId="9" xfId="0" applyFont="1" applyBorder="1"/>
    <xf numFmtId="164" fontId="0" fillId="0" borderId="0" xfId="0" applyNumberFormat="1" applyAlignment="1">
      <alignment horizontal="center"/>
    </xf>
    <xf numFmtId="0" fontId="0" fillId="0" borderId="12" xfId="0" applyBorder="1"/>
    <xf numFmtId="0" fontId="24" fillId="0" borderId="3" xfId="0" applyFont="1" applyBorder="1"/>
    <xf numFmtId="0" fontId="24" fillId="0" borderId="0" xfId="543" applyFont="1"/>
    <xf numFmtId="0" fontId="40" fillId="0" borderId="0" xfId="543" applyFont="1"/>
    <xf numFmtId="49" fontId="15" fillId="0" borderId="0" xfId="543" applyNumberFormat="1"/>
    <xf numFmtId="0" fontId="38" fillId="0" borderId="0" xfId="543" applyFont="1"/>
    <xf numFmtId="168" fontId="35" fillId="0" borderId="6" xfId="543" applyNumberFormat="1" applyFont="1" applyBorder="1" applyAlignment="1">
      <alignment horizontal="left"/>
    </xf>
    <xf numFmtId="168" fontId="35" fillId="0" borderId="6" xfId="543" applyNumberFormat="1" applyFont="1" applyBorder="1" applyAlignment="1">
      <alignment horizontal="center"/>
    </xf>
    <xf numFmtId="0" fontId="15" fillId="0" borderId="8" xfId="543" applyBorder="1"/>
    <xf numFmtId="0" fontId="35" fillId="0" borderId="0" xfId="543" applyFont="1" applyAlignment="1">
      <alignment horizontal="center"/>
    </xf>
    <xf numFmtId="0" fontId="34" fillId="0" borderId="9" xfId="543" applyFont="1" applyBorder="1" applyAlignment="1">
      <alignment horizontal="left" vertical="top" wrapText="1"/>
    </xf>
    <xf numFmtId="0" fontId="34" fillId="0" borderId="6" xfId="543" applyFont="1" applyBorder="1" applyAlignment="1">
      <alignment horizontal="center" vertical="top" wrapText="1"/>
    </xf>
    <xf numFmtId="0" fontId="15" fillId="0" borderId="9" xfId="543" applyBorder="1"/>
    <xf numFmtId="0" fontId="15" fillId="0" borderId="10" xfId="543" applyBorder="1"/>
    <xf numFmtId="0" fontId="15" fillId="0" borderId="1" xfId="543" applyBorder="1"/>
    <xf numFmtId="0" fontId="35" fillId="0" borderId="2" xfId="543" applyFont="1" applyBorder="1" applyAlignment="1">
      <alignment horizontal="center"/>
    </xf>
    <xf numFmtId="0" fontId="37" fillId="0" borderId="8" xfId="543" applyFont="1" applyBorder="1" applyAlignment="1">
      <alignment horizontal="left" vertical="top" wrapText="1"/>
    </xf>
    <xf numFmtId="0" fontId="34" fillId="0" borderId="0" xfId="543" applyFont="1" applyAlignment="1">
      <alignment horizontal="center" vertical="top" wrapText="1"/>
    </xf>
    <xf numFmtId="0" fontId="15" fillId="0" borderId="12" xfId="543" applyBorder="1"/>
    <xf numFmtId="0" fontId="37" fillId="0" borderId="0" xfId="543" applyFont="1" applyAlignment="1">
      <alignment horizontal="center" vertical="top" wrapText="1"/>
    </xf>
    <xf numFmtId="0" fontId="37" fillId="0" borderId="9" xfId="543" applyFont="1" applyBorder="1" applyAlignment="1">
      <alignment horizontal="left" vertical="top" wrapText="1"/>
    </xf>
    <xf numFmtId="0" fontId="15" fillId="0" borderId="2" xfId="543" applyBorder="1"/>
    <xf numFmtId="0" fontId="15" fillId="0" borderId="7" xfId="543" applyBorder="1"/>
    <xf numFmtId="0" fontId="34" fillId="0" borderId="0" xfId="543" applyFont="1"/>
    <xf numFmtId="0" fontId="15" fillId="0" borderId="0" xfId="543" applyAlignment="1">
      <alignment horizontal="center"/>
    </xf>
    <xf numFmtId="0" fontId="23" fillId="0" borderId="6" xfId="543" applyFont="1" applyBorder="1" applyAlignment="1">
      <alignment vertical="top" wrapText="1"/>
    </xf>
    <xf numFmtId="0" fontId="24" fillId="0" borderId="0" xfId="0" applyFont="1" applyAlignment="1">
      <alignment horizontal="left" vertical="top"/>
    </xf>
    <xf numFmtId="0" fontId="0" fillId="2" borderId="2" xfId="0" applyFill="1" applyBorder="1"/>
    <xf numFmtId="0" fontId="0" fillId="2" borderId="7" xfId="0" applyFill="1" applyBorder="1"/>
    <xf numFmtId="0" fontId="22" fillId="0" borderId="6" xfId="0" applyFont="1" applyBorder="1" applyAlignment="1">
      <alignment horizontal="right"/>
    </xf>
    <xf numFmtId="0" fontId="21" fillId="0" borderId="0" xfId="0" applyFont="1" applyAlignment="1">
      <alignment horizontal="center" vertical="center"/>
    </xf>
    <xf numFmtId="0" fontId="22" fillId="0" borderId="0" xfId="0" applyFont="1" applyAlignment="1">
      <alignment vertical="top"/>
    </xf>
    <xf numFmtId="166" fontId="0" fillId="0" borderId="0" xfId="0" applyNumberFormat="1" applyAlignment="1">
      <alignment horizontal="right"/>
    </xf>
    <xf numFmtId="0" fontId="45" fillId="0" borderId="0" xfId="0" applyFont="1"/>
    <xf numFmtId="0" fontId="32" fillId="0" borderId="0" xfId="0" applyFont="1"/>
    <xf numFmtId="0" fontId="16" fillId="0" borderId="0" xfId="244" applyBorder="1" applyProtection="1"/>
    <xf numFmtId="0" fontId="16" fillId="0" borderId="0" xfId="244" applyFill="1" applyBorder="1" applyAlignment="1">
      <alignment horizontal="center" vertical="center"/>
    </xf>
    <xf numFmtId="0" fontId="15" fillId="0" borderId="3" xfId="543" applyBorder="1"/>
    <xf numFmtId="0" fontId="37" fillId="0" borderId="4" xfId="543" applyFont="1" applyBorder="1" applyAlignment="1">
      <alignment horizontal="right" vertical="top" wrapText="1"/>
    </xf>
    <xf numFmtId="0" fontId="24" fillId="0" borderId="6" xfId="0" applyFont="1" applyBorder="1"/>
    <xf numFmtId="0" fontId="24" fillId="0" borderId="2" xfId="0" applyFont="1" applyBorder="1"/>
    <xf numFmtId="0" fontId="24" fillId="0" borderId="7" xfId="0" applyFont="1" applyBorder="1"/>
    <xf numFmtId="0" fontId="24" fillId="0" borderId="12" xfId="0" applyFont="1" applyBorder="1"/>
    <xf numFmtId="0" fontId="24" fillId="0" borderId="9" xfId="0" applyFont="1" applyBorder="1"/>
    <xf numFmtId="0" fontId="24" fillId="0" borderId="10" xfId="0" applyFont="1" applyBorder="1"/>
    <xf numFmtId="0" fontId="29" fillId="0" borderId="6" xfId="0" applyFont="1" applyBorder="1" applyAlignment="1">
      <alignment vertical="top" wrapText="1"/>
    </xf>
    <xf numFmtId="0" fontId="29" fillId="0" borderId="5" xfId="0" applyFont="1" applyBorder="1" applyAlignment="1">
      <alignment vertical="top" wrapText="1"/>
    </xf>
    <xf numFmtId="0" fontId="29" fillId="0" borderId="4" xfId="0" applyFont="1" applyBorder="1" applyAlignment="1">
      <alignment vertical="top" wrapText="1"/>
    </xf>
    <xf numFmtId="0" fontId="29" fillId="2" borderId="6" xfId="0" applyFont="1" applyFill="1" applyBorder="1" applyAlignment="1">
      <alignment vertical="top" wrapText="1"/>
    </xf>
    <xf numFmtId="0" fontId="0" fillId="0" borderId="8" xfId="0" applyBorder="1"/>
    <xf numFmtId="0" fontId="22" fillId="0" borderId="2" xfId="0" applyFont="1" applyBorder="1"/>
    <xf numFmtId="0" fontId="24" fillId="0" borderId="0" xfId="0" applyFont="1" applyAlignment="1">
      <alignment vertical="top"/>
    </xf>
    <xf numFmtId="0" fontId="24" fillId="0" borderId="0" xfId="0" applyFont="1" applyAlignment="1">
      <alignment vertical="top" wrapText="1"/>
    </xf>
    <xf numFmtId="0" fontId="15" fillId="0" borderId="0" xfId="0" applyFont="1" applyAlignment="1">
      <alignment horizontal="left"/>
    </xf>
    <xf numFmtId="0" fontId="15" fillId="0" borderId="0" xfId="0" applyFont="1" applyAlignment="1">
      <alignment vertical="top"/>
    </xf>
    <xf numFmtId="0" fontId="44" fillId="0" borderId="0" xfId="0" applyFont="1"/>
    <xf numFmtId="0" fontId="15" fillId="0" borderId="3" xfId="0" applyFont="1" applyBorder="1"/>
    <xf numFmtId="0" fontId="15"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9" fillId="3" borderId="4" xfId="0" applyFont="1" applyFill="1" applyBorder="1" applyAlignment="1">
      <alignment vertical="top" wrapText="1"/>
    </xf>
    <xf numFmtId="0" fontId="29" fillId="3" borderId="5" xfId="0" applyFont="1" applyFill="1" applyBorder="1" applyAlignment="1">
      <alignment vertical="top" wrapText="1"/>
    </xf>
    <xf numFmtId="0" fontId="47" fillId="0" borderId="0" xfId="0" applyFont="1"/>
    <xf numFmtId="0" fontId="24" fillId="0" borderId="4" xfId="0" applyFont="1" applyBorder="1"/>
    <xf numFmtId="0" fontId="22" fillId="0" borderId="2" xfId="0" applyFont="1" applyBorder="1" applyAlignment="1">
      <alignment horizontal="center"/>
    </xf>
    <xf numFmtId="0" fontId="22" fillId="0" borderId="0" xfId="0" applyFont="1" applyAlignment="1">
      <alignment horizontal="center" vertical="center" wrapText="1"/>
    </xf>
    <xf numFmtId="0" fontId="22" fillId="0" borderId="7" xfId="543" applyFont="1" applyBorder="1" applyAlignment="1">
      <alignment horizontal="right"/>
    </xf>
    <xf numFmtId="0" fontId="23" fillId="0" borderId="9" xfId="543" applyFont="1" applyBorder="1"/>
    <xf numFmtId="0" fontId="24" fillId="0" borderId="6" xfId="543" applyFont="1" applyBorder="1"/>
    <xf numFmtId="0" fontId="23" fillId="0" borderId="6" xfId="543" applyFont="1" applyBorder="1" applyAlignment="1">
      <alignment horizontal="right"/>
    </xf>
    <xf numFmtId="0" fontId="22" fillId="0" borderId="0" xfId="0" applyFont="1" applyAlignment="1">
      <alignment horizontal="center" vertical="center"/>
    </xf>
    <xf numFmtId="0" fontId="24"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8"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4" fillId="0" borderId="0" xfId="0" applyNumberFormat="1" applyFont="1" applyAlignment="1">
      <alignment horizontal="left"/>
    </xf>
    <xf numFmtId="0" fontId="56" fillId="0" borderId="0" xfId="0" applyFont="1"/>
    <xf numFmtId="0" fontId="15" fillId="0" borderId="0" xfId="244" applyFont="1" applyFill="1" applyBorder="1" applyAlignment="1" applyProtection="1">
      <alignment horizontal="left"/>
    </xf>
    <xf numFmtId="0" fontId="46" fillId="0" borderId="0" xfId="0" applyFont="1"/>
    <xf numFmtId="0" fontId="46" fillId="0" borderId="0" xfId="244" applyFont="1" applyFill="1" applyBorder="1" applyAlignment="1" applyProtection="1">
      <alignment horizontal="left"/>
    </xf>
    <xf numFmtId="0" fontId="21" fillId="3" borderId="11" xfId="0" applyFont="1" applyFill="1" applyBorder="1" applyAlignment="1">
      <alignment vertical="top"/>
    </xf>
    <xf numFmtId="0" fontId="0" fillId="7" borderId="0" xfId="0" applyFill="1"/>
    <xf numFmtId="0" fontId="35" fillId="0" borderId="0" xfId="0" applyFont="1"/>
    <xf numFmtId="0" fontId="58" fillId="0" borderId="0" xfId="0" applyFont="1"/>
    <xf numFmtId="0" fontId="33" fillId="0" borderId="0" xfId="0" applyFont="1" applyAlignment="1">
      <alignment horizontal="center"/>
    </xf>
    <xf numFmtId="0" fontId="33" fillId="0" borderId="0" xfId="0" applyFont="1"/>
    <xf numFmtId="0" fontId="33" fillId="0" borderId="0" xfId="0" applyFont="1" applyAlignment="1">
      <alignment horizontal="left"/>
    </xf>
    <xf numFmtId="49" fontId="22" fillId="0" borderId="0" xfId="0" applyNumberFormat="1" applyFont="1" applyAlignment="1">
      <alignment horizontal="center"/>
    </xf>
    <xf numFmtId="0" fontId="50" fillId="0" borderId="0" xfId="0" applyFont="1" applyAlignment="1">
      <alignment horizontal="center"/>
    </xf>
    <xf numFmtId="0" fontId="49" fillId="0" borderId="0" xfId="244" applyFont="1" applyAlignment="1" applyProtection="1">
      <alignment horizontal="center"/>
    </xf>
    <xf numFmtId="0" fontId="24" fillId="0" borderId="0" xfId="0" quotePrefix="1" applyFont="1" applyAlignment="1">
      <alignment horizontal="left"/>
    </xf>
    <xf numFmtId="49" fontId="24" fillId="0" borderId="0" xfId="0" applyNumberFormat="1" applyFont="1" applyAlignment="1">
      <alignment horizontal="center"/>
    </xf>
    <xf numFmtId="0" fontId="22" fillId="0" borderId="0" xfId="0" quotePrefix="1" applyFont="1" applyAlignment="1">
      <alignment horizontal="center"/>
    </xf>
    <xf numFmtId="49" fontId="0" fillId="0" borderId="0" xfId="0" applyNumberFormat="1"/>
    <xf numFmtId="0" fontId="47" fillId="0" borderId="0" xfId="0" applyFont="1" applyAlignment="1">
      <alignment horizontal="left"/>
    </xf>
    <xf numFmtId="49" fontId="24" fillId="0" borderId="0" xfId="0" applyNumberFormat="1" applyFont="1"/>
    <xf numFmtId="49" fontId="22" fillId="0" borderId="0" xfId="0" applyNumberFormat="1" applyFont="1" applyAlignment="1">
      <alignment horizontal="left"/>
    </xf>
    <xf numFmtId="168" fontId="24" fillId="0" borderId="0" xfId="0" applyNumberFormat="1" applyFont="1" applyAlignment="1">
      <alignment horizontal="center"/>
    </xf>
    <xf numFmtId="168" fontId="34"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5" fillId="0" borderId="0" xfId="0" applyFont="1" applyAlignment="1">
      <alignment vertical="top" wrapText="1"/>
    </xf>
    <xf numFmtId="0" fontId="53" fillId="0" borderId="4" xfId="0" applyFont="1" applyBorder="1" applyAlignment="1">
      <alignment horizontal="right"/>
    </xf>
    <xf numFmtId="0" fontId="60" fillId="0" borderId="0" xfId="0" applyFont="1"/>
    <xf numFmtId="3" fontId="24" fillId="0" borderId="0" xfId="0" applyNumberFormat="1" applyFont="1" applyAlignment="1">
      <alignment horizontal="center"/>
    </xf>
    <xf numFmtId="168" fontId="15" fillId="0" borderId="0" xfId="0" applyNumberFormat="1" applyFont="1" applyAlignment="1">
      <alignment horizontal="left" vertical="top"/>
    </xf>
    <xf numFmtId="168" fontId="24" fillId="0" borderId="0" xfId="0" applyNumberFormat="1" applyFont="1" applyAlignment="1">
      <alignment horizontal="left" vertical="top"/>
    </xf>
    <xf numFmtId="0" fontId="24" fillId="0" borderId="0" xfId="0" applyFont="1" applyAlignment="1">
      <alignment horizontal="center" vertical="center"/>
    </xf>
    <xf numFmtId="0" fontId="24" fillId="0" borderId="0" xfId="0" applyFont="1" applyAlignment="1">
      <alignment vertical="center"/>
    </xf>
    <xf numFmtId="0" fontId="0" fillId="0" borderId="0" xfId="0" applyAlignment="1">
      <alignment vertical="center"/>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2" fillId="0" borderId="0" xfId="542" applyFont="1" applyProtection="1">
      <protection locked="0"/>
    </xf>
    <xf numFmtId="0" fontId="15" fillId="0" borderId="0" xfId="539" applyProtection="1"/>
    <xf numFmtId="0" fontId="35" fillId="8" borderId="0" xfId="539" applyFont="1" applyFill="1" applyAlignment="1" applyProtection="1">
      <alignment horizontal="centerContinuous"/>
    </xf>
    <xf numFmtId="4" fontId="24" fillId="0" borderId="0" xfId="0" applyNumberFormat="1" applyFont="1"/>
    <xf numFmtId="0" fontId="22" fillId="0" borderId="0" xfId="543" applyFont="1"/>
    <xf numFmtId="0" fontId="24" fillId="0" borderId="0" xfId="543" applyFont="1" applyAlignment="1">
      <alignment horizontal="left"/>
    </xf>
    <xf numFmtId="0" fontId="24" fillId="0" borderId="15" xfId="0" applyFont="1" applyBorder="1"/>
    <xf numFmtId="0" fontId="24" fillId="0" borderId="11" xfId="0" applyFont="1" applyBorder="1"/>
    <xf numFmtId="2" fontId="38" fillId="0" borderId="11" xfId="0" applyNumberFormat="1" applyFont="1" applyBorder="1"/>
    <xf numFmtId="0" fontId="15" fillId="0" borderId="0" xfId="0" applyFont="1" applyProtection="1">
      <protection locked="0"/>
    </xf>
    <xf numFmtId="0" fontId="63" fillId="0" borderId="0" xfId="0" applyFont="1" applyAlignment="1">
      <alignment horizontal="center"/>
    </xf>
    <xf numFmtId="0" fontId="24" fillId="0" borderId="0" xfId="271"/>
    <xf numFmtId="0" fontId="22" fillId="0" borderId="0" xfId="271" applyFont="1"/>
    <xf numFmtId="0" fontId="24" fillId="0" borderId="0" xfId="271" applyAlignment="1">
      <alignment horizontal="left"/>
    </xf>
    <xf numFmtId="0" fontId="16" fillId="0" borderId="0" xfId="244" applyFill="1" applyBorder="1" applyProtection="1">
      <protection locked="0"/>
    </xf>
    <xf numFmtId="168" fontId="22" fillId="0" borderId="2" xfId="543" applyNumberFormat="1" applyFont="1" applyBorder="1" applyAlignment="1">
      <alignment horizontal="center" vertical="center"/>
    </xf>
    <xf numFmtId="0" fontId="37" fillId="0" borderId="0" xfId="543" applyFont="1" applyAlignment="1">
      <alignment horizontal="right" vertical="top" wrapText="1"/>
    </xf>
    <xf numFmtId="0" fontId="35" fillId="0" borderId="2" xfId="543" applyFont="1" applyBorder="1" applyAlignment="1">
      <alignment horizontal="right" vertical="top" wrapText="1"/>
    </xf>
    <xf numFmtId="0" fontId="20" fillId="0" borderId="0" xfId="0" applyFont="1"/>
    <xf numFmtId="0" fontId="65" fillId="0" borderId="0" xfId="0" applyFont="1"/>
    <xf numFmtId="0" fontId="63" fillId="0" borderId="0" xfId="0" applyFont="1"/>
    <xf numFmtId="0" fontId="35"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2" fillId="0" borderId="0" xfId="0" applyNumberFormat="1" applyFont="1" applyAlignment="1">
      <alignment horizontal="center"/>
    </xf>
    <xf numFmtId="3" fontId="0" fillId="0" borderId="0" xfId="0" applyNumberFormat="1" applyAlignment="1">
      <alignment horizontal="center"/>
    </xf>
    <xf numFmtId="3" fontId="24" fillId="0" borderId="0" xfId="0" applyNumberFormat="1" applyFont="1"/>
    <xf numFmtId="0" fontId="64" fillId="0" borderId="0" xfId="0" applyFont="1"/>
    <xf numFmtId="168" fontId="20" fillId="0" borderId="0" xfId="0" applyNumberFormat="1" applyFont="1"/>
    <xf numFmtId="10" fontId="20" fillId="0" borderId="0" xfId="0" applyNumberFormat="1" applyFont="1" applyAlignment="1">
      <alignment horizontal="center"/>
    </xf>
    <xf numFmtId="3" fontId="67" fillId="0" borderId="0" xfId="0" applyNumberFormat="1" applyFont="1"/>
    <xf numFmtId="3" fontId="20" fillId="0" borderId="0" xfId="0" applyNumberFormat="1" applyFont="1"/>
    <xf numFmtId="168" fontId="64" fillId="0" borderId="0" xfId="0" applyNumberFormat="1" applyFont="1"/>
    <xf numFmtId="168" fontId="64" fillId="0" borderId="0" xfId="0" applyNumberFormat="1" applyFont="1" applyAlignment="1">
      <alignment horizontal="center"/>
    </xf>
    <xf numFmtId="0" fontId="20" fillId="5" borderId="0" xfId="0" applyFont="1" applyFill="1" applyAlignment="1">
      <alignment horizontal="left"/>
    </xf>
    <xf numFmtId="0" fontId="20" fillId="5" borderId="0" xfId="0" applyFont="1" applyFill="1"/>
    <xf numFmtId="10" fontId="20" fillId="0" borderId="0" xfId="0" applyNumberFormat="1" applyFont="1"/>
    <xf numFmtId="172" fontId="20" fillId="0" borderId="0" xfId="0" applyNumberFormat="1" applyFont="1"/>
    <xf numFmtId="172" fontId="20" fillId="0" borderId="0" xfId="0" applyNumberFormat="1" applyFont="1" applyAlignment="1">
      <alignment horizontal="center"/>
    </xf>
    <xf numFmtId="0" fontId="20" fillId="0" borderId="6" xfId="0" applyFont="1" applyBorder="1"/>
    <xf numFmtId="10" fontId="20" fillId="0" borderId="6" xfId="0" applyNumberFormat="1" applyFont="1" applyBorder="1" applyAlignment="1">
      <alignment horizontal="center"/>
    </xf>
    <xf numFmtId="3" fontId="20" fillId="0" borderId="6" xfId="0" applyNumberFormat="1" applyFont="1" applyBorder="1"/>
    <xf numFmtId="10" fontId="24" fillId="0" borderId="0" xfId="0" applyNumberFormat="1" applyFont="1" applyAlignment="1">
      <alignment horizontal="center"/>
    </xf>
    <xf numFmtId="3" fontId="24" fillId="0" borderId="0" xfId="0" applyNumberFormat="1" applyFont="1" applyAlignment="1">
      <alignment vertical="top"/>
    </xf>
    <xf numFmtId="10" fontId="22" fillId="0" borderId="0" xfId="0" applyNumberFormat="1" applyFont="1" applyAlignment="1">
      <alignment horizontal="center"/>
    </xf>
    <xf numFmtId="0" fontId="63" fillId="0" borderId="6" xfId="0" applyFont="1" applyBorder="1" applyAlignment="1">
      <alignment horizontal="center"/>
    </xf>
    <xf numFmtId="172" fontId="24" fillId="0" borderId="0" xfId="0" applyNumberFormat="1" applyFont="1" applyAlignment="1">
      <alignment horizontal="center"/>
    </xf>
    <xf numFmtId="10" fontId="68" fillId="0" borderId="0" xfId="0" applyNumberFormat="1" applyFont="1" applyAlignment="1">
      <alignment horizontal="center"/>
    </xf>
    <xf numFmtId="4" fontId="24" fillId="0" borderId="0" xfId="271" applyNumberFormat="1" applyAlignment="1">
      <alignment horizontal="left"/>
    </xf>
    <xf numFmtId="0" fontId="24" fillId="0" borderId="0" xfId="271" applyAlignment="1">
      <alignment horizontal="center"/>
    </xf>
    <xf numFmtId="0" fontId="24" fillId="9" borderId="6" xfId="0" applyFont="1" applyFill="1" applyBorder="1"/>
    <xf numFmtId="0" fontId="24" fillId="0" borderId="4" xfId="271" applyBorder="1"/>
    <xf numFmtId="0" fontId="24" fillId="0" borderId="6" xfId="271" applyBorder="1"/>
    <xf numFmtId="0" fontId="24" fillId="0" borderId="1" xfId="0" applyFont="1" applyBorder="1"/>
    <xf numFmtId="168" fontId="24" fillId="0" borderId="3" xfId="0" applyNumberFormat="1" applyFont="1" applyBorder="1" applyAlignment="1">
      <alignment vertical="top"/>
    </xf>
    <xf numFmtId="168" fontId="24" fillId="0" borderId="4" xfId="0" applyNumberFormat="1" applyFont="1" applyBorder="1" applyAlignment="1">
      <alignment vertical="top"/>
    </xf>
    <xf numFmtId="168" fontId="24" fillId="0" borderId="5" xfId="0" applyNumberFormat="1" applyFont="1" applyBorder="1" applyAlignment="1">
      <alignment vertical="top"/>
    </xf>
    <xf numFmtId="168" fontId="24" fillId="0" borderId="8" xfId="0" applyNumberFormat="1" applyFont="1" applyBorder="1" applyAlignment="1">
      <alignment vertical="top"/>
    </xf>
    <xf numFmtId="168" fontId="24" fillId="0" borderId="0" xfId="0" applyNumberFormat="1" applyFont="1" applyAlignment="1">
      <alignment vertical="top"/>
    </xf>
    <xf numFmtId="0" fontId="24" fillId="0" borderId="0" xfId="0" applyFont="1" applyAlignment="1">
      <alignment horizontal="right" vertical="top"/>
    </xf>
    <xf numFmtId="0" fontId="24"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4" fillId="5" borderId="4" xfId="0" applyFont="1" applyFill="1" applyBorder="1" applyAlignment="1" applyProtection="1">
      <alignment horizontal="left" vertical="top"/>
      <protection locked="0"/>
    </xf>
    <xf numFmtId="0" fontId="24"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4" fontId="24" fillId="0" borderId="0" xfId="0" applyNumberFormat="1" applyFont="1" applyAlignment="1">
      <alignment horizontal="center"/>
    </xf>
    <xf numFmtId="4" fontId="0" fillId="0" borderId="0" xfId="0" applyNumberFormat="1"/>
    <xf numFmtId="0" fontId="34" fillId="0" borderId="1" xfId="543" applyFont="1" applyBorder="1" applyAlignment="1">
      <alignment horizontal="left" vertical="top" wrapText="1"/>
    </xf>
    <xf numFmtId="0" fontId="34" fillId="0" borderId="12" xfId="543" applyFont="1" applyBorder="1" applyAlignment="1">
      <alignment horizontal="center" vertical="top" wrapText="1"/>
    </xf>
    <xf numFmtId="0" fontId="34" fillId="0" borderId="8" xfId="543" applyFont="1" applyBorder="1" applyAlignment="1">
      <alignment horizontal="left" vertical="top" wrapText="1"/>
    </xf>
    <xf numFmtId="0" fontId="29" fillId="3" borderId="4" xfId="271" applyFont="1" applyFill="1" applyBorder="1" applyAlignment="1">
      <alignment vertical="top" wrapText="1"/>
    </xf>
    <xf numFmtId="0" fontId="21" fillId="3" borderId="11" xfId="271" applyFont="1" applyFill="1" applyBorder="1" applyAlignment="1">
      <alignment vertical="top"/>
    </xf>
    <xf numFmtId="0" fontId="22" fillId="0" borderId="9" xfId="271" applyFont="1" applyBorder="1" applyAlignment="1">
      <alignment horizontal="center" wrapText="1"/>
    </xf>
    <xf numFmtId="0" fontId="29" fillId="3" borderId="4" xfId="271" applyFont="1" applyFill="1" applyBorder="1" applyAlignment="1" applyProtection="1">
      <alignment vertical="top" wrapText="1"/>
      <protection locked="0"/>
    </xf>
    <xf numFmtId="0" fontId="29" fillId="3" borderId="5" xfId="271" applyFont="1" applyFill="1" applyBorder="1" applyAlignment="1" applyProtection="1">
      <alignment vertical="top" wrapText="1"/>
      <protection locked="0"/>
    </xf>
    <xf numFmtId="0" fontId="22" fillId="0" borderId="13" xfId="271" applyFont="1" applyBorder="1" applyAlignment="1">
      <alignment horizontal="center" wrapText="1"/>
    </xf>
    <xf numFmtId="0" fontId="47" fillId="2" borderId="11" xfId="271" applyFont="1" applyFill="1" applyBorder="1" applyAlignment="1">
      <alignment horizontal="left" vertical="top" wrapText="1"/>
    </xf>
    <xf numFmtId="0" fontId="24" fillId="0" borderId="11" xfId="271" applyBorder="1" applyAlignment="1" applyProtection="1">
      <alignment vertical="top" wrapText="1"/>
      <protection locked="0"/>
    </xf>
    <xf numFmtId="168" fontId="24" fillId="5" borderId="11" xfId="271" applyNumberFormat="1" applyFill="1" applyBorder="1" applyAlignment="1" applyProtection="1">
      <alignment vertical="top" wrapText="1"/>
      <protection locked="0"/>
    </xf>
    <xf numFmtId="0" fontId="24" fillId="5" borderId="3" xfId="271" applyFill="1" applyBorder="1" applyAlignment="1" applyProtection="1">
      <alignment vertical="top" wrapText="1"/>
      <protection locked="0"/>
    </xf>
    <xf numFmtId="0" fontId="24" fillId="5" borderId="11" xfId="271" applyFill="1" applyBorder="1" applyAlignment="1" applyProtection="1">
      <alignment vertical="top" wrapText="1"/>
      <protection locked="0"/>
    </xf>
    <xf numFmtId="0" fontId="24" fillId="0" borderId="11" xfId="271" applyBorder="1" applyAlignment="1">
      <alignment horizontal="right" vertical="top" wrapText="1"/>
    </xf>
    <xf numFmtId="168" fontId="24" fillId="0" borderId="11" xfId="271" applyNumberFormat="1" applyBorder="1" applyAlignment="1">
      <alignment vertical="top" wrapText="1"/>
    </xf>
    <xf numFmtId="0" fontId="22" fillId="0" borderId="11" xfId="271" applyFont="1" applyBorder="1" applyAlignment="1">
      <alignment horizontal="right" vertical="top" wrapText="1"/>
    </xf>
    <xf numFmtId="0" fontId="24" fillId="5" borderId="11" xfId="271" applyFill="1" applyBorder="1" applyAlignment="1" applyProtection="1">
      <alignment horizontal="right" vertical="top" wrapText="1"/>
      <protection locked="0"/>
    </xf>
    <xf numFmtId="168" fontId="22" fillId="0" borderId="11" xfId="271" applyNumberFormat="1" applyFont="1" applyBorder="1" applyAlignment="1">
      <alignment vertical="top" wrapText="1"/>
    </xf>
    <xf numFmtId="0" fontId="32" fillId="0" borderId="11" xfId="271" applyFont="1" applyBorder="1" applyAlignment="1">
      <alignment horizontal="right" vertical="top" wrapText="1"/>
    </xf>
    <xf numFmtId="0" fontId="29" fillId="0" borderId="0" xfId="271" applyFont="1" applyAlignment="1" applyProtection="1">
      <alignment horizontal="right" vertical="top" wrapText="1"/>
      <protection locked="0"/>
    </xf>
    <xf numFmtId="0" fontId="29" fillId="0" borderId="0" xfId="271" applyFont="1" applyAlignment="1" applyProtection="1">
      <alignment vertical="top" wrapText="1"/>
      <protection locked="0"/>
    </xf>
    <xf numFmtId="0" fontId="24" fillId="0" borderId="5" xfId="271" applyBorder="1" applyAlignment="1" applyProtection="1">
      <alignment vertical="top" wrapText="1"/>
      <protection locked="0"/>
    </xf>
    <xf numFmtId="0" fontId="22" fillId="0" borderId="3" xfId="271" applyFont="1" applyBorder="1" applyAlignment="1">
      <alignment horizontal="left" vertical="top"/>
    </xf>
    <xf numFmtId="0" fontId="24" fillId="0" borderId="4" xfId="271" applyBorder="1" applyAlignment="1" applyProtection="1">
      <alignment horizontal="left" vertical="top"/>
      <protection locked="0"/>
    </xf>
    <xf numFmtId="0" fontId="24" fillId="0" borderId="4" xfId="271" applyBorder="1" applyAlignment="1" applyProtection="1">
      <alignment vertical="top" wrapText="1"/>
      <protection locked="0"/>
    </xf>
    <xf numFmtId="0" fontId="29" fillId="0" borderId="0" xfId="271" applyFont="1" applyAlignment="1">
      <alignment vertical="top" wrapText="1"/>
    </xf>
    <xf numFmtId="0" fontId="24" fillId="0" borderId="4" xfId="271" applyBorder="1" applyAlignment="1">
      <alignment vertical="top" wrapText="1"/>
    </xf>
    <xf numFmtId="0" fontId="47"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61" fillId="0" borderId="0" xfId="542"/>
    <xf numFmtId="0" fontId="24" fillId="8" borderId="0" xfId="542" quotePrefix="1" applyFont="1" applyFill="1" applyAlignment="1">
      <alignment horizontal="left"/>
    </xf>
    <xf numFmtId="0" fontId="24" fillId="8" borderId="0" xfId="542" applyFont="1" applyFill="1"/>
    <xf numFmtId="0" fontId="32"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4" fillId="0" borderId="0" xfId="271" applyAlignment="1">
      <alignment horizontal="left" vertical="top"/>
    </xf>
    <xf numFmtId="0" fontId="22" fillId="0" borderId="0" xfId="271" applyFont="1" applyAlignment="1">
      <alignment horizontal="right"/>
    </xf>
    <xf numFmtId="0" fontId="23" fillId="0" borderId="0" xfId="271" applyFont="1" applyAlignment="1">
      <alignment horizontal="center"/>
    </xf>
    <xf numFmtId="5" fontId="24" fillId="0" borderId="0" xfId="542" applyNumberFormat="1" applyFont="1"/>
    <xf numFmtId="1" fontId="24" fillId="0" borderId="15" xfId="271" applyNumberFormat="1" applyBorder="1"/>
    <xf numFmtId="1" fontId="24" fillId="0" borderId="14" xfId="271" applyNumberFormat="1" applyBorder="1"/>
    <xf numFmtId="0" fontId="23" fillId="0" borderId="6" xfId="271" applyFont="1" applyBorder="1" applyAlignment="1">
      <alignment horizontal="left"/>
    </xf>
    <xf numFmtId="0" fontId="23" fillId="0" borderId="6" xfId="271" applyFont="1" applyBorder="1" applyAlignment="1">
      <alignment horizontal="right"/>
    </xf>
    <xf numFmtId="165" fontId="24" fillId="0" borderId="0" xfId="271" applyNumberFormat="1"/>
    <xf numFmtId="170" fontId="24" fillId="0" borderId="14" xfId="271" applyNumberFormat="1" applyBorder="1"/>
    <xf numFmtId="1" fontId="22" fillId="0" borderId="11" xfId="271" applyNumberFormat="1" applyFont="1" applyBorder="1"/>
    <xf numFmtId="165" fontId="22" fillId="0" borderId="11" xfId="271" applyNumberFormat="1" applyFont="1" applyBorder="1"/>
    <xf numFmtId="3" fontId="55" fillId="0" borderId="11" xfId="0" applyNumberFormat="1" applyFont="1" applyBorder="1" applyAlignment="1">
      <alignment vertical="top" wrapText="1"/>
    </xf>
    <xf numFmtId="166" fontId="24" fillId="0" borderId="0" xfId="0" applyNumberFormat="1" applyFont="1"/>
    <xf numFmtId="0" fontId="0" fillId="0" borderId="0" xfId="0" applyProtection="1">
      <protection locked="0"/>
    </xf>
    <xf numFmtId="0" fontId="22" fillId="0" borderId="0" xfId="271" applyFont="1" applyAlignment="1">
      <alignment horizontal="left"/>
    </xf>
    <xf numFmtId="0" fontId="20" fillId="0" borderId="0" xfId="0" applyFont="1" applyProtection="1">
      <protection locked="0"/>
    </xf>
    <xf numFmtId="0" fontId="20" fillId="0" borderId="0" xfId="271" applyFont="1" applyProtection="1">
      <protection locked="0"/>
    </xf>
    <xf numFmtId="168" fontId="20" fillId="0" borderId="0" xfId="271" applyNumberFormat="1" applyFont="1" applyProtection="1">
      <protection locked="0"/>
    </xf>
    <xf numFmtId="49" fontId="24" fillId="0" borderId="0" xfId="271" applyNumberFormat="1"/>
    <xf numFmtId="0" fontId="28" fillId="0" borderId="1" xfId="0" applyFont="1" applyBorder="1"/>
    <xf numFmtId="0" fontId="15" fillId="0" borderId="2" xfId="0" applyFont="1" applyBorder="1" applyAlignment="1">
      <alignment horizontal="left"/>
    </xf>
    <xf numFmtId="0" fontId="15" fillId="0" borderId="2" xfId="0" applyFont="1" applyBorder="1"/>
    <xf numFmtId="0" fontId="28" fillId="0" borderId="8" xfId="0" applyFont="1" applyBorder="1"/>
    <xf numFmtId="0" fontId="28" fillId="0" borderId="9" xfId="0" applyFont="1" applyBorder="1"/>
    <xf numFmtId="0" fontId="22"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4" fillId="5" borderId="0" xfId="0" applyNumberFormat="1" applyFont="1" applyFill="1" applyAlignment="1">
      <alignment horizontal="center"/>
    </xf>
    <xf numFmtId="0" fontId="24" fillId="0" borderId="0" xfId="271" applyAlignment="1" applyProtection="1">
      <alignment horizontal="left"/>
      <protection locked="0"/>
    </xf>
    <xf numFmtId="0" fontId="24" fillId="0" borderId="0" xfId="0" applyFont="1" applyAlignment="1" applyProtection="1">
      <alignment horizontal="left"/>
      <protection locked="0"/>
    </xf>
    <xf numFmtId="0" fontId="74" fillId="0" borderId="0" xfId="0" applyFont="1" applyAlignment="1">
      <alignment horizontal="left" vertical="center"/>
    </xf>
    <xf numFmtId="0" fontId="34" fillId="0" borderId="2" xfId="543" applyFont="1" applyBorder="1" applyAlignment="1">
      <alignment horizontal="center" vertical="top" wrapText="1"/>
    </xf>
    <xf numFmtId="49" fontId="45" fillId="0" borderId="0" xfId="0" applyNumberFormat="1" applyFont="1" applyAlignment="1">
      <alignment horizontal="center"/>
    </xf>
    <xf numFmtId="0" fontId="50" fillId="0" borderId="0" xfId="271" applyFont="1" applyAlignment="1">
      <alignment horizontal="center"/>
    </xf>
    <xf numFmtId="49" fontId="24" fillId="0" borderId="0" xfId="271" applyNumberForma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29"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2" fillId="0" borderId="0" xfId="0" applyFont="1" applyAlignment="1">
      <alignment horizontal="left" vertical="top" wrapText="1"/>
    </xf>
    <xf numFmtId="0" fontId="24" fillId="0" borderId="0" xfId="0" applyFont="1" applyAlignment="1">
      <alignment horizontal="right" vertical="top" wrapText="1"/>
    </xf>
    <xf numFmtId="10" fontId="24"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2" fillId="0" borderId="2" xfId="543" applyFont="1" applyBorder="1" applyAlignment="1">
      <alignment horizontal="center"/>
    </xf>
    <xf numFmtId="0" fontId="0" fillId="0" borderId="0" xfId="543" applyFont="1"/>
    <xf numFmtId="0" fontId="16"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2" fillId="8" borderId="11" xfId="542" applyFont="1" applyFill="1" applyBorder="1" applyAlignment="1">
      <alignment horizontal="left"/>
    </xf>
    <xf numFmtId="0" fontId="22"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2" fillId="0" borderId="0" xfId="271" applyFont="1" applyAlignment="1" applyProtection="1">
      <alignment horizontal="center" wrapText="1"/>
      <protection locked="0"/>
    </xf>
    <xf numFmtId="0" fontId="24" fillId="0" borderId="0" xfId="271" applyAlignment="1" applyProtection="1">
      <alignment vertical="top" wrapText="1"/>
      <protection locked="0"/>
    </xf>
    <xf numFmtId="0" fontId="22" fillId="0" borderId="0" xfId="271" applyFont="1" applyAlignment="1" applyProtection="1">
      <alignment vertical="top" wrapText="1"/>
      <protection locked="0"/>
    </xf>
    <xf numFmtId="0" fontId="22" fillId="0" borderId="8" xfId="271" applyFont="1" applyBorder="1" applyAlignment="1" applyProtection="1">
      <alignment horizontal="center" wrapText="1"/>
      <protection locked="0"/>
    </xf>
    <xf numFmtId="0" fontId="24" fillId="0" borderId="8" xfId="271" applyBorder="1" applyAlignment="1" applyProtection="1">
      <alignment vertical="top" wrapText="1"/>
      <protection locked="0"/>
    </xf>
    <xf numFmtId="0" fontId="22" fillId="0" borderId="8" xfId="271" applyFont="1" applyBorder="1" applyAlignment="1" applyProtection="1">
      <alignment vertical="top" wrapText="1"/>
      <protection locked="0"/>
    </xf>
    <xf numFmtId="0" fontId="15" fillId="0" borderId="0" xfId="0" applyFont="1" applyAlignment="1">
      <alignment horizontal="center"/>
    </xf>
    <xf numFmtId="0" fontId="29" fillId="0" borderId="8" xfId="569" applyFont="1" applyBorder="1" applyAlignment="1">
      <alignment vertical="top" wrapText="1"/>
    </xf>
    <xf numFmtId="0" fontId="29"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8"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2"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0" fillId="0" borderId="0" xfId="569" applyFont="1" applyAlignment="1">
      <alignment vertical="top" wrapText="1"/>
    </xf>
    <xf numFmtId="0" fontId="30" fillId="0" borderId="12" xfId="569" applyFont="1" applyBorder="1" applyAlignment="1">
      <alignment vertical="top" wrapText="1"/>
    </xf>
    <xf numFmtId="0" fontId="30"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5" fillId="0" borderId="0" xfId="569" applyAlignment="1">
      <alignment vertical="top" wrapText="1"/>
    </xf>
    <xf numFmtId="0" fontId="15" fillId="0" borderId="0" xfId="569" applyAlignment="1">
      <alignment vertical="top"/>
    </xf>
    <xf numFmtId="0" fontId="52" fillId="0" borderId="0" xfId="569" applyFont="1" applyAlignment="1">
      <alignment horizontal="right" vertical="top" wrapText="1"/>
    </xf>
    <xf numFmtId="0" fontId="22" fillId="0" borderId="0" xfId="569" applyFont="1" applyAlignment="1">
      <alignment horizontal="left" vertical="top" wrapText="1"/>
    </xf>
    <xf numFmtId="168" fontId="52" fillId="0" borderId="0" xfId="569" applyNumberFormat="1" applyFont="1" applyAlignment="1">
      <alignment horizontal="right" vertical="top" wrapText="1"/>
    </xf>
    <xf numFmtId="0" fontId="15" fillId="0" borderId="0" xfId="569" applyAlignment="1" applyProtection="1">
      <alignment horizontal="left" vertical="top" wrapText="1"/>
      <protection locked="0"/>
    </xf>
    <xf numFmtId="0" fontId="15" fillId="0" borderId="0" xfId="569" applyAlignment="1">
      <alignment horizontal="right" vertical="top" wrapText="1"/>
    </xf>
    <xf numFmtId="0" fontId="15"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29"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5" fillId="0" borderId="0" xfId="569"/>
    <xf numFmtId="0" fontId="21" fillId="0" borderId="0" xfId="569" applyFont="1" applyAlignment="1">
      <alignment horizontal="center" vertical="center"/>
    </xf>
    <xf numFmtId="0" fontId="22" fillId="0" borderId="0" xfId="569" applyFont="1"/>
    <xf numFmtId="0" fontId="15" fillId="0" borderId="1" xfId="569" applyBorder="1"/>
    <xf numFmtId="0" fontId="15" fillId="0" borderId="2" xfId="569" applyBorder="1"/>
    <xf numFmtId="0" fontId="15" fillId="0" borderId="8" xfId="569" applyBorder="1"/>
    <xf numFmtId="0" fontId="15" fillId="0" borderId="9" xfId="569" applyBorder="1"/>
    <xf numFmtId="0" fontId="15" fillId="0" borderId="6" xfId="569" applyBorder="1"/>
    <xf numFmtId="0" fontId="23" fillId="0" borderId="0" xfId="569" applyFont="1"/>
    <xf numFmtId="0" fontId="15" fillId="0" borderId="7" xfId="569" applyBorder="1"/>
    <xf numFmtId="0" fontId="15" fillId="0" borderId="12" xfId="569" applyBorder="1"/>
    <xf numFmtId="0" fontId="15" fillId="0" borderId="10" xfId="569" applyBorder="1"/>
    <xf numFmtId="0" fontId="23" fillId="0" borderId="0" xfId="569" applyFont="1" applyAlignment="1">
      <alignment vertical="top" wrapText="1"/>
    </xf>
    <xf numFmtId="0" fontId="15" fillId="0" borderId="0" xfId="569" applyAlignment="1">
      <alignment horizontal="right"/>
    </xf>
    <xf numFmtId="0" fontId="15" fillId="0" borderId="0" xfId="569" applyAlignment="1">
      <alignment wrapText="1"/>
    </xf>
    <xf numFmtId="0" fontId="15" fillId="0" borderId="0" xfId="569" applyAlignment="1">
      <alignment vertical="center"/>
    </xf>
    <xf numFmtId="0" fontId="39" fillId="0" borderId="0" xfId="569" applyFont="1" applyAlignment="1">
      <alignment vertical="center" wrapText="1"/>
    </xf>
    <xf numFmtId="0" fontId="33" fillId="0" borderId="0" xfId="569" applyFont="1" applyAlignment="1">
      <alignment vertical="top" wrapText="1"/>
    </xf>
    <xf numFmtId="0" fontId="22" fillId="0" borderId="0" xfId="569" applyFont="1" applyAlignment="1">
      <alignment vertical="top" wrapText="1"/>
    </xf>
    <xf numFmtId="0" fontId="23" fillId="0" borderId="0" xfId="569" applyFont="1" applyAlignment="1">
      <alignment horizontal="left" vertical="top" wrapText="1"/>
    </xf>
    <xf numFmtId="164" fontId="15" fillId="0" borderId="0" xfId="569" applyNumberFormat="1" applyAlignment="1">
      <alignment horizontal="right"/>
    </xf>
    <xf numFmtId="168" fontId="15" fillId="0" borderId="0" xfId="569" applyNumberFormat="1" applyAlignment="1">
      <alignment horizontal="right"/>
    </xf>
    <xf numFmtId="0" fontId="106" fillId="0" borderId="0" xfId="569" applyFont="1" applyAlignment="1">
      <alignment horizontal="left" vertical="top" wrapText="1"/>
    </xf>
    <xf numFmtId="168" fontId="15" fillId="0" borderId="0" xfId="569" applyNumberFormat="1" applyAlignment="1">
      <alignment wrapText="1"/>
    </xf>
    <xf numFmtId="0" fontId="20" fillId="0" borderId="11" xfId="253" applyFont="1" applyBorder="1" applyAlignment="1">
      <alignment horizontal="center" wrapText="1"/>
    </xf>
    <xf numFmtId="0" fontId="20" fillId="0" borderId="0" xfId="253" applyFont="1" applyAlignment="1">
      <alignment horizontal="center" wrapText="1"/>
    </xf>
    <xf numFmtId="3" fontId="20" fillId="0" borderId="11" xfId="271" applyNumberFormat="1" applyFont="1" applyBorder="1"/>
    <xf numFmtId="3" fontId="20"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0" fillId="0" borderId="11" xfId="271" applyNumberFormat="1" applyFont="1" applyBorder="1"/>
    <xf numFmtId="168" fontId="20" fillId="0" borderId="0" xfId="271" applyNumberFormat="1" applyFont="1"/>
    <xf numFmtId="0" fontId="20" fillId="0" borderId="0" xfId="271" applyFont="1"/>
    <xf numFmtId="0" fontId="52" fillId="0" borderId="0" xfId="569" applyFont="1" applyAlignment="1">
      <alignment horizontal="left"/>
    </xf>
    <xf numFmtId="0" fontId="15" fillId="0" borderId="3" xfId="569" applyBorder="1"/>
    <xf numFmtId="0" fontId="0" fillId="5" borderId="6" xfId="0" applyFill="1" applyBorder="1" applyProtection="1">
      <protection locked="0"/>
    </xf>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5" fillId="0" borderId="0" xfId="1192" applyNumberFormat="1" applyAlignment="1">
      <alignment horizontal="left" vertical="top" wrapText="1"/>
    </xf>
    <xf numFmtId="0" fontId="15" fillId="0" borderId="0" xfId="0" applyFont="1" applyAlignment="1">
      <alignment horizontal="left" vertical="top" wrapText="1"/>
    </xf>
    <xf numFmtId="0" fontId="15" fillId="0" borderId="0" xfId="271" applyFont="1" applyAlignment="1">
      <alignment horizontal="left" vertical="top" wrapText="1"/>
    </xf>
    <xf numFmtId="0" fontId="22" fillId="0" borderId="12" xfId="543" applyFont="1" applyBorder="1" applyAlignment="1">
      <alignment horizontal="right"/>
    </xf>
    <xf numFmtId="0" fontId="34" fillId="0" borderId="0" xfId="543" applyFont="1" applyAlignment="1">
      <alignment horizontal="center"/>
    </xf>
    <xf numFmtId="4" fontId="15" fillId="0" borderId="0" xfId="569" applyNumberFormat="1" applyAlignment="1">
      <alignment horizontal="left"/>
    </xf>
    <xf numFmtId="0" fontId="15" fillId="0" borderId="0" xfId="569" applyAlignment="1">
      <alignment horizontal="left" vertical="top" wrapText="1"/>
    </xf>
    <xf numFmtId="0" fontId="15" fillId="0" borderId="0" xfId="569" applyAlignment="1">
      <alignment horizontal="left"/>
    </xf>
    <xf numFmtId="0" fontId="15" fillId="0" borderId="0" xfId="1192" applyAlignment="1">
      <alignment horizontal="left"/>
    </xf>
    <xf numFmtId="0" fontId="22" fillId="0" borderId="0" xfId="569" applyFont="1" applyAlignment="1">
      <alignment horizontal="left"/>
    </xf>
    <xf numFmtId="0" fontId="44" fillId="0" borderId="0" xfId="1192" applyFont="1"/>
    <xf numFmtId="0" fontId="52" fillId="0" borderId="11" xfId="0" applyFont="1" applyBorder="1" applyAlignment="1">
      <alignment horizontal="right" vertical="center"/>
    </xf>
    <xf numFmtId="0" fontId="15" fillId="0" borderId="0" xfId="1192" applyAlignment="1">
      <alignment horizontal="left" vertical="top" wrapText="1"/>
    </xf>
    <xf numFmtId="0" fontId="44" fillId="0" borderId="0" xfId="0" applyFont="1" applyAlignment="1">
      <alignment vertical="top" wrapText="1"/>
    </xf>
    <xf numFmtId="0" fontId="44" fillId="0" borderId="0" xfId="0" applyFont="1" applyAlignment="1">
      <alignment horizontal="left" vertical="top" wrapText="1"/>
    </xf>
    <xf numFmtId="6" fontId="53" fillId="0" borderId="0" xfId="569" applyNumberFormat="1" applyFont="1" applyAlignment="1">
      <alignment horizontal="right" vertical="top"/>
    </xf>
    <xf numFmtId="0" fontId="15" fillId="0" borderId="0" xfId="0" applyFont="1" applyAlignment="1">
      <alignment vertical="top" wrapText="1"/>
    </xf>
    <xf numFmtId="168" fontId="24" fillId="0" borderId="0" xfId="0" applyNumberFormat="1" applyFont="1" applyAlignment="1">
      <alignment horizontal="right"/>
    </xf>
    <xf numFmtId="168" fontId="24" fillId="0" borderId="28" xfId="540" applyNumberFormat="1" applyBorder="1" applyAlignment="1" applyProtection="1">
      <alignment horizontal="center"/>
    </xf>
    <xf numFmtId="168" fontId="24" fillId="0" borderId="29" xfId="540" applyNumberFormat="1" applyBorder="1" applyAlignment="1" applyProtection="1">
      <alignment horizontal="center"/>
    </xf>
    <xf numFmtId="168" fontId="24" fillId="0" borderId="30" xfId="540" applyNumberFormat="1" applyBorder="1" applyAlignment="1" applyProtection="1">
      <alignment horizontal="center"/>
    </xf>
    <xf numFmtId="168" fontId="24" fillId="0" borderId="31" xfId="540" applyNumberFormat="1" applyBorder="1" applyAlignment="1" applyProtection="1">
      <alignment horizontal="center"/>
    </xf>
    <xf numFmtId="168" fontId="24" fillId="0" borderId="32" xfId="540" applyNumberFormat="1" applyBorder="1" applyAlignment="1" applyProtection="1">
      <alignment horizontal="center"/>
    </xf>
    <xf numFmtId="168" fontId="24" fillId="0" borderId="33" xfId="540" applyNumberFormat="1" applyBorder="1" applyAlignment="1" applyProtection="1">
      <alignment horizontal="center"/>
    </xf>
    <xf numFmtId="168" fontId="24" fillId="0" borderId="34" xfId="540" applyNumberFormat="1" applyBorder="1" applyAlignment="1" applyProtection="1">
      <alignment horizontal="center"/>
    </xf>
    <xf numFmtId="168" fontId="24" fillId="0" borderId="35" xfId="540" applyNumberFormat="1" applyBorder="1" applyAlignment="1" applyProtection="1">
      <alignment horizontal="center"/>
    </xf>
    <xf numFmtId="168" fontId="24" fillId="0" borderId="36" xfId="540" applyNumberFormat="1" applyBorder="1" applyAlignment="1" applyProtection="1">
      <alignment horizontal="center"/>
    </xf>
    <xf numFmtId="168" fontId="24" fillId="0" borderId="37" xfId="540" applyNumberFormat="1" applyBorder="1" applyAlignment="1" applyProtection="1">
      <alignment horizontal="center"/>
    </xf>
    <xf numFmtId="168" fontId="24" fillId="0" borderId="38" xfId="540" applyNumberFormat="1" applyBorder="1" applyAlignment="1" applyProtection="1">
      <alignment horizontal="center"/>
    </xf>
    <xf numFmtId="168" fontId="24" fillId="0" borderId="39" xfId="540" applyNumberFormat="1" applyBorder="1" applyAlignment="1" applyProtection="1">
      <alignment horizontal="center"/>
    </xf>
    <xf numFmtId="168" fontId="24" fillId="0" borderId="40" xfId="540" applyNumberFormat="1" applyBorder="1" applyAlignment="1" applyProtection="1">
      <alignment horizontal="center"/>
    </xf>
    <xf numFmtId="168" fontId="24" fillId="0" borderId="0" xfId="540" applyNumberFormat="1" applyAlignment="1" applyProtection="1">
      <alignment horizontal="center"/>
    </xf>
    <xf numFmtId="168" fontId="24" fillId="0" borderId="14" xfId="540" applyNumberFormat="1" applyBorder="1" applyAlignment="1" applyProtection="1">
      <alignment horizontal="center"/>
    </xf>
    <xf numFmtId="168" fontId="24" fillId="0" borderId="41" xfId="540" applyNumberFormat="1" applyBorder="1" applyAlignment="1" applyProtection="1">
      <alignment horizontal="center"/>
    </xf>
    <xf numFmtId="168" fontId="24" fillId="0" borderId="42" xfId="540" applyNumberFormat="1" applyBorder="1" applyAlignment="1" applyProtection="1">
      <alignment horizontal="center"/>
    </xf>
    <xf numFmtId="168" fontId="24" fillId="0" borderId="43" xfId="540" applyNumberFormat="1" applyBorder="1" applyAlignment="1" applyProtection="1">
      <alignment horizontal="center"/>
    </xf>
    <xf numFmtId="168" fontId="24" fillId="0" borderId="44" xfId="540" applyNumberFormat="1" applyBorder="1" applyAlignment="1" applyProtection="1">
      <alignment horizontal="center"/>
    </xf>
    <xf numFmtId="0" fontId="15" fillId="0" borderId="0" xfId="1192"/>
    <xf numFmtId="0" fontId="15" fillId="0" borderId="0" xfId="0" applyFont="1" applyAlignment="1">
      <alignment wrapText="1"/>
    </xf>
    <xf numFmtId="0" fontId="44" fillId="0" borderId="0" xfId="0" applyFont="1" applyAlignment="1">
      <alignment horizontal="left" vertical="top"/>
    </xf>
    <xf numFmtId="0" fontId="44" fillId="0" borderId="0" xfId="0" applyFont="1" applyAlignment="1">
      <alignment vertical="top"/>
    </xf>
    <xf numFmtId="0" fontId="15" fillId="0" borderId="0" xfId="569" applyAlignment="1">
      <alignment horizontal="center"/>
    </xf>
    <xf numFmtId="0" fontId="33" fillId="0" borderId="0" xfId="569" applyFont="1" applyAlignment="1">
      <alignment horizontal="left"/>
    </xf>
    <xf numFmtId="0" fontId="33" fillId="0" borderId="0" xfId="569" applyFont="1" applyAlignment="1">
      <alignment horizontal="center"/>
    </xf>
    <xf numFmtId="49" fontId="22" fillId="0" borderId="0" xfId="569" applyNumberFormat="1" applyFont="1" applyAlignment="1">
      <alignment horizontal="center"/>
    </xf>
    <xf numFmtId="0" fontId="50" fillId="0" borderId="0" xfId="569" applyFont="1" applyAlignment="1">
      <alignment horizontal="center"/>
    </xf>
    <xf numFmtId="0" fontId="15" fillId="5" borderId="6" xfId="569" applyFill="1" applyBorder="1" applyProtection="1">
      <protection locked="0"/>
    </xf>
    <xf numFmtId="0" fontId="16" fillId="0" borderId="0" xfId="244" applyAlignment="1" applyProtection="1">
      <alignment horizontal="center"/>
    </xf>
    <xf numFmtId="49" fontId="15" fillId="0" borderId="0" xfId="569" applyNumberFormat="1" applyAlignment="1">
      <alignment horizontal="center"/>
    </xf>
    <xf numFmtId="0" fontId="15" fillId="0" borderId="0" xfId="569" applyAlignment="1">
      <alignment horizontal="center" vertical="center"/>
    </xf>
    <xf numFmtId="0" fontId="15" fillId="0" borderId="0" xfId="1192" applyAlignment="1">
      <alignment horizontal="center"/>
    </xf>
    <xf numFmtId="0" fontId="22" fillId="0" borderId="0" xfId="569" applyFont="1" applyAlignment="1">
      <alignment horizontal="center"/>
    </xf>
    <xf numFmtId="0" fontId="15" fillId="0" borderId="0" xfId="569" applyAlignment="1">
      <alignment horizontal="left" indent="4"/>
    </xf>
    <xf numFmtId="0" fontId="15" fillId="0" borderId="0" xfId="569" quotePrefix="1" applyAlignment="1">
      <alignment horizontal="left"/>
    </xf>
    <xf numFmtId="0" fontId="33" fillId="0" borderId="0" xfId="569" applyFont="1"/>
    <xf numFmtId="0" fontId="15" fillId="0" borderId="0" xfId="1192" applyAlignment="1" applyProtection="1">
      <alignment horizontal="left"/>
      <protection locked="0"/>
    </xf>
    <xf numFmtId="0" fontId="15" fillId="0" borderId="0" xfId="569" applyAlignment="1" applyProtection="1">
      <alignment horizontal="left"/>
      <protection locked="0"/>
    </xf>
    <xf numFmtId="49" fontId="15" fillId="0" borderId="0" xfId="1192" applyNumberFormat="1" applyAlignment="1">
      <alignment horizontal="center"/>
    </xf>
    <xf numFmtId="0" fontId="50" fillId="0" borderId="0" xfId="1192" applyFont="1" applyAlignment="1">
      <alignment horizontal="center"/>
    </xf>
    <xf numFmtId="0" fontId="22" fillId="0" borderId="0" xfId="1192" applyFont="1" applyAlignment="1">
      <alignment horizontal="left"/>
    </xf>
    <xf numFmtId="4" fontId="15" fillId="0" borderId="0" xfId="1192" applyNumberFormat="1" applyAlignment="1">
      <alignment horizontal="left"/>
    </xf>
    <xf numFmtId="0" fontId="22" fillId="0" borderId="0" xfId="569" quotePrefix="1" applyFont="1" applyAlignment="1">
      <alignment horizontal="center"/>
    </xf>
    <xf numFmtId="49" fontId="15" fillId="0" borderId="0" xfId="569" applyNumberFormat="1"/>
    <xf numFmtId="0" fontId="47" fillId="0" borderId="0" xfId="569" applyFont="1" applyAlignment="1">
      <alignment horizontal="left"/>
    </xf>
    <xf numFmtId="4" fontId="50" fillId="0" borderId="0" xfId="569" applyNumberFormat="1" applyFont="1" applyAlignment="1">
      <alignment horizontal="center"/>
    </xf>
    <xf numFmtId="4" fontId="15" fillId="0" borderId="0" xfId="569" applyNumberFormat="1" applyAlignment="1">
      <alignment horizontal="center"/>
    </xf>
    <xf numFmtId="4" fontId="15" fillId="0" borderId="0" xfId="569" applyNumberFormat="1"/>
    <xf numFmtId="0" fontId="45" fillId="0" borderId="0" xfId="569" applyFont="1" applyAlignment="1">
      <alignment horizontal="left"/>
    </xf>
    <xf numFmtId="0" fontId="16"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5" fillId="0" borderId="11" xfId="271" applyFont="1" applyBorder="1" applyAlignment="1">
      <alignment horizontal="right" vertical="top" wrapText="1"/>
    </xf>
    <xf numFmtId="0" fontId="23"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3"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5" fillId="0" borderId="0" xfId="271" applyFont="1" applyAlignment="1">
      <alignment horizontal="left" vertical="top"/>
    </xf>
    <xf numFmtId="0" fontId="52" fillId="0" borderId="0" xfId="569" applyFont="1"/>
    <xf numFmtId="0" fontId="15" fillId="0" borderId="0" xfId="0" applyFont="1" applyAlignment="1">
      <alignment horizontal="left" vertical="top"/>
    </xf>
    <xf numFmtId="4" fontId="15" fillId="0" borderId="0" xfId="1192" applyNumberFormat="1" applyAlignment="1">
      <alignment vertical="top" wrapText="1"/>
    </xf>
    <xf numFmtId="0" fontId="22" fillId="0" borderId="16" xfId="271" applyFont="1" applyBorder="1"/>
    <xf numFmtId="0" fontId="59" fillId="0" borderId="0" xfId="569" applyFont="1"/>
    <xf numFmtId="0" fontId="39" fillId="0" borderId="0" xfId="569" applyFont="1"/>
    <xf numFmtId="0" fontId="15" fillId="0" borderId="0" xfId="1192" applyAlignment="1">
      <alignment vertical="top" wrapText="1"/>
    </xf>
    <xf numFmtId="49" fontId="15" fillId="0" borderId="0" xfId="1192" applyNumberFormat="1" applyAlignment="1">
      <alignment vertical="top" wrapText="1"/>
    </xf>
    <xf numFmtId="0" fontId="54" fillId="0" borderId="9" xfId="543" applyFont="1" applyBorder="1" applyAlignment="1">
      <alignment vertical="top"/>
    </xf>
    <xf numFmtId="0" fontId="15"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5" fillId="0" borderId="8" xfId="543" applyNumberFormat="1" applyBorder="1"/>
    <xf numFmtId="0" fontId="15" fillId="0" borderId="8" xfId="4495" applyFont="1" applyBorder="1"/>
    <xf numFmtId="0" fontId="15" fillId="0" borderId="0" xfId="4495" applyFont="1"/>
    <xf numFmtId="0" fontId="21" fillId="0" borderId="0" xfId="4495" applyFont="1" applyAlignment="1">
      <alignment horizontal="center" vertical="center"/>
    </xf>
    <xf numFmtId="0" fontId="22" fillId="0" borderId="0" xfId="4495" applyFont="1" applyAlignment="1">
      <alignment horizontal="left"/>
    </xf>
    <xf numFmtId="0" fontId="22" fillId="0" borderId="0" xfId="4495" applyFont="1"/>
    <xf numFmtId="0" fontId="25" fillId="0" borderId="0" xfId="4495" applyFont="1" applyAlignment="1">
      <alignment horizontal="center" vertical="center"/>
    </xf>
    <xf numFmtId="0" fontId="25" fillId="0" borderId="27" xfId="4495" applyFont="1" applyBorder="1" applyAlignment="1">
      <alignment horizontal="center" vertical="center"/>
    </xf>
    <xf numFmtId="0" fontId="25" fillId="0" borderId="46" xfId="4495" applyFont="1" applyBorder="1" applyAlignment="1">
      <alignment horizontal="center" vertical="center"/>
    </xf>
    <xf numFmtId="0" fontId="22" fillId="0" borderId="0" xfId="4495" applyFont="1" applyAlignment="1">
      <alignment horizontal="right"/>
    </xf>
    <xf numFmtId="0" fontId="33" fillId="0" borderId="0" xfId="4495" applyFont="1" applyAlignment="1">
      <alignment horizontal="left" vertical="center"/>
    </xf>
    <xf numFmtId="0" fontId="15" fillId="0" borderId="0" xfId="1192" quotePrefix="1" applyAlignment="1">
      <alignment horizontal="center"/>
    </xf>
    <xf numFmtId="0" fontId="45" fillId="0" borderId="0" xfId="4495" applyFont="1" applyAlignment="1">
      <alignment horizontal="left" vertical="center"/>
    </xf>
    <xf numFmtId="49" fontId="23" fillId="0" borderId="0" xfId="4495" applyNumberFormat="1" applyFont="1" applyAlignment="1">
      <alignment horizontal="left" vertical="top"/>
    </xf>
    <xf numFmtId="0" fontId="15" fillId="0" borderId="47" xfId="4495" applyFont="1" applyBorder="1" applyAlignment="1">
      <alignment horizontal="left" vertical="center"/>
    </xf>
    <xf numFmtId="0" fontId="25" fillId="0" borderId="48" xfId="4495" applyFont="1" applyBorder="1" applyAlignment="1">
      <alignment horizontal="center" vertical="center"/>
    </xf>
    <xf numFmtId="0" fontId="23" fillId="0" borderId="0" xfId="4495" applyFont="1"/>
    <xf numFmtId="0" fontId="23"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5"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5" fillId="0" borderId="0" xfId="4496" applyFont="1" applyAlignment="1">
      <alignment vertical="center"/>
    </xf>
    <xf numFmtId="0" fontId="23" fillId="0" borderId="3" xfId="4495" applyFont="1" applyBorder="1" applyAlignment="1">
      <alignment vertical="top" wrapText="1"/>
    </xf>
    <xf numFmtId="0" fontId="23" fillId="0" borderId="4" xfId="4495" applyFont="1" applyBorder="1" applyAlignment="1">
      <alignment vertical="top" wrapText="1"/>
    </xf>
    <xf numFmtId="164" fontId="119" fillId="0" borderId="4" xfId="4495" applyNumberFormat="1" applyBorder="1" applyAlignment="1">
      <alignment horizontal="right"/>
    </xf>
    <xf numFmtId="0" fontId="23" fillId="0" borderId="4" xfId="4495" applyFont="1" applyBorder="1"/>
    <xf numFmtId="0" fontId="22" fillId="0" borderId="5" xfId="4495" applyFont="1" applyBorder="1" applyAlignment="1">
      <alignment horizontal="right"/>
    </xf>
    <xf numFmtId="0" fontId="15" fillId="0" borderId="16" xfId="4495" applyFont="1" applyBorder="1"/>
    <xf numFmtId="0" fontId="15" fillId="0" borderId="16" xfId="4495" applyFont="1" applyBorder="1" applyAlignment="1">
      <alignment horizontal="left" vertical="top"/>
    </xf>
    <xf numFmtId="0" fontId="23" fillId="0" borderId="16" xfId="4495" applyFont="1" applyBorder="1" applyAlignment="1">
      <alignment horizontal="left" vertical="top" wrapText="1"/>
    </xf>
    <xf numFmtId="0" fontId="23" fillId="0" borderId="45" xfId="4495" applyFont="1" applyBorder="1" applyAlignment="1">
      <alignment horizontal="left" vertical="top" wrapText="1"/>
    </xf>
    <xf numFmtId="0" fontId="119" fillId="0" borderId="0" xfId="4495"/>
    <xf numFmtId="0" fontId="16" fillId="0" borderId="0" xfId="244" applyFill="1" applyBorder="1" applyAlignment="1" applyProtection="1">
      <alignment horizontal="left" vertical="top"/>
    </xf>
    <xf numFmtId="0" fontId="16" fillId="0" borderId="0" xfId="244" applyFill="1" applyBorder="1" applyAlignment="1" applyProtection="1">
      <alignment horizontal="left" vertical="top" wrapText="1"/>
    </xf>
    <xf numFmtId="0" fontId="23" fillId="0" borderId="0" xfId="4495" applyFont="1" applyAlignment="1">
      <alignment horizontal="left" vertical="top" wrapText="1"/>
    </xf>
    <xf numFmtId="0" fontId="23" fillId="0" borderId="0" xfId="4495" applyFont="1" applyAlignment="1">
      <alignment horizontal="right" vertical="top"/>
    </xf>
    <xf numFmtId="0" fontId="15"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2" fillId="0" borderId="57" xfId="4495" applyFont="1" applyBorder="1"/>
    <xf numFmtId="0" fontId="22" fillId="0" borderId="58" xfId="4495" applyFont="1" applyBorder="1"/>
    <xf numFmtId="0" fontId="22" fillId="0" borderId="58" xfId="4495" applyFont="1" applyBorder="1" applyAlignment="1">
      <alignment horizontal="right"/>
    </xf>
    <xf numFmtId="0" fontId="22"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5" fillId="0" borderId="57" xfId="4495" applyFont="1" applyBorder="1" applyAlignment="1">
      <alignment horizontal="center" vertical="center"/>
    </xf>
    <xf numFmtId="0" fontId="25" fillId="0" borderId="58" xfId="4495" applyFont="1" applyBorder="1" applyAlignment="1">
      <alignment horizontal="center" vertical="center"/>
    </xf>
    <xf numFmtId="0" fontId="25" fillId="0" borderId="59" xfId="4495" applyFont="1" applyBorder="1" applyAlignment="1">
      <alignment horizontal="center" vertical="center"/>
    </xf>
    <xf numFmtId="0" fontId="22" fillId="0" borderId="0" xfId="4495" applyFont="1" applyAlignment="1">
      <alignment horizontal="center"/>
    </xf>
    <xf numFmtId="0" fontId="22" fillId="0" borderId="8" xfId="4495" applyFont="1" applyBorder="1"/>
    <xf numFmtId="0" fontId="23" fillId="0" borderId="0" xfId="4495" applyFont="1" applyAlignment="1">
      <alignment horizontal="left"/>
    </xf>
    <xf numFmtId="0" fontId="22" fillId="0" borderId="0" xfId="4495" applyFont="1" applyAlignment="1">
      <alignment horizontal="center" vertical="top"/>
    </xf>
    <xf numFmtId="0" fontId="15" fillId="0" borderId="0" xfId="4495" applyFont="1" applyAlignment="1">
      <alignment horizontal="center"/>
    </xf>
    <xf numFmtId="0" fontId="31" fillId="0" borderId="0" xfId="4495" applyFont="1"/>
    <xf numFmtId="0" fontId="23" fillId="0" borderId="8" xfId="4495" applyFont="1" applyBorder="1"/>
    <xf numFmtId="0" fontId="52" fillId="0" borderId="8" xfId="4495" applyFont="1" applyBorder="1"/>
    <xf numFmtId="1" fontId="15" fillId="0" borderId="0" xfId="1192" applyNumberFormat="1"/>
    <xf numFmtId="0" fontId="15" fillId="0" borderId="3" xfId="4495" applyFont="1" applyBorder="1"/>
    <xf numFmtId="0" fontId="15" fillId="0" borderId="4" xfId="4495" applyFont="1" applyBorder="1"/>
    <xf numFmtId="0" fontId="15" fillId="0" borderId="0" xfId="1192" applyAlignment="1">
      <alignment wrapText="1"/>
    </xf>
    <xf numFmtId="0" fontId="23" fillId="0" borderId="0" xfId="4495" applyFont="1" applyAlignment="1">
      <alignment vertical="top" wrapText="1"/>
    </xf>
    <xf numFmtId="0" fontId="23" fillId="0" borderId="0" xfId="1192" applyFont="1"/>
    <xf numFmtId="0" fontId="15" fillId="0" borderId="0" xfId="4495" applyFont="1" applyAlignment="1">
      <alignment horizontal="left"/>
    </xf>
    <xf numFmtId="0" fontId="23" fillId="0" borderId="3" xfId="4495" applyFont="1" applyBorder="1"/>
    <xf numFmtId="0" fontId="15" fillId="0" borderId="4" xfId="4495" applyFont="1" applyBorder="1" applyAlignment="1">
      <alignment horizontal="right"/>
    </xf>
    <xf numFmtId="1" fontId="15" fillId="0" borderId="0" xfId="4495" applyNumberFormat="1" applyFont="1" applyAlignment="1">
      <alignment horizontal="center"/>
    </xf>
    <xf numFmtId="0" fontId="52" fillId="0" borderId="0" xfId="4495" applyFont="1"/>
    <xf numFmtId="0" fontId="15" fillId="0" borderId="0" xfId="4495" applyFont="1" applyAlignment="1">
      <alignment horizontal="right"/>
    </xf>
    <xf numFmtId="0" fontId="23" fillId="0" borderId="0" xfId="4495" applyFont="1" applyAlignment="1">
      <alignment vertical="top"/>
    </xf>
    <xf numFmtId="0" fontId="23" fillId="0" borderId="27" xfId="4495" applyFont="1" applyBorder="1"/>
    <xf numFmtId="0" fontId="22" fillId="0" borderId="0" xfId="4495" applyFont="1" applyAlignment="1">
      <alignment vertical="top"/>
    </xf>
    <xf numFmtId="0" fontId="33" fillId="0" borderId="0" xfId="4495" applyFont="1" applyAlignment="1">
      <alignment vertical="top" wrapText="1"/>
    </xf>
    <xf numFmtId="0" fontId="22" fillId="0" borderId="0" xfId="4495" applyFont="1" applyAlignment="1">
      <alignment horizontal="left" vertical="top" wrapText="1"/>
    </xf>
    <xf numFmtId="0" fontId="15" fillId="0" borderId="0" xfId="4495" applyFont="1" applyAlignment="1">
      <alignment horizontal="left" vertical="top"/>
    </xf>
    <xf numFmtId="0" fontId="33" fillId="0" borderId="0" xfId="4495" applyFont="1" applyAlignment="1">
      <alignment vertical="top"/>
    </xf>
    <xf numFmtId="0" fontId="15" fillId="0" borderId="10" xfId="4495" applyFont="1" applyBorder="1" applyAlignment="1">
      <alignment horizontal="center"/>
    </xf>
    <xf numFmtId="0" fontId="15" fillId="0" borderId="16" xfId="4495" applyFont="1" applyBorder="1" applyAlignment="1">
      <alignment horizontal="center"/>
    </xf>
    <xf numFmtId="0" fontId="31" fillId="0" borderId="16" xfId="4495" applyFont="1" applyBorder="1"/>
    <xf numFmtId="0" fontId="23" fillId="0" borderId="16" xfId="4495" applyFont="1" applyBorder="1"/>
    <xf numFmtId="0" fontId="15" fillId="0" borderId="0" xfId="4496" applyFont="1" applyAlignment="1">
      <alignment vertical="top" wrapText="1"/>
    </xf>
    <xf numFmtId="0" fontId="22" fillId="0" borderId="0" xfId="1192" applyFont="1" applyAlignment="1">
      <alignment horizontal="right"/>
    </xf>
    <xf numFmtId="0" fontId="15" fillId="0" borderId="0" xfId="4496" applyFont="1"/>
    <xf numFmtId="0" fontId="15" fillId="0" borderId="0" xfId="4496" applyFont="1" applyAlignment="1">
      <alignment horizontal="left"/>
    </xf>
    <xf numFmtId="0" fontId="15" fillId="0" borderId="0" xfId="4496" applyFont="1" applyAlignment="1">
      <alignment horizontal="right"/>
    </xf>
    <xf numFmtId="0" fontId="23" fillId="0" borderId="0" xfId="4496" applyFont="1" applyAlignment="1">
      <alignment vertical="top" wrapText="1"/>
    </xf>
    <xf numFmtId="0" fontId="15" fillId="0" borderId="4" xfId="4496" applyFont="1" applyBorder="1"/>
    <xf numFmtId="0" fontId="22" fillId="0" borderId="4" xfId="4496" applyFont="1" applyBorder="1" applyAlignment="1">
      <alignment horizontal="right"/>
    </xf>
    <xf numFmtId="0" fontId="23" fillId="0" borderId="27" xfId="4495" applyFont="1" applyBorder="1" applyAlignment="1">
      <alignment horizontal="left" vertical="top"/>
    </xf>
    <xf numFmtId="0" fontId="15" fillId="0" borderId="27" xfId="4495" applyFont="1" applyBorder="1" applyAlignment="1">
      <alignment horizontal="left" vertical="top"/>
    </xf>
    <xf numFmtId="0" fontId="22" fillId="0" borderId="27" xfId="4495" applyFont="1" applyBorder="1" applyAlignment="1">
      <alignment horizontal="right"/>
    </xf>
    <xf numFmtId="0" fontId="15" fillId="0" borderId="27" xfId="4495" applyFont="1" applyBorder="1" applyAlignment="1">
      <alignment horizontal="center"/>
    </xf>
    <xf numFmtId="0" fontId="15" fillId="0" borderId="46" xfId="4495" applyFont="1" applyBorder="1" applyAlignment="1">
      <alignment horizontal="center"/>
    </xf>
    <xf numFmtId="164" fontId="23" fillId="0" borderId="0" xfId="4495" applyNumberFormat="1" applyFont="1" applyAlignment="1">
      <alignment horizontal="left" vertical="top" wrapText="1"/>
    </xf>
    <xf numFmtId="0" fontId="26" fillId="0" borderId="0" xfId="4495" applyFont="1"/>
    <xf numFmtId="0" fontId="23" fillId="0" borderId="0" xfId="4495" applyFont="1" applyAlignment="1">
      <alignment horizontal="right"/>
    </xf>
    <xf numFmtId="0" fontId="15" fillId="0" borderId="27" xfId="543" applyBorder="1"/>
    <xf numFmtId="0" fontId="15" fillId="0" borderId="46" xfId="543" applyBorder="1"/>
    <xf numFmtId="0" fontId="22" fillId="0" borderId="0" xfId="4495" applyFont="1" applyAlignment="1">
      <alignment horizontal="left" vertical="top"/>
    </xf>
    <xf numFmtId="1" fontId="119" fillId="0" borderId="0" xfId="4495" applyNumberFormat="1"/>
    <xf numFmtId="0" fontId="15" fillId="0" borderId="0" xfId="4495" applyFont="1" applyAlignment="1">
      <alignment vertical="top" wrapText="1"/>
    </xf>
    <xf numFmtId="0" fontId="15" fillId="0" borderId="0" xfId="4495" applyFont="1" applyAlignment="1">
      <alignment horizontal="left" vertical="top" wrapText="1"/>
    </xf>
    <xf numFmtId="0" fontId="15" fillId="0" borderId="50" xfId="4495" applyFont="1" applyBorder="1" applyAlignment="1">
      <alignment vertical="top"/>
    </xf>
    <xf numFmtId="0" fontId="15" fillId="0" borderId="51" xfId="4495" applyFont="1" applyBorder="1" applyAlignment="1">
      <alignment vertical="top"/>
    </xf>
    <xf numFmtId="0" fontId="15" fillId="0" borderId="52" xfId="4495" applyFont="1" applyBorder="1" applyAlignment="1">
      <alignment vertical="top"/>
    </xf>
    <xf numFmtId="1" fontId="23" fillId="0" borderId="8" xfId="4495" applyNumberFormat="1" applyFont="1" applyBorder="1"/>
    <xf numFmtId="0" fontId="15" fillId="0" borderId="0" xfId="543" applyAlignment="1">
      <alignment vertical="top"/>
    </xf>
    <xf numFmtId="0" fontId="23" fillId="0" borderId="51" xfId="4495" applyFont="1" applyBorder="1" applyAlignment="1">
      <alignment horizontal="left" vertical="top"/>
    </xf>
    <xf numFmtId="0" fontId="23" fillId="0" borderId="52" xfId="4495" applyFont="1" applyBorder="1" applyAlignment="1">
      <alignment horizontal="left" vertical="top"/>
    </xf>
    <xf numFmtId="0" fontId="119" fillId="0" borderId="0" xfId="4495" applyAlignment="1" applyProtection="1">
      <alignment horizontal="center"/>
      <protection locked="0"/>
    </xf>
    <xf numFmtId="0" fontId="15" fillId="0" borderId="53" xfId="4495" applyFont="1" applyBorder="1" applyAlignment="1">
      <alignment vertical="top"/>
    </xf>
    <xf numFmtId="0" fontId="15" fillId="0" borderId="54" xfId="4495" applyFont="1" applyBorder="1" applyAlignment="1">
      <alignment vertical="top" wrapText="1"/>
    </xf>
    <xf numFmtId="0" fontId="60" fillId="0" borderId="53" xfId="4495" applyFont="1" applyBorder="1"/>
    <xf numFmtId="0" fontId="23" fillId="0" borderId="54" xfId="4495" applyFont="1" applyBorder="1" applyAlignment="1">
      <alignment horizontal="left" vertical="top"/>
    </xf>
    <xf numFmtId="0" fontId="15" fillId="0" borderId="53" xfId="4495" applyFont="1" applyBorder="1" applyAlignment="1">
      <alignment vertical="center" wrapText="1"/>
    </xf>
    <xf numFmtId="0" fontId="60" fillId="0" borderId="57" xfId="4495" applyFont="1" applyBorder="1"/>
    <xf numFmtId="0" fontId="23" fillId="0" borderId="58" xfId="4495" applyFont="1" applyBorder="1" applyAlignment="1">
      <alignment horizontal="left" vertical="top"/>
    </xf>
    <xf numFmtId="0" fontId="23" fillId="0" borderId="12" xfId="4495" applyFont="1" applyBorder="1"/>
    <xf numFmtId="0" fontId="15" fillId="0" borderId="57" xfId="4495" applyFont="1" applyBorder="1" applyAlignment="1">
      <alignment vertical="center"/>
    </xf>
    <xf numFmtId="0" fontId="15" fillId="0" borderId="58" xfId="4495" applyFont="1" applyBorder="1" applyAlignment="1">
      <alignment vertical="top"/>
    </xf>
    <xf numFmtId="0" fontId="15" fillId="0" borderId="59" xfId="4495" applyFont="1" applyBorder="1" applyAlignment="1">
      <alignment vertical="top"/>
    </xf>
    <xf numFmtId="0" fontId="15" fillId="0" borderId="0" xfId="4495" applyFont="1" applyAlignment="1">
      <alignment vertical="top"/>
    </xf>
    <xf numFmtId="0" fontId="23" fillId="0" borderId="4" xfId="4495" applyFont="1" applyBorder="1" applyAlignment="1">
      <alignment horizontal="left" vertical="top"/>
    </xf>
    <xf numFmtId="0" fontId="15" fillId="0" borderId="4" xfId="4495" applyFont="1" applyBorder="1" applyAlignment="1">
      <alignment horizontal="left" vertical="top"/>
    </xf>
    <xf numFmtId="0" fontId="15" fillId="0" borderId="2" xfId="4495" applyFont="1" applyBorder="1"/>
    <xf numFmtId="0" fontId="23" fillId="0" borderId="2" xfId="4495" applyFont="1" applyBorder="1"/>
    <xf numFmtId="0" fontId="15" fillId="0" borderId="2" xfId="4495" applyFont="1" applyBorder="1" applyAlignment="1">
      <alignment horizontal="center"/>
    </xf>
    <xf numFmtId="0" fontId="23" fillId="0" borderId="7" xfId="4495" applyFont="1" applyBorder="1"/>
    <xf numFmtId="0" fontId="31" fillId="0" borderId="0" xfId="4495" applyFont="1" applyAlignment="1">
      <alignment horizontal="right"/>
    </xf>
    <xf numFmtId="0" fontId="125" fillId="0" borderId="0" xfId="4495" applyFont="1" applyAlignment="1">
      <alignment horizontal="left" vertical="top" wrapText="1"/>
    </xf>
    <xf numFmtId="0" fontId="31" fillId="0" borderId="0" xfId="4495" applyFont="1" applyAlignment="1">
      <alignment horizontal="left" vertical="top"/>
    </xf>
    <xf numFmtId="0" fontId="23" fillId="0" borderId="0" xfId="4495" quotePrefix="1" applyFont="1" applyAlignment="1">
      <alignment horizontal="right"/>
    </xf>
    <xf numFmtId="0" fontId="15" fillId="0" borderId="0" xfId="4497"/>
    <xf numFmtId="0" fontId="23" fillId="0" borderId="0" xfId="4495" applyFont="1" applyAlignment="1">
      <alignment horizontal="left" vertical="top" wrapText="1" shrinkToFit="1"/>
    </xf>
    <xf numFmtId="0" fontId="119" fillId="0" borderId="0" xfId="4495" applyAlignment="1">
      <alignment vertical="top" wrapText="1"/>
    </xf>
    <xf numFmtId="0" fontId="23" fillId="0" borderId="4" xfId="4495" applyFont="1" applyBorder="1" applyAlignment="1">
      <alignment horizontal="left" vertical="top" wrapText="1" shrinkToFit="1"/>
    </xf>
    <xf numFmtId="0" fontId="31" fillId="0" borderId="8" xfId="4495" applyFont="1" applyBorder="1"/>
    <xf numFmtId="0" fontId="23" fillId="0" borderId="0" xfId="4495" applyFont="1" applyAlignment="1">
      <alignment horizontal="center"/>
    </xf>
    <xf numFmtId="0" fontId="23" fillId="0" borderId="0" xfId="4495" quotePrefix="1" applyFont="1"/>
    <xf numFmtId="0" fontId="23" fillId="0" borderId="0" xfId="4495" applyFont="1" applyAlignment="1">
      <alignment horizontal="left" vertical="top" shrinkToFit="1"/>
    </xf>
    <xf numFmtId="0" fontId="45" fillId="0" borderId="0" xfId="4495" applyFont="1"/>
    <xf numFmtId="0" fontId="23" fillId="0" borderId="3" xfId="4495" applyFont="1" applyBorder="1" applyAlignment="1">
      <alignment horizontal="center"/>
    </xf>
    <xf numFmtId="0" fontId="119" fillId="0" borderId="8" xfId="4495" applyBorder="1"/>
    <xf numFmtId="0" fontId="22" fillId="0" borderId="8" xfId="4495" applyFont="1" applyBorder="1" applyAlignment="1">
      <alignment vertical="top"/>
    </xf>
    <xf numFmtId="0" fontId="119" fillId="0" borderId="0" xfId="4495" applyAlignment="1">
      <alignment vertical="top"/>
    </xf>
    <xf numFmtId="0" fontId="22"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5" fillId="0" borderId="0" xfId="4497" applyNumberFormat="1"/>
    <xf numFmtId="1" fontId="23"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3" fillId="0" borderId="6" xfId="4495" applyFont="1" applyBorder="1"/>
    <xf numFmtId="1" fontId="23" fillId="0" borderId="8" xfId="4495" applyNumberFormat="1" applyFont="1" applyBorder="1" applyAlignment="1">
      <alignment horizontal="center" vertical="top"/>
    </xf>
    <xf numFmtId="0" fontId="119" fillId="0" borderId="12" xfId="4495" applyBorder="1"/>
    <xf numFmtId="0" fontId="23" fillId="0" borderId="9" xfId="4495" applyFont="1" applyBorder="1"/>
    <xf numFmtId="0" fontId="119" fillId="0" borderId="10" xfId="4495" applyBorder="1"/>
    <xf numFmtId="0" fontId="31" fillId="0" borderId="3" xfId="4495" applyFont="1" applyBorder="1"/>
    <xf numFmtId="0" fontId="22" fillId="0" borderId="4" xfId="4495" applyFont="1" applyBorder="1"/>
    <xf numFmtId="0" fontId="119" fillId="0" borderId="12" xfId="4495" applyBorder="1" applyAlignment="1">
      <alignment vertical="top"/>
    </xf>
    <xf numFmtId="0" fontId="31"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1" fillId="0" borderId="9" xfId="4495" applyFont="1" applyBorder="1"/>
    <xf numFmtId="0" fontId="23" fillId="0" borderId="10" xfId="4495" applyFont="1" applyBorder="1"/>
    <xf numFmtId="0" fontId="129" fillId="0" borderId="0" xfId="4495" applyFont="1" applyAlignment="1">
      <alignment wrapText="1"/>
    </xf>
    <xf numFmtId="0" fontId="31" fillId="0" borderId="9" xfId="4495" applyFont="1" applyBorder="1" applyAlignment="1">
      <alignment horizontal="center"/>
    </xf>
    <xf numFmtId="0" fontId="22" fillId="0" borderId="10" xfId="4495" applyFont="1" applyBorder="1"/>
    <xf numFmtId="0" fontId="33" fillId="0" borderId="0" xfId="4495" applyFont="1"/>
    <xf numFmtId="0" fontId="23" fillId="0" borderId="50" xfId="4495" applyFont="1" applyBorder="1"/>
    <xf numFmtId="0" fontId="23" fillId="0" borderId="51" xfId="4495" applyFont="1" applyBorder="1"/>
    <xf numFmtId="1" fontId="23" fillId="0" borderId="51" xfId="4495" quotePrefix="1" applyNumberFormat="1" applyFont="1" applyBorder="1" applyAlignment="1">
      <alignment horizontal="center" vertical="top"/>
    </xf>
    <xf numFmtId="0" fontId="22" fillId="0" borderId="51" xfId="4495" applyFont="1" applyBorder="1"/>
    <xf numFmtId="0" fontId="22" fillId="0" borderId="52" xfId="4495" applyFont="1" applyBorder="1" applyAlignment="1">
      <alignment horizontal="center"/>
    </xf>
    <xf numFmtId="0" fontId="15" fillId="0" borderId="53" xfId="4495" applyFont="1" applyBorder="1"/>
    <xf numFmtId="1" fontId="23" fillId="0" borderId="0" xfId="4495" quotePrefix="1" applyNumberFormat="1" applyFont="1" applyAlignment="1">
      <alignment horizontal="center" vertical="top"/>
    </xf>
    <xf numFmtId="0" fontId="22" fillId="0" borderId="54" xfId="4495" applyFont="1" applyBorder="1" applyAlignment="1">
      <alignment horizontal="center"/>
    </xf>
    <xf numFmtId="0" fontId="31" fillId="0" borderId="0" xfId="4495" applyFont="1" applyAlignment="1">
      <alignment vertical="top"/>
    </xf>
    <xf numFmtId="0" fontId="23" fillId="0" borderId="61" xfId="4495" applyFont="1" applyBorder="1"/>
    <xf numFmtId="0" fontId="119" fillId="0" borderId="58" xfId="4495" applyBorder="1" applyAlignment="1">
      <alignment horizontal="center"/>
    </xf>
    <xf numFmtId="1" fontId="23" fillId="0" borderId="58" xfId="4495" quotePrefix="1" applyNumberFormat="1" applyFont="1" applyBorder="1" applyAlignment="1">
      <alignment horizontal="center" vertical="top"/>
    </xf>
    <xf numFmtId="0" fontId="31" fillId="0" borderId="58" xfId="4495" applyFont="1" applyBorder="1" applyAlignment="1">
      <alignment vertical="top"/>
    </xf>
    <xf numFmtId="0" fontId="23" fillId="0" borderId="58" xfId="4495" applyFont="1" applyBorder="1" applyAlignment="1">
      <alignment vertical="top" wrapText="1"/>
    </xf>
    <xf numFmtId="0" fontId="23" fillId="0" borderId="58" xfId="4495" applyFont="1" applyBorder="1"/>
    <xf numFmtId="0" fontId="22" fillId="0" borderId="58" xfId="4495" applyFont="1" applyBorder="1" applyAlignment="1">
      <alignment horizontal="center"/>
    </xf>
    <xf numFmtId="0" fontId="119" fillId="0" borderId="61" xfId="4495" applyBorder="1"/>
    <xf numFmtId="0" fontId="119" fillId="0" borderId="0" xfId="4495" applyAlignment="1">
      <alignment horizontal="center"/>
    </xf>
    <xf numFmtId="0" fontId="15" fillId="0" borderId="53" xfId="543" applyBorder="1"/>
    <xf numFmtId="0" fontId="23" fillId="0" borderId="54" xfId="4495" applyFont="1" applyBorder="1"/>
    <xf numFmtId="0" fontId="15" fillId="0" borderId="58" xfId="543" applyBorder="1"/>
    <xf numFmtId="1" fontId="23" fillId="0" borderId="58" xfId="4495" applyNumberFormat="1" applyFont="1" applyBorder="1" applyAlignment="1">
      <alignment horizontal="center" vertical="top"/>
    </xf>
    <xf numFmtId="0" fontId="31" fillId="0" borderId="58" xfId="4495" applyFont="1" applyBorder="1" applyAlignment="1">
      <alignment vertical="center"/>
    </xf>
    <xf numFmtId="0" fontId="119" fillId="0" borderId="58" xfId="4495" applyBorder="1" applyAlignment="1">
      <alignment vertical="top" wrapText="1"/>
    </xf>
    <xf numFmtId="0" fontId="15" fillId="0" borderId="58" xfId="4495" applyFont="1" applyBorder="1"/>
    <xf numFmtId="0" fontId="31" fillId="0" borderId="0" xfId="4495" applyFont="1" applyAlignment="1">
      <alignment vertical="center"/>
    </xf>
    <xf numFmtId="0" fontId="23" fillId="0" borderId="53" xfId="4495" applyFont="1" applyBorder="1"/>
    <xf numFmtId="0" fontId="15" fillId="0" borderId="57" xfId="543" applyBorder="1"/>
    <xf numFmtId="0" fontId="23" fillId="0" borderId="58" xfId="4495" applyFont="1" applyBorder="1" applyAlignment="1">
      <alignment vertical="top"/>
    </xf>
    <xf numFmtId="0" fontId="23" fillId="0" borderId="59" xfId="4495" applyFont="1" applyBorder="1"/>
    <xf numFmtId="0" fontId="23" fillId="0" borderId="57" xfId="4495" applyFont="1" applyBorder="1"/>
    <xf numFmtId="0" fontId="15" fillId="0" borderId="51" xfId="4495" applyFont="1" applyBorder="1"/>
    <xf numFmtId="0" fontId="23" fillId="0" borderId="52" xfId="4495" applyFont="1" applyBorder="1"/>
    <xf numFmtId="0" fontId="15" fillId="0" borderId="50" xfId="543" applyBorder="1"/>
    <xf numFmtId="0" fontId="15" fillId="0" borderId="51" xfId="543" applyBorder="1"/>
    <xf numFmtId="0" fontId="15" fillId="0" borderId="52" xfId="543" applyBorder="1"/>
    <xf numFmtId="0" fontId="23" fillId="0" borderId="0" xfId="4495" applyFont="1" applyAlignment="1">
      <alignment wrapText="1"/>
    </xf>
    <xf numFmtId="0" fontId="22" fillId="0" borderId="54" xfId="4495" applyFont="1" applyBorder="1" applyAlignment="1">
      <alignment horizontal="center" vertical="top"/>
    </xf>
    <xf numFmtId="0" fontId="119" fillId="0" borderId="53" xfId="4495" applyBorder="1" applyAlignment="1">
      <alignment horizontal="center"/>
    </xf>
    <xf numFmtId="2" fontId="23" fillId="0" borderId="0" xfId="4495" applyNumberFormat="1" applyFont="1" applyAlignment="1">
      <alignment horizontal="right"/>
    </xf>
    <xf numFmtId="2" fontId="23" fillId="0" borderId="8" xfId="4495" applyNumberFormat="1" applyFont="1" applyBorder="1" applyAlignment="1">
      <alignment horizontal="left"/>
    </xf>
    <xf numFmtId="0" fontId="23"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2" fillId="0" borderId="59" xfId="4495" applyFont="1" applyBorder="1" applyAlignment="1">
      <alignment horizontal="center"/>
    </xf>
    <xf numFmtId="9" fontId="23" fillId="0" borderId="0" xfId="4495" applyNumberFormat="1" applyFont="1" applyAlignment="1">
      <alignment horizontal="left"/>
    </xf>
    <xf numFmtId="0" fontId="15" fillId="0" borderId="17" xfId="543" applyBorder="1"/>
    <xf numFmtId="0" fontId="15" fillId="0" borderId="16" xfId="543" applyBorder="1"/>
    <xf numFmtId="0" fontId="15" fillId="0" borderId="51" xfId="4495" quotePrefix="1" applyFont="1" applyBorder="1" applyAlignment="1">
      <alignment horizontal="center" vertical="top"/>
    </xf>
    <xf numFmtId="0" fontId="23" fillId="0" borderId="53" xfId="4495" applyFont="1" applyBorder="1" applyAlignment="1">
      <alignment horizontal="left" vertical="top"/>
    </xf>
    <xf numFmtId="0" fontId="23" fillId="0" borderId="0" xfId="4495" applyFont="1" applyAlignment="1">
      <alignment horizontal="center" vertical="top"/>
    </xf>
    <xf numFmtId="0" fontId="23" fillId="0" borderId="57" xfId="4495" applyFont="1" applyBorder="1" applyAlignment="1">
      <alignment horizontal="left" vertical="top"/>
    </xf>
    <xf numFmtId="0" fontId="23" fillId="0" borderId="58" xfId="4495" applyFont="1" applyBorder="1" applyAlignment="1">
      <alignment horizontal="center" vertical="top"/>
    </xf>
    <xf numFmtId="0" fontId="119" fillId="0" borderId="58" xfId="4495" applyBorder="1"/>
    <xf numFmtId="0" fontId="22" fillId="0" borderId="58" xfId="4495" applyFont="1" applyBorder="1" applyAlignment="1">
      <alignment vertical="top"/>
    </xf>
    <xf numFmtId="0" fontId="22" fillId="0" borderId="58" xfId="4495" applyFont="1" applyBorder="1" applyAlignment="1">
      <alignment horizontal="left" vertical="top"/>
    </xf>
    <xf numFmtId="0" fontId="22" fillId="0" borderId="51" xfId="4495" applyFont="1" applyBorder="1" applyAlignment="1">
      <alignment horizontal="left" vertical="top"/>
    </xf>
    <xf numFmtId="0" fontId="22" fillId="0" borderId="53" xfId="4495" applyFont="1" applyBorder="1" applyAlignment="1">
      <alignment horizontal="left" vertical="top"/>
    </xf>
    <xf numFmtId="0" fontId="52" fillId="0" borderId="0" xfId="4495" applyFont="1" applyAlignment="1">
      <alignment horizontal="left" vertical="top"/>
    </xf>
    <xf numFmtId="0" fontId="23"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1" fillId="0" borderId="53" xfId="4495" applyFont="1" applyBorder="1"/>
    <xf numFmtId="2" fontId="23" fillId="0" borderId="8" xfId="4495" applyNumberFormat="1" applyFont="1" applyBorder="1" applyAlignment="1">
      <alignment horizontal="right"/>
    </xf>
    <xf numFmtId="0" fontId="22"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2" fillId="0" borderId="58" xfId="4495" applyNumberFormat="1" applyFont="1" applyBorder="1" applyAlignment="1">
      <alignment vertical="top"/>
    </xf>
    <xf numFmtId="172" fontId="22" fillId="0" borderId="8" xfId="543" applyNumberFormat="1" applyFont="1" applyBorder="1"/>
    <xf numFmtId="172" fontId="22" fillId="0" borderId="0" xfId="543" applyNumberFormat="1" applyFont="1"/>
    <xf numFmtId="0" fontId="31" fillId="0" borderId="0" xfId="4495" applyFont="1" applyAlignment="1">
      <alignment wrapText="1"/>
    </xf>
    <xf numFmtId="0" fontId="31" fillId="0" borderId="0" xfId="4495" applyFont="1" applyAlignment="1">
      <alignment horizontal="center"/>
    </xf>
    <xf numFmtId="0" fontId="31" fillId="0" borderId="0" xfId="4495" applyFont="1" applyAlignment="1">
      <alignment vertical="center" wrapText="1"/>
    </xf>
    <xf numFmtId="180" fontId="23" fillId="0" borderId="0" xfId="4495" applyNumberFormat="1" applyFont="1" applyAlignment="1">
      <alignment horizontal="center"/>
    </xf>
    <xf numFmtId="1" fontId="23" fillId="0" borderId="0" xfId="4495" applyNumberFormat="1" applyFont="1" applyAlignment="1">
      <alignment horizontal="center"/>
    </xf>
    <xf numFmtId="0" fontId="22" fillId="0" borderId="51" xfId="4495" applyFont="1" applyBorder="1" applyAlignment="1">
      <alignment horizontal="center"/>
    </xf>
    <xf numFmtId="0" fontId="22" fillId="0" borderId="51" xfId="4495" applyFont="1" applyBorder="1" applyAlignment="1">
      <alignment vertical="top"/>
    </xf>
    <xf numFmtId="0" fontId="22" fillId="0" borderId="53" xfId="4495" applyFont="1" applyBorder="1"/>
    <xf numFmtId="0" fontId="15" fillId="0" borderId="54" xfId="543" applyBorder="1"/>
    <xf numFmtId="49" fontId="23" fillId="0" borderId="0" xfId="4495" applyNumberFormat="1" applyFont="1" applyAlignment="1">
      <alignment horizontal="left" vertical="center" wrapText="1"/>
    </xf>
    <xf numFmtId="0" fontId="15" fillId="0" borderId="57" xfId="4495" applyFont="1" applyBorder="1"/>
    <xf numFmtId="1" fontId="15" fillId="0" borderId="0" xfId="4495" applyNumberFormat="1" applyFont="1" applyAlignment="1">
      <alignment vertical="center"/>
    </xf>
    <xf numFmtId="0" fontId="33" fillId="0" borderId="50" xfId="4495" applyFont="1" applyBorder="1"/>
    <xf numFmtId="0" fontId="23" fillId="0" borderId="51" xfId="4495" applyFont="1" applyBorder="1" applyAlignment="1">
      <alignment horizontal="center" vertical="top"/>
    </xf>
    <xf numFmtId="0" fontId="23" fillId="0" borderId="51" xfId="4495" applyFont="1" applyBorder="1" applyAlignment="1">
      <alignment vertical="top" wrapText="1"/>
    </xf>
    <xf numFmtId="0" fontId="23" fillId="0" borderId="51" xfId="4495" applyFont="1" applyBorder="1" applyAlignment="1">
      <alignment horizontal="left" vertical="top" wrapText="1"/>
    </xf>
    <xf numFmtId="0" fontId="15" fillId="0" borderId="0" xfId="4495" quotePrefix="1" applyFont="1" applyAlignment="1">
      <alignment horizontal="center" vertical="top"/>
    </xf>
    <xf numFmtId="1" fontId="23" fillId="0" borderId="0" xfId="4495" quotePrefix="1" applyNumberFormat="1" applyFont="1" applyAlignment="1">
      <alignment wrapText="1"/>
    </xf>
    <xf numFmtId="0" fontId="23" fillId="0" borderId="6" xfId="4495" applyFont="1" applyBorder="1" applyAlignment="1">
      <alignment horizontal="right"/>
    </xf>
    <xf numFmtId="0" fontId="121" fillId="0" borderId="0" xfId="4496" applyFont="1" applyAlignment="1">
      <alignment wrapText="1"/>
    </xf>
    <xf numFmtId="0" fontId="15" fillId="0" borderId="0" xfId="4496" applyFont="1" applyAlignment="1">
      <alignment wrapText="1"/>
    </xf>
    <xf numFmtId="0" fontId="31" fillId="0" borderId="51" xfId="4495" applyFont="1" applyBorder="1" applyAlignment="1">
      <alignment vertical="top"/>
    </xf>
    <xf numFmtId="0" fontId="15" fillId="0" borderId="51" xfId="4496" applyFont="1" applyBorder="1" applyAlignment="1">
      <alignment wrapText="1"/>
    </xf>
    <xf numFmtId="0" fontId="22" fillId="0" borderId="51" xfId="4495" applyFont="1" applyBorder="1" applyAlignment="1">
      <alignment horizontal="right"/>
    </xf>
    <xf numFmtId="0" fontId="15" fillId="0" borderId="52" xfId="4495" applyFont="1" applyBorder="1" applyAlignment="1">
      <alignment horizontal="center"/>
    </xf>
    <xf numFmtId="0" fontId="15" fillId="0" borderId="53" xfId="4495" applyFont="1" applyBorder="1" applyAlignment="1">
      <alignment horizontal="left" vertical="top"/>
    </xf>
    <xf numFmtId="0" fontId="15" fillId="0" borderId="54" xfId="4495" applyFont="1" applyBorder="1" applyAlignment="1">
      <alignment horizontal="left" vertical="top"/>
    </xf>
    <xf numFmtId="0" fontId="15" fillId="0" borderId="54" xfId="4495" applyFont="1" applyBorder="1" applyAlignment="1">
      <alignment horizontal="center"/>
    </xf>
    <xf numFmtId="0" fontId="15" fillId="0" borderId="59" xfId="4495" applyFont="1" applyBorder="1" applyAlignment="1">
      <alignment horizontal="center"/>
    </xf>
    <xf numFmtId="9" fontId="15" fillId="0" borderId="0" xfId="4496" applyNumberFormat="1" applyFont="1" applyAlignment="1">
      <alignment horizontal="center"/>
    </xf>
    <xf numFmtId="1" fontId="15" fillId="0" borderId="0" xfId="543" applyNumberFormat="1"/>
    <xf numFmtId="0" fontId="23" fillId="0" borderId="1" xfId="4495" applyFont="1" applyBorder="1"/>
    <xf numFmtId="0" fontId="22" fillId="0" borderId="0" xfId="4495" applyFont="1" applyAlignment="1">
      <alignment horizontal="center" wrapText="1"/>
    </xf>
    <xf numFmtId="0" fontId="22" fillId="0" borderId="9" xfId="4495" applyFont="1" applyBorder="1" applyAlignment="1">
      <alignment horizontal="left"/>
    </xf>
    <xf numFmtId="0" fontId="22" fillId="0" borderId="3" xfId="4495" applyFont="1" applyBorder="1" applyAlignment="1">
      <alignment horizontal="left"/>
    </xf>
    <xf numFmtId="0" fontId="22" fillId="0" borderId="4" xfId="4495" applyFont="1" applyBorder="1" applyAlignment="1">
      <alignment horizontal="left"/>
    </xf>
    <xf numFmtId="0" fontId="15" fillId="0" borderId="2" xfId="4495" applyFont="1" applyBorder="1" applyAlignment="1">
      <alignment horizontal="left"/>
    </xf>
    <xf numFmtId="0" fontId="22" fillId="0" borderId="2" xfId="4495" applyFont="1" applyBorder="1" applyAlignment="1">
      <alignment horizontal="left"/>
    </xf>
    <xf numFmtId="0" fontId="22" fillId="0" borderId="5" xfId="4495" applyFont="1" applyBorder="1" applyAlignment="1">
      <alignment horizontal="left"/>
    </xf>
    <xf numFmtId="180" fontId="63" fillId="0" borderId="0" xfId="4495" applyNumberFormat="1" applyFont="1" applyAlignment="1">
      <alignment horizontal="center" vertical="center"/>
    </xf>
    <xf numFmtId="0" fontId="15" fillId="0" borderId="12" xfId="4495" applyFont="1" applyBorder="1" applyAlignment="1">
      <alignment vertical="top"/>
    </xf>
    <xf numFmtId="0" fontId="45" fillId="0" borderId="0" xfId="4495" applyFont="1" applyAlignment="1">
      <alignment vertical="top" wrapText="1"/>
    </xf>
    <xf numFmtId="0" fontId="15" fillId="0" borderId="51" xfId="4495" applyFont="1" applyBorder="1" applyAlignment="1">
      <alignment horizontal="left" vertical="top" wrapText="1"/>
    </xf>
    <xf numFmtId="0" fontId="15" fillId="0" borderId="51" xfId="4495" applyFont="1" applyBorder="1" applyAlignment="1">
      <alignment horizontal="right"/>
    </xf>
    <xf numFmtId="0" fontId="15" fillId="0" borderId="52" xfId="4495" applyFont="1" applyBorder="1" applyAlignment="1">
      <alignment horizontal="right"/>
    </xf>
    <xf numFmtId="0" fontId="15" fillId="0" borderId="54" xfId="4495" applyFont="1" applyBorder="1" applyAlignment="1">
      <alignment horizontal="right"/>
    </xf>
    <xf numFmtId="0" fontId="15" fillId="0" borderId="58" xfId="4495" applyFont="1" applyBorder="1" applyAlignment="1">
      <alignment horizontal="left" vertical="top" wrapText="1"/>
    </xf>
    <xf numFmtId="0" fontId="15" fillId="0" borderId="58" xfId="4495" applyFont="1" applyBorder="1" applyAlignment="1">
      <alignment horizontal="right"/>
    </xf>
    <xf numFmtId="0" fontId="15" fillId="0" borderId="59" xfId="4495" applyFont="1" applyBorder="1" applyAlignment="1">
      <alignment horizontal="right"/>
    </xf>
    <xf numFmtId="0" fontId="45" fillId="0" borderId="0" xfId="4495" applyFont="1" applyAlignment="1">
      <alignment horizontal="left" vertical="top" wrapText="1"/>
    </xf>
    <xf numFmtId="0" fontId="15" fillId="0" borderId="0" xfId="1192" applyAlignment="1">
      <alignment horizontal="left" vertical="top"/>
    </xf>
    <xf numFmtId="0" fontId="33" fillId="0" borderId="0" xfId="1192" applyFont="1" applyAlignment="1">
      <alignment horizontal="left" vertical="top"/>
    </xf>
    <xf numFmtId="0" fontId="15" fillId="0" borderId="0" xfId="1192" applyAlignment="1">
      <alignment vertical="top"/>
    </xf>
    <xf numFmtId="168" fontId="15" fillId="0" borderId="0" xfId="1192" applyNumberFormat="1"/>
    <xf numFmtId="165" fontId="15" fillId="0" borderId="0" xfId="1192" applyNumberFormat="1"/>
    <xf numFmtId="165" fontId="15" fillId="0" borderId="0" xfId="1192" applyNumberFormat="1" applyAlignment="1">
      <alignment horizontal="right"/>
    </xf>
    <xf numFmtId="2" fontId="15" fillId="0" borderId="0" xfId="1192" applyNumberFormat="1"/>
    <xf numFmtId="6" fontId="15" fillId="0" borderId="0" xfId="1192" applyNumberFormat="1"/>
    <xf numFmtId="0" fontId="22" fillId="0" borderId="0" xfId="1192" applyFont="1"/>
    <xf numFmtId="0" fontId="45" fillId="0" borderId="0" xfId="1192" applyFont="1"/>
    <xf numFmtId="168" fontId="15" fillId="0" borderId="0" xfId="4495" applyNumberFormat="1" applyFont="1"/>
    <xf numFmtId="0" fontId="22"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5" fillId="0" borderId="0" xfId="1192" applyNumberFormat="1" applyAlignment="1">
      <alignment horizontal="center"/>
    </xf>
    <xf numFmtId="9" fontId="15" fillId="0" borderId="0" xfId="1192" applyNumberFormat="1"/>
    <xf numFmtId="0" fontId="15" fillId="0" borderId="0" xfId="1192" applyAlignment="1">
      <alignment horizontal="right"/>
    </xf>
    <xf numFmtId="0" fontId="15" fillId="0" borderId="53" xfId="4495" applyFont="1" applyBorder="1" applyAlignment="1">
      <alignment horizontal="left"/>
    </xf>
    <xf numFmtId="6" fontId="22" fillId="0" borderId="0" xfId="1192" applyNumberFormat="1" applyFont="1" applyAlignment="1">
      <alignment horizontal="right"/>
    </xf>
    <xf numFmtId="165" fontId="15" fillId="0" borderId="0" xfId="4495" applyNumberFormat="1" applyFont="1"/>
    <xf numFmtId="0" fontId="53" fillId="0" borderId="4" xfId="4495" applyFont="1" applyBorder="1"/>
    <xf numFmtId="0" fontId="35" fillId="0" borderId="0" xfId="543" applyFont="1" applyAlignment="1">
      <alignment vertical="center" wrapText="1"/>
    </xf>
    <xf numFmtId="1" fontId="22" fillId="0" borderId="13" xfId="271" applyNumberFormat="1" applyFont="1" applyBorder="1"/>
    <xf numFmtId="1" fontId="24" fillId="0" borderId="13" xfId="271" applyNumberFormat="1" applyBorder="1"/>
    <xf numFmtId="0" fontId="15" fillId="0" borderId="11" xfId="0" applyFont="1" applyBorder="1"/>
    <xf numFmtId="9" fontId="15"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3" fillId="0" borderId="0" xfId="4495" applyNumberFormat="1" applyFont="1"/>
    <xf numFmtId="0" fontId="22" fillId="0" borderId="8" xfId="0" applyFont="1" applyBorder="1" applyAlignment="1">
      <alignment horizontal="center" vertical="center" wrapText="1"/>
    </xf>
    <xf numFmtId="0" fontId="22"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4" fillId="0" borderId="3" xfId="0" applyFont="1" applyBorder="1" applyAlignment="1">
      <alignment horizontal="center"/>
    </xf>
    <xf numFmtId="0" fontId="24" fillId="0" borderId="4" xfId="0" applyFont="1" applyBorder="1" applyAlignment="1">
      <alignment horizontal="center"/>
    </xf>
    <xf numFmtId="0" fontId="24" fillId="0" borderId="5" xfId="0" applyFont="1" applyBorder="1" applyAlignment="1">
      <alignment horizontal="center"/>
    </xf>
    <xf numFmtId="0" fontId="22" fillId="0" borderId="7" xfId="0" applyFont="1" applyBorder="1" applyAlignment="1">
      <alignment horizontal="right"/>
    </xf>
    <xf numFmtId="0" fontId="0" fillId="0" borderId="0" xfId="0" applyAlignment="1" applyProtection="1">
      <alignment horizontal="left" vertical="top" wrapText="1"/>
      <protection locked="0"/>
    </xf>
    <xf numFmtId="2" fontId="15" fillId="0" borderId="0" xfId="0" applyNumberFormat="1" applyFont="1"/>
    <xf numFmtId="0" fontId="15" fillId="0" borderId="9" xfId="0" applyFont="1" applyBorder="1" applyAlignment="1">
      <alignment horizontal="left"/>
    </xf>
    <xf numFmtId="0" fontId="15" fillId="0" borderId="6" xfId="0" applyFont="1" applyBorder="1"/>
    <xf numFmtId="0" fontId="15" fillId="0" borderId="9" xfId="0" applyFont="1" applyBorder="1"/>
    <xf numFmtId="0" fontId="48" fillId="0" borderId="0" xfId="0" applyFont="1" applyAlignment="1">
      <alignment horizontal="center"/>
    </xf>
    <xf numFmtId="0" fontId="21" fillId="0" borderId="0" xfId="0" applyFont="1" applyAlignment="1">
      <alignment horizontal="center" vertical="center" wrapText="1"/>
    </xf>
    <xf numFmtId="0" fontId="30" fillId="0" borderId="0" xfId="0" applyFont="1" applyAlignment="1">
      <alignment horizontal="center"/>
    </xf>
    <xf numFmtId="0" fontId="23" fillId="0" borderId="0" xfId="0" applyFont="1" applyAlignment="1">
      <alignment horizontal="center"/>
    </xf>
    <xf numFmtId="0" fontId="22" fillId="0" borderId="3" xfId="0" applyFont="1" applyBorder="1"/>
    <xf numFmtId="0" fontId="22" fillId="0" borderId="4" xfId="271" applyFont="1" applyBorder="1"/>
    <xf numFmtId="0" fontId="22" fillId="0" borderId="3" xfId="271" applyFont="1" applyBorder="1"/>
    <xf numFmtId="0" fontId="22" fillId="0" borderId="5" xfId="271" applyFont="1" applyBorder="1"/>
    <xf numFmtId="0" fontId="15" fillId="0" borderId="58" xfId="4495" applyFont="1" applyBorder="1" applyAlignment="1">
      <alignment vertical="center" wrapText="1"/>
    </xf>
    <xf numFmtId="0" fontId="15" fillId="0" borderId="59" xfId="4495" applyFont="1" applyBorder="1" applyAlignment="1">
      <alignment vertical="center" wrapText="1"/>
    </xf>
    <xf numFmtId="0" fontId="15" fillId="0" borderId="0" xfId="4495" applyFont="1" applyAlignment="1">
      <alignment horizontal="left" vertical="center" wrapText="1"/>
    </xf>
    <xf numFmtId="0" fontId="22" fillId="0" borderId="5" xfId="0" applyFont="1" applyBorder="1"/>
    <xf numFmtId="168" fontId="20" fillId="43" borderId="0" xfId="0" applyNumberFormat="1" applyFont="1" applyFill="1"/>
    <xf numFmtId="9" fontId="23" fillId="0" borderId="0" xfId="543" applyNumberFormat="1" applyFont="1" applyAlignment="1">
      <alignment horizontal="center"/>
    </xf>
    <xf numFmtId="171" fontId="15" fillId="0" borderId="0" xfId="543" applyNumberFormat="1"/>
    <xf numFmtId="171" fontId="15" fillId="0" borderId="11" xfId="543" applyNumberFormat="1" applyBorder="1"/>
    <xf numFmtId="1" fontId="15" fillId="0" borderId="11" xfId="543" applyNumberFormat="1" applyBorder="1" applyAlignment="1">
      <alignment horizontal="center"/>
    </xf>
    <xf numFmtId="0" fontId="41" fillId="0" borderId="8" xfId="543" applyFont="1" applyBorder="1" applyAlignment="1">
      <alignment vertical="center" wrapText="1"/>
    </xf>
    <xf numFmtId="0" fontId="41" fillId="0" borderId="0" xfId="543" applyFont="1" applyAlignment="1">
      <alignment vertical="center" wrapText="1"/>
    </xf>
    <xf numFmtId="0" fontId="41" fillId="0" borderId="12" xfId="543" applyFont="1" applyBorder="1" applyAlignment="1">
      <alignment vertical="center" wrapText="1"/>
    </xf>
    <xf numFmtId="0" fontId="41" fillId="0" borderId="9" xfId="543" applyFont="1" applyBorder="1" applyAlignment="1">
      <alignment vertical="center" wrapText="1"/>
    </xf>
    <xf numFmtId="0" fontId="41" fillId="0" borderId="6" xfId="543" applyFont="1" applyBorder="1" applyAlignment="1">
      <alignment vertical="center" wrapText="1"/>
    </xf>
    <xf numFmtId="0" fontId="41" fillId="0" borderId="10" xfId="543" applyFont="1" applyBorder="1" applyAlignment="1">
      <alignment vertical="center" wrapText="1"/>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35" fillId="0" borderId="12" xfId="543" applyFont="1" applyBorder="1" applyAlignment="1">
      <alignment horizontal="center" vertical="top"/>
    </xf>
    <xf numFmtId="0" fontId="36" fillId="0" borderId="7" xfId="543" applyFont="1" applyBorder="1"/>
    <xf numFmtId="0" fontId="15" fillId="0" borderId="12" xfId="543" quotePrefix="1" applyBorder="1"/>
    <xf numFmtId="0" fontId="52" fillId="0" borderId="2" xfId="569" applyFont="1" applyBorder="1" applyAlignment="1">
      <alignment vertical="top"/>
    </xf>
    <xf numFmtId="0" fontId="25" fillId="0" borderId="0" xfId="4495" applyFont="1"/>
    <xf numFmtId="0" fontId="15" fillId="0" borderId="0" xfId="4495" applyFont="1" applyAlignment="1">
      <alignment vertical="top" wrapText="1" shrinkToFit="1"/>
    </xf>
    <xf numFmtId="0" fontId="155" fillId="0" borderId="0" xfId="4495" applyFont="1"/>
    <xf numFmtId="164" fontId="15" fillId="0" borderId="0" xfId="1192" applyNumberFormat="1" applyAlignment="1">
      <alignment horizontal="right"/>
    </xf>
    <xf numFmtId="164" fontId="15" fillId="0" borderId="0" xfId="4495" applyNumberFormat="1" applyFont="1" applyAlignment="1">
      <alignment horizontal="right"/>
    </xf>
    <xf numFmtId="0" fontId="15" fillId="0" borderId="0" xfId="4495" applyFont="1" applyAlignment="1">
      <alignment horizontal="left" vertical="top" wrapText="1" shrinkToFit="1"/>
    </xf>
    <xf numFmtId="0" fontId="15" fillId="0" borderId="6" xfId="4495" applyFont="1" applyBorder="1" applyAlignment="1">
      <alignment vertical="top" wrapText="1"/>
    </xf>
    <xf numFmtId="0" fontId="155" fillId="0" borderId="4" xfId="4495" applyFont="1" applyBorder="1"/>
    <xf numFmtId="0" fontId="15" fillId="0" borderId="4" xfId="4495" applyFont="1" applyBorder="1" applyAlignment="1">
      <alignment horizontal="left" vertical="top" wrapText="1" shrinkToFit="1"/>
    </xf>
    <xf numFmtId="0" fontId="25" fillId="0" borderId="0" xfId="4495" applyFont="1" applyAlignment="1">
      <alignment horizontal="left" vertical="top"/>
    </xf>
    <xf numFmtId="0" fontId="15" fillId="0" borderId="0" xfId="4495" applyFont="1" applyAlignment="1">
      <alignment vertical="center" wrapText="1" shrinkToFit="1"/>
    </xf>
    <xf numFmtId="0" fontId="15" fillId="0" borderId="0" xfId="4495" applyFont="1" applyAlignment="1">
      <alignment horizontal="left" vertical="top" shrinkToFit="1"/>
    </xf>
    <xf numFmtId="0" fontId="15" fillId="0" borderId="0" xfId="4495" applyFont="1" applyAlignment="1">
      <alignment horizontal="left" vertical="center" shrinkToFit="1"/>
    </xf>
    <xf numFmtId="0" fontId="25" fillId="0" borderId="4" xfId="4495" applyFont="1" applyBorder="1"/>
    <xf numFmtId="0" fontId="15" fillId="0" borderId="4" xfId="4495" applyFont="1" applyBorder="1" applyAlignment="1">
      <alignment horizontal="left" vertical="top" shrinkToFit="1"/>
    </xf>
    <xf numFmtId="0" fontId="15" fillId="0" borderId="0" xfId="4495" applyFont="1" applyAlignment="1">
      <alignment vertical="center"/>
    </xf>
    <xf numFmtId="0" fontId="21" fillId="0" borderId="0" xfId="4495" applyFont="1"/>
    <xf numFmtId="0" fontId="25" fillId="0" borderId="0" xfId="4495" applyFont="1" applyAlignment="1">
      <alignment horizontal="center"/>
    </xf>
    <xf numFmtId="0" fontId="15" fillId="0" borderId="4" xfId="4495" applyFont="1" applyBorder="1" applyAlignment="1">
      <alignment horizontal="left" vertical="top" wrapText="1"/>
    </xf>
    <xf numFmtId="44" fontId="15" fillId="0" borderId="0" xfId="707" applyFont="1" applyFill="1" applyBorder="1" applyAlignment="1" applyProtection="1">
      <alignment horizontal="left" vertical="top" wrapText="1"/>
    </xf>
    <xf numFmtId="44" fontId="15" fillId="0" borderId="4" xfId="707" applyFont="1" applyFill="1" applyBorder="1" applyAlignment="1" applyProtection="1">
      <alignment horizontal="left" vertical="top" wrapText="1"/>
    </xf>
    <xf numFmtId="164" fontId="33" fillId="0" borderId="0" xfId="4495" applyNumberFormat="1" applyFont="1" applyAlignment="1">
      <alignment horizontal="left"/>
    </xf>
    <xf numFmtId="0" fontId="25" fillId="0" borderId="0" xfId="4495" applyFont="1" applyAlignment="1">
      <alignment horizontal="left"/>
    </xf>
    <xf numFmtId="0" fontId="15" fillId="0" borderId="4" xfId="4495" applyFont="1" applyBorder="1" applyAlignment="1">
      <alignment vertical="top" wrapText="1"/>
    </xf>
    <xf numFmtId="0" fontId="25" fillId="0" borderId="4" xfId="4495" applyFont="1" applyBorder="1" applyAlignment="1">
      <alignment horizontal="left" vertical="top"/>
    </xf>
    <xf numFmtId="0" fontId="15" fillId="0" borderId="0" xfId="4495" applyFont="1" applyAlignment="1">
      <alignment horizontal="left" vertical="center" wrapText="1" shrinkToFit="1"/>
    </xf>
    <xf numFmtId="0" fontId="15" fillId="0" borderId="6" xfId="4495" applyFont="1" applyBorder="1" applyAlignment="1">
      <alignment horizontal="left" vertical="top" wrapText="1"/>
    </xf>
    <xf numFmtId="2" fontId="117" fillId="0" borderId="0" xfId="0" applyNumberFormat="1" applyFont="1" applyAlignment="1">
      <alignment horizontal="center"/>
    </xf>
    <xf numFmtId="9" fontId="15" fillId="0" borderId="0" xfId="4494" applyFont="1" applyAlignment="1">
      <alignment horizontal="center"/>
    </xf>
    <xf numFmtId="3" fontId="15" fillId="0" borderId="0" xfId="0" applyNumberFormat="1" applyFont="1"/>
    <xf numFmtId="10" fontId="15" fillId="0" borderId="0" xfId="0" applyNumberFormat="1" applyFont="1" applyAlignment="1">
      <alignment horizontal="center"/>
    </xf>
    <xf numFmtId="168" fontId="15" fillId="0" borderId="0" xfId="0" applyNumberFormat="1" applyFont="1"/>
    <xf numFmtId="172" fontId="15" fillId="0" borderId="11" xfId="0" applyNumberFormat="1" applyFont="1" applyBorder="1" applyAlignment="1">
      <alignment horizontal="center"/>
    </xf>
    <xf numFmtId="168" fontId="15" fillId="5" borderId="0" xfId="0" applyNumberFormat="1" applyFont="1" applyFill="1"/>
    <xf numFmtId="3" fontId="15" fillId="5" borderId="0" xfId="0" applyNumberFormat="1" applyFont="1" applyFill="1"/>
    <xf numFmtId="0" fontId="15" fillId="5" borderId="0" xfId="0" applyFont="1" applyFill="1"/>
    <xf numFmtId="3" fontId="15" fillId="5" borderId="6" xfId="0" applyNumberFormat="1" applyFont="1" applyFill="1" applyBorder="1"/>
    <xf numFmtId="3" fontId="15" fillId="0" borderId="6" xfId="0" applyNumberFormat="1" applyFont="1" applyBorder="1"/>
    <xf numFmtId="168" fontId="15" fillId="0" borderId="0" xfId="0" applyNumberFormat="1" applyFont="1" applyAlignment="1">
      <alignment horizontal="center"/>
    </xf>
    <xf numFmtId="3" fontId="15" fillId="0" borderId="0" xfId="0" applyNumberFormat="1" applyFont="1" applyAlignment="1">
      <alignment horizontal="center"/>
    </xf>
    <xf numFmtId="0" fontId="15" fillId="0" borderId="50" xfId="4495" applyFont="1" applyBorder="1" applyAlignment="1">
      <alignment vertical="center"/>
    </xf>
    <xf numFmtId="0" fontId="15" fillId="0" borderId="51" xfId="4495" applyFont="1" applyBorder="1" applyAlignment="1">
      <alignment vertical="center"/>
    </xf>
    <xf numFmtId="0" fontId="15" fillId="0" borderId="52" xfId="4495" applyFont="1" applyBorder="1" applyAlignment="1">
      <alignment vertical="center"/>
    </xf>
    <xf numFmtId="0" fontId="15" fillId="0" borderId="54" xfId="4495" applyFont="1" applyBorder="1" applyAlignment="1">
      <alignment vertical="center" wrapText="1"/>
    </xf>
    <xf numFmtId="0" fontId="15" fillId="0" borderId="53" xfId="4495" applyFont="1" applyBorder="1" applyAlignment="1">
      <alignment vertical="top" wrapText="1"/>
    </xf>
    <xf numFmtId="0" fontId="15" fillId="0" borderId="58" xfId="0" applyFont="1" applyBorder="1" applyAlignment="1">
      <alignment horizontal="left"/>
    </xf>
    <xf numFmtId="9" fontId="15" fillId="0" borderId="0" xfId="543" applyNumberFormat="1" applyAlignment="1">
      <alignment horizontal="center"/>
    </xf>
    <xf numFmtId="0" fontId="47" fillId="0" borderId="0" xfId="4496" applyFont="1"/>
    <xf numFmtId="168" fontId="52" fillId="5" borderId="11" xfId="0" applyNumberFormat="1" applyFont="1" applyFill="1" applyBorder="1" applyAlignment="1" applyProtection="1">
      <alignment vertical="top" wrapText="1"/>
      <protection locked="0"/>
    </xf>
    <xf numFmtId="0" fontId="15" fillId="0" borderId="0" xfId="0" applyFont="1" applyAlignment="1">
      <alignment horizontal="left" wrapText="1"/>
    </xf>
    <xf numFmtId="4" fontId="33" fillId="0" borderId="0" xfId="0" applyNumberFormat="1" applyFont="1" applyAlignment="1">
      <alignment horizontal="left"/>
    </xf>
    <xf numFmtId="4" fontId="15" fillId="0" borderId="0" xfId="0" applyNumberFormat="1" applyFont="1" applyAlignment="1">
      <alignment horizontal="left" vertical="top" wrapText="1"/>
    </xf>
    <xf numFmtId="0" fontId="22" fillId="0" borderId="4" xfId="0" applyFont="1" applyBorder="1" applyAlignment="1">
      <alignment horizontal="left"/>
    </xf>
    <xf numFmtId="4" fontId="15" fillId="0" borderId="0" xfId="0" applyNumberFormat="1" applyFont="1" applyAlignment="1">
      <alignment horizontal="left"/>
    </xf>
    <xf numFmtId="43" fontId="50" fillId="0" borderId="0" xfId="4504" applyFont="1" applyAlignment="1" applyProtection="1">
      <alignment horizontal="center"/>
    </xf>
    <xf numFmtId="43" fontId="15" fillId="0" borderId="0" xfId="4504" applyFont="1" applyAlignment="1" applyProtection="1">
      <alignment horizontal="center"/>
    </xf>
    <xf numFmtId="43" fontId="15" fillId="0" borderId="0" xfId="4504" applyFont="1" applyProtection="1"/>
    <xf numFmtId="49" fontId="15" fillId="0" borderId="0" xfId="0" applyNumberFormat="1" applyFont="1"/>
    <xf numFmtId="49" fontId="15" fillId="0" borderId="0" xfId="0" applyNumberFormat="1" applyFont="1" applyAlignment="1">
      <alignment horizontal="center"/>
    </xf>
    <xf numFmtId="4" fontId="15" fillId="0" borderId="0" xfId="0" applyNumberFormat="1" applyFont="1" applyAlignment="1">
      <alignment vertical="top" wrapText="1"/>
    </xf>
    <xf numFmtId="0" fontId="15" fillId="0" borderId="0" xfId="0" quotePrefix="1" applyFont="1"/>
    <xf numFmtId="0" fontId="45" fillId="0" borderId="0" xfId="0" applyFont="1" applyAlignment="1">
      <alignment horizontal="left"/>
    </xf>
    <xf numFmtId="0" fontId="15" fillId="0" borderId="4" xfId="0" applyFont="1" applyBorder="1" applyAlignment="1">
      <alignment horizontal="left"/>
    </xf>
    <xf numFmtId="0" fontId="15" fillId="0" borderId="0" xfId="0" quotePrefix="1" applyFont="1" applyAlignment="1">
      <alignment horizontal="left"/>
    </xf>
    <xf numFmtId="0" fontId="15" fillId="0" borderId="0" xfId="0" quotePrefix="1" applyFont="1" applyAlignment="1">
      <alignment horizontal="left" vertical="top"/>
    </xf>
    <xf numFmtId="0" fontId="45" fillId="0" borderId="0" xfId="1192" applyFont="1" applyAlignment="1">
      <alignment horizontal="left"/>
    </xf>
    <xf numFmtId="0" fontId="50" fillId="0" borderId="0" xfId="0" applyFont="1" applyAlignment="1">
      <alignment horizontal="center" vertical="center"/>
    </xf>
    <xf numFmtId="49" fontId="22" fillId="0" borderId="0" xfId="0" applyNumberFormat="1" applyFont="1" applyAlignment="1">
      <alignment horizontal="center" vertical="center"/>
    </xf>
    <xf numFmtId="49" fontId="15" fillId="0" borderId="0" xfId="0" applyNumberFormat="1" applyFont="1" applyAlignment="1">
      <alignment vertical="center"/>
    </xf>
    <xf numFmtId="4" fontId="15" fillId="0" borderId="0" xfId="0" applyNumberFormat="1" applyFont="1" applyAlignment="1">
      <alignment horizontal="center"/>
    </xf>
    <xf numFmtId="4" fontId="15" fillId="0" borderId="0" xfId="0" applyNumberFormat="1" applyFont="1"/>
    <xf numFmtId="10" fontId="15"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5" fillId="0" borderId="0" xfId="1192" quotePrefix="1" applyNumberFormat="1" applyAlignment="1">
      <alignment horizontal="center"/>
    </xf>
    <xf numFmtId="0" fontId="121" fillId="0" borderId="0" xfId="4495" applyFont="1"/>
    <xf numFmtId="10" fontId="121" fillId="0" borderId="0" xfId="4495" applyNumberFormat="1" applyFont="1"/>
    <xf numFmtId="172" fontId="15" fillId="0" borderId="0" xfId="4495" applyNumberFormat="1" applyFont="1"/>
    <xf numFmtId="0" fontId="38" fillId="0" borderId="0" xfId="0" applyFont="1" applyAlignment="1">
      <alignment horizontal="center"/>
    </xf>
    <xf numFmtId="0" fontId="34" fillId="0" borderId="0" xfId="0" applyFont="1" applyAlignment="1">
      <alignment horizontal="left"/>
    </xf>
    <xf numFmtId="0" fontId="0" fillId="0" borderId="10" xfId="0" applyBorder="1" applyAlignment="1">
      <alignment horizontal="left"/>
    </xf>
    <xf numFmtId="1" fontId="15" fillId="0" borderId="0" xfId="1192" applyNumberFormat="1" applyAlignment="1">
      <alignment horizontal="center"/>
    </xf>
    <xf numFmtId="0" fontId="119" fillId="0" borderId="63" xfId="4495" applyBorder="1"/>
    <xf numFmtId="0" fontId="52" fillId="0" borderId="0" xfId="271" applyFont="1" applyAlignment="1">
      <alignment vertical="top"/>
    </xf>
    <xf numFmtId="0" fontId="22" fillId="0" borderId="11" xfId="0" applyFont="1" applyBorder="1" applyAlignment="1">
      <alignment horizontal="right" vertical="top" wrapText="1"/>
    </xf>
    <xf numFmtId="0" fontId="24" fillId="0" borderId="11" xfId="271" applyBorder="1" applyAlignment="1" applyProtection="1">
      <alignment horizontal="right" vertical="top" wrapText="1"/>
      <protection locked="0"/>
    </xf>
    <xf numFmtId="0" fontId="15" fillId="0" borderId="54" xfId="4495" applyFont="1" applyBorder="1" applyAlignment="1">
      <alignment vertical="top"/>
    </xf>
    <xf numFmtId="9" fontId="24" fillId="0" borderId="0" xfId="0" applyNumberFormat="1" applyFont="1"/>
    <xf numFmtId="0" fontId="15" fillId="0" borderId="16" xfId="569" applyBorder="1" applyAlignment="1">
      <alignment horizontal="center"/>
    </xf>
    <xf numFmtId="164" fontId="15" fillId="0" borderId="57" xfId="4495" applyNumberFormat="1" applyFont="1" applyBorder="1" applyAlignment="1">
      <alignment vertical="top" wrapText="1"/>
    </xf>
    <xf numFmtId="164" fontId="15" fillId="0" borderId="58" xfId="4495" applyNumberFormat="1" applyFont="1" applyBorder="1" applyAlignment="1">
      <alignment vertical="top" wrapText="1"/>
    </xf>
    <xf numFmtId="164" fontId="15" fillId="0" borderId="59" xfId="4495" applyNumberFormat="1" applyFont="1" applyBorder="1" applyAlignment="1">
      <alignment vertical="top" wrapText="1"/>
    </xf>
    <xf numFmtId="0" fontId="22" fillId="0" borderId="0" xfId="1192" applyFont="1" applyAlignment="1">
      <alignment horizontal="left" vertical="top" wrapText="1"/>
    </xf>
    <xf numFmtId="0" fontId="15" fillId="0" borderId="16" xfId="569" applyBorder="1"/>
    <xf numFmtId="0" fontId="15" fillId="0" borderId="4" xfId="569" applyBorder="1"/>
    <xf numFmtId="0" fontId="22" fillId="0" borderId="4" xfId="569" applyFont="1" applyBorder="1"/>
    <xf numFmtId="49" fontId="15" fillId="0" borderId="4" xfId="569" applyNumberFormat="1" applyBorder="1"/>
    <xf numFmtId="0" fontId="161" fillId="0" borderId="0" xfId="0" applyFont="1"/>
    <xf numFmtId="0" fontId="15" fillId="0" borderId="0" xfId="0" applyFont="1" applyAlignment="1">
      <alignment horizontal="right"/>
    </xf>
    <xf numFmtId="1" fontId="15" fillId="0" borderId="0" xfId="0" applyNumberFormat="1" applyFont="1" applyAlignment="1">
      <alignment horizontal="center"/>
    </xf>
    <xf numFmtId="0" fontId="22" fillId="0" borderId="0" xfId="0" applyFont="1" applyAlignment="1">
      <alignment horizontal="left" vertical="center"/>
    </xf>
    <xf numFmtId="0" fontId="15" fillId="0" borderId="0" xfId="0" applyFont="1" applyAlignment="1">
      <alignment horizontal="left" vertical="center"/>
    </xf>
    <xf numFmtId="0" fontId="22" fillId="0" borderId="0" xfId="569" applyFont="1" applyAlignment="1">
      <alignment vertical="top"/>
    </xf>
    <xf numFmtId="0" fontId="16" fillId="0" borderId="0" xfId="244" applyAlignment="1"/>
    <xf numFmtId="0" fontId="22" fillId="0" borderId="0" xfId="0" applyFont="1" applyAlignment="1">
      <alignment vertical="top" wrapText="1"/>
    </xf>
    <xf numFmtId="49" fontId="22" fillId="0" borderId="0" xfId="0" applyNumberFormat="1" applyFont="1"/>
    <xf numFmtId="49" fontId="22" fillId="0" borderId="0" xfId="0" applyNumberFormat="1" applyFont="1" applyAlignment="1">
      <alignment vertical="top"/>
    </xf>
    <xf numFmtId="0" fontId="38" fillId="0" borderId="11" xfId="0" applyFont="1" applyBorder="1"/>
    <xf numFmtId="175" fontId="15"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2"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82" fontId="97" fillId="0" borderId="11" xfId="4496" applyNumberFormat="1" applyFont="1" applyBorder="1" applyAlignment="1">
      <alignment horizontal="left"/>
    </xf>
    <xf numFmtId="1" fontId="97" fillId="0" borderId="0" xfId="4496" applyNumberFormat="1" applyFont="1"/>
    <xf numFmtId="2" fontId="97" fillId="0" borderId="0" xfId="4496" applyNumberFormat="1" applyFont="1" applyAlignment="1">
      <alignment horizontal="center"/>
    </xf>
    <xf numFmtId="2"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2"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9" fontId="97" fillId="0" borderId="0" xfId="4494" applyFont="1" applyFill="1" applyBorder="1" applyProtection="1"/>
    <xf numFmtId="3" fontId="20" fillId="0" borderId="11" xfId="271" applyNumberFormat="1" applyFont="1" applyBorder="1" applyAlignment="1">
      <alignment horizontal="center"/>
    </xf>
    <xf numFmtId="3" fontId="20" fillId="43" borderId="11" xfId="271" applyNumberFormat="1" applyFont="1" applyFill="1" applyBorder="1" applyAlignment="1" applyProtection="1">
      <alignment horizontal="center"/>
      <protection locked="0"/>
    </xf>
    <xf numFmtId="3" fontId="20" fillId="43" borderId="11" xfId="271" applyNumberFormat="1" applyFont="1" applyFill="1" applyBorder="1" applyProtection="1">
      <protection locked="0"/>
    </xf>
    <xf numFmtId="0" fontId="97" fillId="0" borderId="0" xfId="4496" applyFont="1" applyAlignment="1">
      <alignment horizontal="right"/>
    </xf>
    <xf numFmtId="168" fontId="24"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71" xfId="4496" applyFont="1" applyBorder="1" applyAlignment="1">
      <alignment horizontal="center" vertical="top" wrapText="1"/>
    </xf>
    <xf numFmtId="0" fontId="136" fillId="0" borderId="71" xfId="4496" applyFont="1" applyBorder="1" applyAlignment="1">
      <alignment horizontal="center"/>
    </xf>
    <xf numFmtId="0" fontId="166"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86"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97" fillId="0" borderId="15" xfId="4496" applyNumberFormat="1" applyFont="1" applyBorder="1"/>
    <xf numFmtId="182" fontId="136" fillId="0" borderId="71" xfId="8722" applyNumberFormat="1" applyFont="1" applyBorder="1" applyProtection="1"/>
    <xf numFmtId="9" fontId="97" fillId="0" borderId="15" xfId="4494" applyFont="1" applyFill="1" applyBorder="1" applyAlignment="1" applyProtection="1">
      <alignment horizontal="right"/>
    </xf>
    <xf numFmtId="182" fontId="136" fillId="0" borderId="71" xfId="4496" applyNumberFormat="1" applyFont="1" applyBorder="1"/>
    <xf numFmtId="0" fontId="166" fillId="0" borderId="0" xfId="4496" applyFont="1" applyAlignment="1">
      <alignment horizontal="right"/>
    </xf>
    <xf numFmtId="0" fontId="97" fillId="0" borderId="0" xfId="4496" applyFont="1" applyAlignment="1">
      <alignment horizontal="right" vertical="top" wrapText="1" indent="1"/>
    </xf>
    <xf numFmtId="182" fontId="97" fillId="0" borderId="6" xfId="8722"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2"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2"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70" xfId="4496" applyFont="1" applyBorder="1" applyAlignment="1">
      <alignment horizontal="right" indent="1"/>
    </xf>
    <xf numFmtId="0" fontId="97" fillId="0" borderId="80" xfId="4496" applyFont="1" applyBorder="1" applyAlignment="1">
      <alignment horizontal="right" indent="1"/>
    </xf>
    <xf numFmtId="0" fontId="97" fillId="0" borderId="80" xfId="4496" quotePrefix="1" applyFont="1" applyBorder="1" applyAlignment="1">
      <alignment horizontal="right" indent="1"/>
    </xf>
    <xf numFmtId="0" fontId="97" fillId="0" borderId="72" xfId="4496" applyFont="1" applyBorder="1" applyAlignment="1">
      <alignment horizontal="right" indent="1"/>
    </xf>
    <xf numFmtId="182" fontId="97" fillId="0" borderId="74" xfId="4496" applyNumberFormat="1" applyFont="1" applyBorder="1"/>
    <xf numFmtId="182" fontId="97" fillId="0" borderId="91" xfId="4496" applyNumberFormat="1" applyFont="1" applyBorder="1"/>
    <xf numFmtId="182" fontId="97" fillId="0" borderId="93" xfId="4496" applyNumberFormat="1" applyFont="1" applyBorder="1"/>
    <xf numFmtId="175" fontId="22" fillId="0" borderId="0" xfId="543" applyNumberFormat="1" applyFont="1" applyAlignment="1">
      <alignment vertical="center"/>
    </xf>
    <xf numFmtId="10" fontId="136" fillId="0" borderId="0" xfId="4494" applyNumberFormat="1" applyFont="1" applyProtection="1"/>
    <xf numFmtId="0" fontId="22"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71"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3" xfId="4496" applyNumberFormat="1" applyFont="1" applyBorder="1"/>
    <xf numFmtId="0" fontId="136" fillId="0" borderId="4" xfId="4496" applyFont="1" applyBorder="1" applyAlignment="1">
      <alignment horizontal="left" indent="1"/>
    </xf>
    <xf numFmtId="0" fontId="97" fillId="0" borderId="4" xfId="4496" applyFont="1" applyBorder="1"/>
    <xf numFmtId="0" fontId="33" fillId="0" borderId="0" xfId="4495" applyFont="1" applyAlignment="1">
      <alignment vertical="center"/>
    </xf>
    <xf numFmtId="0" fontId="121" fillId="0" borderId="0" xfId="4496" applyFont="1" applyAlignment="1">
      <alignment vertical="center" wrapText="1"/>
    </xf>
    <xf numFmtId="0" fontId="20" fillId="43" borderId="0" xfId="1192" applyFont="1" applyFill="1"/>
    <xf numFmtId="3" fontId="67" fillId="43" borderId="6" xfId="1192" applyNumberFormat="1" applyFont="1" applyFill="1" applyBorder="1"/>
    <xf numFmtId="0" fontId="168" fillId="0" borderId="0" xfId="0" applyFont="1"/>
    <xf numFmtId="0" fontId="20" fillId="0" borderId="11" xfId="253" applyFont="1" applyBorder="1" applyAlignment="1" applyProtection="1">
      <alignment horizontal="center" wrapText="1"/>
      <protection locked="0"/>
    </xf>
    <xf numFmtId="0" fontId="169" fillId="0" borderId="0" xfId="0" applyFont="1"/>
    <xf numFmtId="0" fontId="170"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5" fillId="43" borderId="3" xfId="569" applyFill="1" applyBorder="1"/>
    <xf numFmtId="0" fontId="175" fillId="0" borderId="0" xfId="0" applyFont="1" applyAlignment="1">
      <alignment horizontal="right"/>
    </xf>
    <xf numFmtId="1" fontId="23"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3" fillId="0" borderId="0" xfId="8726"/>
    <xf numFmtId="0" fontId="102" fillId="0" borderId="0" xfId="8726" applyFont="1"/>
    <xf numFmtId="0" fontId="154" fillId="0" borderId="0" xfId="8726" applyFont="1"/>
    <xf numFmtId="0" fontId="3" fillId="48" borderId="44" xfId="8726" applyFill="1" applyBorder="1"/>
    <xf numFmtId="0" fontId="3" fillId="48" borderId="42" xfId="8726" applyFill="1" applyBorder="1"/>
    <xf numFmtId="0" fontId="3" fillId="48" borderId="41" xfId="8726" applyFill="1" applyBorder="1"/>
    <xf numFmtId="0" fontId="3" fillId="44" borderId="44" xfId="8726" applyFill="1" applyBorder="1"/>
    <xf numFmtId="0" fontId="3" fillId="44" borderId="42" xfId="8726" applyFill="1" applyBorder="1"/>
    <xf numFmtId="0" fontId="3" fillId="44" borderId="86" xfId="8726" applyFill="1" applyBorder="1"/>
    <xf numFmtId="0" fontId="3" fillId="48" borderId="0" xfId="8726" applyFill="1"/>
    <xf numFmtId="0" fontId="3" fillId="44" borderId="41" xfId="8726" applyFill="1" applyBorder="1"/>
    <xf numFmtId="0" fontId="3" fillId="44" borderId="0" xfId="8726" applyFill="1"/>
    <xf numFmtId="0" fontId="3" fillId="44" borderId="66" xfId="8726" applyFill="1" applyBorder="1"/>
    <xf numFmtId="0" fontId="3" fillId="44" borderId="0" xfId="8726" applyFill="1" applyAlignment="1">
      <alignment horizontal="left"/>
    </xf>
    <xf numFmtId="0" fontId="3" fillId="48" borderId="86" xfId="8726" applyFill="1" applyBorder="1"/>
    <xf numFmtId="0" fontId="3" fillId="48" borderId="66" xfId="8726" applyFill="1" applyBorder="1"/>
    <xf numFmtId="49" fontId="101" fillId="48" borderId="66" xfId="8726" applyNumberFormat="1" applyFont="1" applyFill="1" applyBorder="1" applyAlignment="1">
      <alignment horizontal="right" vertical="top"/>
    </xf>
    <xf numFmtId="0" fontId="101" fillId="48" borderId="0" xfId="8726" applyFont="1" applyFill="1"/>
    <xf numFmtId="0" fontId="101" fillId="48" borderId="66" xfId="8726" applyFont="1" applyFill="1" applyBorder="1"/>
    <xf numFmtId="0" fontId="101" fillId="48" borderId="41" xfId="8726" applyFont="1" applyFill="1" applyBorder="1" applyAlignment="1">
      <alignment horizontal="center"/>
    </xf>
    <xf numFmtId="0" fontId="102" fillId="48" borderId="0" xfId="8726" applyFont="1" applyFill="1"/>
    <xf numFmtId="0" fontId="3" fillId="48" borderId="69" xfId="8726" applyFill="1" applyBorder="1"/>
    <xf numFmtId="168" fontId="158" fillId="48" borderId="68" xfId="700" applyNumberFormat="1" applyFont="1" applyFill="1" applyBorder="1" applyAlignment="1" applyProtection="1">
      <protection locked="0"/>
    </xf>
    <xf numFmtId="0" fontId="163" fillId="48" borderId="0" xfId="8726" applyFont="1" applyFill="1"/>
    <xf numFmtId="0" fontId="148" fillId="47" borderId="91" xfId="8726" applyFont="1" applyFill="1" applyBorder="1" applyAlignment="1">
      <alignment horizontal="center"/>
    </xf>
    <xf numFmtId="0" fontId="148" fillId="47" borderId="11" xfId="8726" applyFont="1" applyFill="1" applyBorder="1" applyAlignment="1">
      <alignment horizontal="center"/>
    </xf>
    <xf numFmtId="0" fontId="162" fillId="47" borderId="91" xfId="8726" applyFont="1" applyFill="1" applyBorder="1"/>
    <xf numFmtId="0" fontId="162" fillId="47" borderId="11" xfId="8726" applyFont="1" applyFill="1" applyBorder="1"/>
    <xf numFmtId="0" fontId="3" fillId="45" borderId="69" xfId="8726" applyFill="1" applyBorder="1"/>
    <xf numFmtId="0" fontId="3" fillId="45" borderId="68" xfId="8726" applyFill="1" applyBorder="1"/>
    <xf numFmtId="0" fontId="101" fillId="45" borderId="68" xfId="8726" applyFont="1" applyFill="1" applyBorder="1"/>
    <xf numFmtId="0" fontId="101" fillId="45" borderId="67" xfId="8726" applyFont="1" applyFill="1" applyBorder="1"/>
    <xf numFmtId="0" fontId="101" fillId="45" borderId="69" xfId="8726" applyFont="1" applyFill="1" applyBorder="1"/>
    <xf numFmtId="0" fontId="3" fillId="48" borderId="0" xfId="8726" applyFill="1" applyAlignment="1">
      <alignment horizontal="left"/>
    </xf>
    <xf numFmtId="0" fontId="152" fillId="48" borderId="0" xfId="8726" applyFont="1" applyFill="1"/>
    <xf numFmtId="0" fontId="101" fillId="45" borderId="89" xfId="8726" applyFont="1" applyFill="1" applyBorder="1"/>
    <xf numFmtId="0" fontId="101" fillId="45" borderId="76" xfId="8726" applyFont="1" applyFill="1" applyBorder="1"/>
    <xf numFmtId="0" fontId="101" fillId="45" borderId="75" xfId="8726" applyFont="1" applyFill="1" applyBorder="1"/>
    <xf numFmtId="0" fontId="101" fillId="45" borderId="31" xfId="8726" applyFont="1" applyFill="1" applyBorder="1"/>
    <xf numFmtId="0" fontId="101" fillId="45" borderId="29" xfId="8726" applyFont="1" applyFill="1" applyBorder="1"/>
    <xf numFmtId="0" fontId="101" fillId="45" borderId="65" xfId="8726" applyFont="1" applyFill="1" applyBorder="1"/>
    <xf numFmtId="0" fontId="3" fillId="45" borderId="83" xfId="8726" applyFill="1" applyBorder="1"/>
    <xf numFmtId="0" fontId="3" fillId="45" borderId="82" xfId="8726" applyFill="1" applyBorder="1"/>
    <xf numFmtId="0" fontId="3" fillId="45" borderId="81" xfId="8726" applyFill="1" applyBorder="1"/>
    <xf numFmtId="0" fontId="101" fillId="45" borderId="81" xfId="8726" applyFont="1" applyFill="1" applyBorder="1"/>
    <xf numFmtId="0" fontId="3" fillId="45" borderId="31" xfId="8726" applyFill="1" applyBorder="1"/>
    <xf numFmtId="0" fontId="3" fillId="45" borderId="29" xfId="8726" applyFill="1" applyBorder="1"/>
    <xf numFmtId="0" fontId="3" fillId="45" borderId="67" xfId="8726" applyFill="1" applyBorder="1"/>
    <xf numFmtId="0" fontId="85" fillId="0" borderId="0" xfId="8726" applyFont="1"/>
    <xf numFmtId="0" fontId="3" fillId="45" borderId="99" xfId="8726" applyFill="1" applyBorder="1"/>
    <xf numFmtId="0" fontId="3" fillId="45" borderId="65" xfId="8726" applyFill="1" applyBorder="1"/>
    <xf numFmtId="0" fontId="101" fillId="45" borderId="28" xfId="8726" applyFont="1" applyFill="1" applyBorder="1"/>
    <xf numFmtId="0" fontId="3" fillId="52" borderId="101" xfId="8726" applyFill="1" applyBorder="1"/>
    <xf numFmtId="0" fontId="3" fillId="51" borderId="101" xfId="8726" applyFill="1" applyBorder="1"/>
    <xf numFmtId="0" fontId="101" fillId="50" borderId="100" xfId="8726" applyFont="1" applyFill="1" applyBorder="1"/>
    <xf numFmtId="0" fontId="101" fillId="0" borderId="0" xfId="8726" applyFont="1"/>
    <xf numFmtId="0" fontId="101" fillId="48" borderId="41" xfId="8726" applyFont="1" applyFill="1" applyBorder="1"/>
    <xf numFmtId="0" fontId="150" fillId="48" borderId="0" xfId="8726" applyFont="1" applyFill="1"/>
    <xf numFmtId="182" fontId="164" fillId="48" borderId="0" xfId="8727" applyNumberFormat="1" applyFont="1" applyFill="1" applyBorder="1" applyAlignment="1"/>
    <xf numFmtId="0" fontId="22" fillId="0" borderId="4" xfId="569" applyFont="1" applyBorder="1" applyAlignment="1">
      <alignment horizontal="center"/>
    </xf>
    <xf numFmtId="43" fontId="22" fillId="0" borderId="0" xfId="4504" applyFont="1" applyAlignment="1" applyProtection="1">
      <alignment horizontal="center"/>
    </xf>
    <xf numFmtId="0" fontId="22" fillId="0" borderId="0" xfId="569" applyFont="1" applyAlignment="1">
      <alignment horizontal="center" vertical="center"/>
    </xf>
    <xf numFmtId="0" fontId="22" fillId="0" borderId="16" xfId="569" applyFont="1" applyBorder="1" applyAlignment="1">
      <alignment horizontal="center"/>
    </xf>
    <xf numFmtId="49" fontId="22" fillId="0" borderId="4" xfId="569" applyNumberFormat="1" applyFont="1" applyBorder="1" applyAlignment="1">
      <alignment horizontal="center"/>
    </xf>
    <xf numFmtId="4" fontId="22" fillId="0" borderId="0" xfId="569" applyNumberFormat="1" applyFont="1" applyAlignment="1">
      <alignment horizontal="center"/>
    </xf>
    <xf numFmtId="0" fontId="15" fillId="0" borderId="0" xfId="569" applyAlignment="1">
      <alignment horizontal="center" wrapText="1"/>
    </xf>
    <xf numFmtId="0" fontId="21" fillId="3" borderId="0" xfId="0" applyFont="1" applyFill="1" applyAlignment="1">
      <alignment horizontal="center" vertical="center" wrapText="1"/>
    </xf>
    <xf numFmtId="0" fontId="21" fillId="3" borderId="16" xfId="0" applyFont="1" applyFill="1" applyBorder="1" applyAlignment="1">
      <alignment horizontal="center" vertical="center" wrapText="1"/>
    </xf>
    <xf numFmtId="0" fontId="15" fillId="0" borderId="0" xfId="0" applyFont="1" applyAlignment="1">
      <alignment horizontal="left" vertical="top" wrapText="1"/>
    </xf>
    <xf numFmtId="0" fontId="104" fillId="0" borderId="0" xfId="0" applyFont="1" applyAlignment="1">
      <alignment horizontal="left" vertical="top" wrapText="1"/>
    </xf>
    <xf numFmtId="0" fontId="44" fillId="0" borderId="0" xfId="0" applyFont="1" applyAlignment="1">
      <alignment horizontal="left" vertical="top" wrapText="1"/>
    </xf>
    <xf numFmtId="0" fontId="112" fillId="0" borderId="0" xfId="0" applyFont="1" applyAlignment="1">
      <alignment horizontal="left" wrapText="1"/>
    </xf>
    <xf numFmtId="0" fontId="15" fillId="0" borderId="0" xfId="0" applyFont="1" applyAlignment="1">
      <alignment horizontal="left" wrapText="1"/>
    </xf>
    <xf numFmtId="0" fontId="24" fillId="0" borderId="0" xfId="0" applyFont="1" applyAlignment="1">
      <alignment horizontal="left" wrapText="1"/>
    </xf>
    <xf numFmtId="0" fontId="16" fillId="0" borderId="0" xfId="244" applyAlignment="1" applyProtection="1">
      <alignment horizontal="left"/>
    </xf>
    <xf numFmtId="0" fontId="16" fillId="0" borderId="0" xfId="244"/>
    <xf numFmtId="0" fontId="0" fillId="0" borderId="0" xfId="0"/>
    <xf numFmtId="0" fontId="15" fillId="0" borderId="0" xfId="1192" applyAlignment="1">
      <alignment horizontal="left" vertical="top" wrapText="1"/>
    </xf>
    <xf numFmtId="0" fontId="22" fillId="0" borderId="0" xfId="0" applyFont="1" applyAlignment="1">
      <alignment horizontal="left" vertical="top" wrapText="1"/>
    </xf>
    <xf numFmtId="0" fontId="15" fillId="0" borderId="0" xfId="0" applyFont="1" applyAlignment="1">
      <alignment horizontal="left"/>
    </xf>
    <xf numFmtId="0" fontId="33" fillId="0" borderId="0" xfId="1192" applyFont="1" applyAlignment="1">
      <alignment horizontal="left"/>
    </xf>
    <xf numFmtId="0" fontId="15" fillId="0" borderId="0" xfId="1192" applyAlignment="1">
      <alignment horizontal="left"/>
    </xf>
    <xf numFmtId="4" fontId="15" fillId="0" borderId="0" xfId="1192" applyNumberFormat="1" applyAlignment="1">
      <alignment horizontal="left" vertical="top" wrapText="1"/>
    </xf>
    <xf numFmtId="0" fontId="22" fillId="0" borderId="4" xfId="569" applyFont="1" applyBorder="1" applyAlignment="1">
      <alignment horizontal="left"/>
    </xf>
    <xf numFmtId="0" fontId="33" fillId="0" borderId="0" xfId="0" applyFont="1" applyAlignment="1">
      <alignment horizontal="left"/>
    </xf>
    <xf numFmtId="0" fontId="22" fillId="0" borderId="0" xfId="271" applyFont="1" applyAlignment="1">
      <alignment horizontal="left" vertical="top" wrapText="1"/>
    </xf>
    <xf numFmtId="0" fontId="0" fillId="0" borderId="0" xfId="0" applyAlignment="1">
      <alignment horizontal="left" vertical="top" wrapText="1"/>
    </xf>
    <xf numFmtId="0" fontId="24" fillId="0" borderId="0" xfId="0" applyFont="1" applyAlignment="1">
      <alignment horizontal="left"/>
    </xf>
    <xf numFmtId="0" fontId="15" fillId="0" borderId="0" xfId="271" applyFont="1" applyAlignment="1" applyProtection="1">
      <alignment horizontal="left" vertical="top" wrapText="1"/>
      <protection locked="0"/>
    </xf>
    <xf numFmtId="0" fontId="16" fillId="0" borderId="0" xfId="244" applyAlignment="1">
      <alignment horizontal="left"/>
    </xf>
    <xf numFmtId="0" fontId="22" fillId="0" borderId="0" xfId="0" applyFont="1" applyAlignment="1">
      <alignment horizontal="left"/>
    </xf>
    <xf numFmtId="0" fontId="22" fillId="0" borderId="16" xfId="0" applyFont="1" applyBorder="1" applyAlignment="1">
      <alignment horizontal="left"/>
    </xf>
    <xf numFmtId="0" fontId="15" fillId="0" borderId="27" xfId="0" applyFont="1" applyBorder="1" applyAlignment="1">
      <alignment horizontal="left"/>
    </xf>
    <xf numFmtId="4" fontId="15" fillId="0" borderId="0" xfId="569" applyNumberFormat="1" applyAlignment="1">
      <alignment horizontal="left" vertical="top" wrapText="1"/>
    </xf>
    <xf numFmtId="0" fontId="33" fillId="0" borderId="0" xfId="569" applyFont="1" applyAlignment="1">
      <alignment horizontal="left"/>
    </xf>
    <xf numFmtId="0" fontId="15" fillId="0" borderId="0" xfId="569" applyAlignment="1">
      <alignment horizontal="left" vertical="top" wrapText="1"/>
    </xf>
    <xf numFmtId="0" fontId="15" fillId="0" borderId="0" xfId="569" applyAlignment="1">
      <alignment horizontal="left"/>
    </xf>
    <xf numFmtId="0" fontId="33" fillId="0" borderId="0" xfId="569" applyFont="1" applyAlignment="1">
      <alignment horizontal="left" vertical="top" wrapText="1"/>
    </xf>
    <xf numFmtId="0" fontId="15" fillId="0" borderId="0" xfId="569" applyAlignment="1">
      <alignment horizontal="left" vertical="top"/>
    </xf>
    <xf numFmtId="0" fontId="15" fillId="0" borderId="0" xfId="271" applyFont="1" applyAlignment="1">
      <alignment horizontal="left" vertical="top" wrapText="1"/>
    </xf>
    <xf numFmtId="0" fontId="24" fillId="0" borderId="0" xfId="0" applyFont="1" applyAlignment="1">
      <alignment horizontal="left" vertical="top"/>
    </xf>
    <xf numFmtId="0" fontId="33" fillId="0" borderId="0" xfId="0" applyFont="1" applyAlignment="1">
      <alignment horizontal="left" vertical="top" wrapText="1"/>
    </xf>
    <xf numFmtId="0" fontId="33" fillId="0" borderId="0" xfId="0" applyFont="1" applyAlignment="1">
      <alignment horizontal="center"/>
    </xf>
    <xf numFmtId="0" fontId="0" fillId="0" borderId="0" xfId="0" applyAlignment="1">
      <alignment horizontal="center"/>
    </xf>
    <xf numFmtId="0" fontId="22" fillId="0" borderId="0" xfId="0" applyFont="1" applyAlignment="1">
      <alignment horizontal="center"/>
    </xf>
    <xf numFmtId="49" fontId="15" fillId="0" borderId="0" xfId="0" applyNumberFormat="1" applyFont="1" applyAlignment="1">
      <alignment horizontal="left" vertical="top" wrapText="1"/>
    </xf>
    <xf numFmtId="49" fontId="15" fillId="0" borderId="0" xfId="1192" applyNumberFormat="1" applyAlignment="1">
      <alignment horizontal="left" vertical="top" wrapText="1"/>
    </xf>
    <xf numFmtId="4" fontId="33" fillId="0" borderId="0" xfId="0" applyNumberFormat="1" applyFont="1" applyAlignment="1">
      <alignment horizontal="left"/>
    </xf>
    <xf numFmtId="4" fontId="15" fillId="0" borderId="0" xfId="0" applyNumberFormat="1" applyFont="1" applyAlignment="1">
      <alignment horizontal="left" vertical="top" wrapText="1"/>
    </xf>
    <xf numFmtId="4" fontId="16" fillId="0" borderId="0" xfId="244" applyNumberFormat="1" applyFill="1" applyAlignment="1" applyProtection="1">
      <alignment horizontal="left"/>
    </xf>
    <xf numFmtId="0" fontId="22" fillId="0" borderId="0" xfId="569" applyFont="1" applyAlignment="1">
      <alignment horizontal="left" vertical="top"/>
    </xf>
    <xf numFmtId="0" fontId="15" fillId="0" borderId="0" xfId="0" applyFont="1" applyAlignment="1">
      <alignment horizontal="left" vertical="top"/>
    </xf>
    <xf numFmtId="0" fontId="16" fillId="0" borderId="0" xfId="244" quotePrefix="1" applyAlignment="1" applyProtection="1">
      <alignment horizontal="left"/>
    </xf>
    <xf numFmtId="0" fontId="22" fillId="0" borderId="4" xfId="0" applyFont="1" applyBorder="1" applyAlignment="1">
      <alignment horizontal="left"/>
    </xf>
    <xf numFmtId="0" fontId="22" fillId="0" borderId="4" xfId="569" applyFont="1" applyBorder="1" applyAlignment="1">
      <alignment horizontal="left" vertical="top"/>
    </xf>
    <xf numFmtId="0" fontId="33" fillId="0" borderId="0" xfId="569" applyFont="1" applyAlignment="1">
      <alignment horizontal="left" vertical="top"/>
    </xf>
    <xf numFmtId="0" fontId="33" fillId="0" borderId="0" xfId="0" applyFont="1" applyAlignment="1">
      <alignment horizontal="left" wrapText="1"/>
    </xf>
    <xf numFmtId="4" fontId="15" fillId="0" borderId="0" xfId="569" applyNumberFormat="1" applyAlignment="1">
      <alignment horizontal="left"/>
    </xf>
    <xf numFmtId="4" fontId="33" fillId="0" borderId="0" xfId="569" applyNumberFormat="1" applyFont="1" applyAlignment="1">
      <alignment horizontal="left" vertical="top" wrapText="1"/>
    </xf>
    <xf numFmtId="0" fontId="113" fillId="0" borderId="0" xfId="569" applyFont="1" applyAlignment="1">
      <alignment horizontal="center"/>
    </xf>
    <xf numFmtId="0" fontId="114" fillId="0" borderId="0" xfId="569" applyFont="1"/>
    <xf numFmtId="0" fontId="15" fillId="0" borderId="0" xfId="569" applyAlignment="1">
      <alignment wrapText="1"/>
    </xf>
    <xf numFmtId="0" fontId="22" fillId="0" borderId="0" xfId="569" applyFont="1" applyAlignment="1">
      <alignment wrapText="1"/>
    </xf>
    <xf numFmtId="0" fontId="30" fillId="0" borderId="0" xfId="569" applyFont="1" applyAlignment="1">
      <alignment horizontal="center"/>
    </xf>
    <xf numFmtId="0" fontId="15" fillId="0" borderId="0" xfId="569"/>
    <xf numFmtId="0" fontId="15" fillId="0" borderId="0" xfId="1192" applyAlignment="1">
      <alignment vertical="top" wrapText="1"/>
    </xf>
    <xf numFmtId="4" fontId="15" fillId="0" borderId="0" xfId="0" applyNumberFormat="1" applyFont="1" applyAlignment="1">
      <alignment horizontal="left"/>
    </xf>
    <xf numFmtId="0" fontId="33" fillId="0" borderId="0" xfId="0" applyFont="1" applyAlignment="1">
      <alignment horizontal="left" vertical="top"/>
    </xf>
    <xf numFmtId="0" fontId="15" fillId="0" borderId="0" xfId="0" applyFont="1" applyAlignment="1">
      <alignment horizontal="left" vertical="center" wrapText="1"/>
    </xf>
    <xf numFmtId="0" fontId="15" fillId="0" borderId="0" xfId="569" applyAlignment="1">
      <alignment horizontal="left" wrapText="1"/>
    </xf>
    <xf numFmtId="0" fontId="15" fillId="0" borderId="0" xfId="0" applyFont="1" applyAlignment="1">
      <alignment vertical="top" wrapText="1"/>
    </xf>
    <xf numFmtId="0" fontId="16" fillId="0" borderId="0" xfId="244" applyFill="1" applyBorder="1" applyAlignment="1">
      <alignment horizontal="left" vertical="top" wrapText="1"/>
    </xf>
    <xf numFmtId="0" fontId="22" fillId="0" borderId="0" xfId="0" applyFont="1" applyAlignment="1">
      <alignment vertical="top" wrapText="1"/>
    </xf>
    <xf numFmtId="0" fontId="33" fillId="0" borderId="0" xfId="1192" applyFont="1" applyAlignment="1">
      <alignment horizontal="left" vertical="top" wrapText="1"/>
    </xf>
    <xf numFmtId="0" fontId="22" fillId="0" borderId="0" xfId="1192" applyFont="1" applyAlignment="1">
      <alignment horizontal="left" vertical="top" wrapText="1"/>
    </xf>
    <xf numFmtId="0" fontId="15" fillId="0" borderId="0" xfId="569" applyAlignment="1">
      <alignment vertical="top" wrapText="1"/>
    </xf>
    <xf numFmtId="4" fontId="33" fillId="0" borderId="0" xfId="0" applyNumberFormat="1" applyFont="1" applyAlignment="1">
      <alignment horizontal="left" vertical="top" wrapText="1"/>
    </xf>
    <xf numFmtId="0" fontId="15" fillId="0" borderId="0" xfId="0" quotePrefix="1" applyFont="1" applyAlignment="1">
      <alignment horizontal="left" vertical="top"/>
    </xf>
    <xf numFmtId="0" fontId="15" fillId="0" borderId="0" xfId="0" quotePrefix="1" applyFont="1" applyAlignment="1">
      <alignment horizontal="left" vertical="top" wrapText="1"/>
    </xf>
    <xf numFmtId="0" fontId="22" fillId="0" borderId="0" xfId="569" applyFont="1" applyAlignment="1">
      <alignment horizontal="center"/>
    </xf>
    <xf numFmtId="0" fontId="16" fillId="0" borderId="0" xfId="244" applyNumberFormat="1" applyFill="1" applyAlignment="1" applyProtection="1">
      <alignment horizontal="left"/>
    </xf>
    <xf numFmtId="0" fontId="33" fillId="0" borderId="0" xfId="569" applyFont="1" applyAlignment="1">
      <alignment horizontal="left" wrapText="1"/>
    </xf>
    <xf numFmtId="0" fontId="33" fillId="0" borderId="0" xfId="569" applyFont="1" applyAlignment="1">
      <alignment horizontal="center" wrapText="1"/>
    </xf>
    <xf numFmtId="0" fontId="22" fillId="0" borderId="0" xfId="0" applyFont="1" applyAlignment="1">
      <alignment horizontal="left" vertical="top"/>
    </xf>
    <xf numFmtId="0" fontId="15" fillId="0" borderId="0" xfId="569" applyAlignment="1">
      <alignment horizontal="left" vertical="center" wrapText="1"/>
    </xf>
    <xf numFmtId="0" fontId="22" fillId="0" borderId="16" xfId="569" applyFont="1" applyBorder="1" applyAlignment="1">
      <alignment horizontal="left"/>
    </xf>
    <xf numFmtId="0" fontId="22" fillId="0" borderId="0" xfId="569" applyFont="1" applyAlignment="1">
      <alignment horizontal="left"/>
    </xf>
    <xf numFmtId="0" fontId="22" fillId="0" borderId="4" xfId="0" applyFont="1" applyBorder="1" applyAlignment="1">
      <alignment horizontal="left" vertical="top"/>
    </xf>
    <xf numFmtId="0" fontId="16" fillId="0" borderId="0" xfId="244" applyAlignment="1" applyProtection="1">
      <alignment horizontal="left" vertical="top" wrapText="1"/>
    </xf>
    <xf numFmtId="0" fontId="15" fillId="0" borderId="0" xfId="1192" applyAlignment="1" applyProtection="1">
      <alignment horizontal="left" vertical="top" wrapText="1"/>
      <protection locked="0"/>
    </xf>
    <xf numFmtId="0" fontId="15" fillId="0" borderId="27" xfId="569" applyBorder="1" applyAlignment="1">
      <alignment horizontal="left"/>
    </xf>
    <xf numFmtId="0" fontId="33" fillId="0" borderId="0" xfId="569" applyFont="1" applyAlignment="1">
      <alignment horizontal="center"/>
    </xf>
    <xf numFmtId="0" fontId="15" fillId="0" borderId="15" xfId="569" applyBorder="1" applyAlignment="1">
      <alignment horizontal="center" vertical="top" wrapText="1"/>
    </xf>
    <xf numFmtId="0" fontId="15" fillId="0" borderId="14" xfId="569" applyBorder="1" applyAlignment="1">
      <alignment horizontal="center" vertical="top" wrapText="1"/>
    </xf>
    <xf numFmtId="0" fontId="15" fillId="0" borderId="13" xfId="569" applyBorder="1" applyAlignment="1">
      <alignment horizontal="center" vertical="top" wrapText="1"/>
    </xf>
    <xf numFmtId="0" fontId="0" fillId="0" borderId="6" xfId="0" applyBorder="1" applyAlignment="1">
      <alignment horizontal="left"/>
    </xf>
    <xf numFmtId="0" fontId="15"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24" fillId="5" borderId="3" xfId="0" applyNumberFormat="1" applyFont="1" applyFill="1" applyBorder="1" applyAlignment="1" applyProtection="1">
      <alignment horizontal="center"/>
      <protection locked="0"/>
    </xf>
    <xf numFmtId="168" fontId="24" fillId="5" borderId="4" xfId="0" applyNumberFormat="1" applyFont="1" applyFill="1" applyBorder="1" applyAlignment="1" applyProtection="1">
      <alignment horizontal="center"/>
      <protection locked="0"/>
    </xf>
    <xf numFmtId="168" fontId="24"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0" fillId="5" borderId="4" xfId="0" applyFill="1" applyBorder="1" applyAlignment="1" applyProtection="1">
      <alignment horizontal="left"/>
      <protection locked="0"/>
    </xf>
    <xf numFmtId="0" fontId="15" fillId="5" borderId="11" xfId="0" applyFont="1" applyFill="1" applyBorder="1" applyAlignment="1" applyProtection="1">
      <alignment horizontal="left" wrapText="1"/>
      <protection locked="0"/>
    </xf>
    <xf numFmtId="9" fontId="24" fillId="5" borderId="3" xfId="0" applyNumberFormat="1" applyFont="1" applyFill="1" applyBorder="1" applyAlignment="1" applyProtection="1">
      <alignment horizontal="center"/>
      <protection locked="0"/>
    </xf>
    <xf numFmtId="9" fontId="24" fillId="5" borderId="4" xfId="0" applyNumberFormat="1" applyFont="1" applyFill="1" applyBorder="1" applyAlignment="1" applyProtection="1">
      <alignment horizontal="center"/>
      <protection locked="0"/>
    </xf>
    <xf numFmtId="9" fontId="24" fillId="5" borderId="5" xfId="0" applyNumberFormat="1" applyFont="1" applyFill="1" applyBorder="1" applyAlignment="1" applyProtection="1">
      <alignment horizontal="center"/>
      <protection locked="0"/>
    </xf>
    <xf numFmtId="0" fontId="24" fillId="5" borderId="4" xfId="0" applyFont="1" applyFill="1" applyBorder="1" applyAlignment="1" applyProtection="1">
      <alignment wrapText="1"/>
      <protection locked="0"/>
    </xf>
    <xf numFmtId="175" fontId="15" fillId="43" borderId="3" xfId="0" applyNumberFormat="1" applyFont="1" applyFill="1" applyBorder="1" applyAlignment="1" applyProtection="1">
      <alignment horizontal="center"/>
      <protection locked="0"/>
    </xf>
    <xf numFmtId="175" fontId="15" fillId="43" borderId="4" xfId="0" applyNumberFormat="1" applyFont="1" applyFill="1" applyBorder="1" applyAlignment="1" applyProtection="1">
      <alignment horizontal="center"/>
      <protection locked="0"/>
    </xf>
    <xf numFmtId="175" fontId="15" fillId="43"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24" fillId="0" borderId="3" xfId="0" applyNumberFormat="1" applyFont="1" applyBorder="1" applyAlignment="1">
      <alignment horizontal="center"/>
    </xf>
    <xf numFmtId="168" fontId="24" fillId="0" borderId="4" xfId="0" applyNumberFormat="1" applyFont="1" applyBorder="1" applyAlignment="1">
      <alignment horizontal="center"/>
    </xf>
    <xf numFmtId="168" fontId="24" fillId="0" borderId="5" xfId="0" applyNumberFormat="1" applyFont="1" applyBorder="1" applyAlignment="1">
      <alignment horizontal="center"/>
    </xf>
    <xf numFmtId="1" fontId="24" fillId="5" borderId="11" xfId="0" applyNumberFormat="1" applyFont="1" applyFill="1" applyBorder="1" applyAlignment="1" applyProtection="1">
      <alignment horizontal="center"/>
      <protection locked="0"/>
    </xf>
    <xf numFmtId="0" fontId="24" fillId="0" borderId="11" xfId="0" applyFont="1" applyBorder="1" applyAlignment="1">
      <alignment horizontal="center" vertical="top" wrapText="1"/>
    </xf>
    <xf numFmtId="0" fontId="22"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4" fontId="23" fillId="5" borderId="3" xfId="0" applyNumberFormat="1" applyFont="1" applyFill="1" applyBorder="1" applyAlignment="1" applyProtection="1">
      <alignment horizontal="left"/>
      <protection locked="0"/>
    </xf>
    <xf numFmtId="164" fontId="23" fillId="5" borderId="4" xfId="0" applyNumberFormat="1" applyFont="1" applyFill="1" applyBorder="1" applyAlignment="1" applyProtection="1">
      <alignment horizontal="left"/>
      <protection locked="0"/>
    </xf>
    <xf numFmtId="164" fontId="23" fillId="5" borderId="5" xfId="0" applyNumberFormat="1" applyFont="1" applyFill="1" applyBorder="1" applyAlignment="1" applyProtection="1">
      <alignment horizontal="left"/>
      <protection locked="0"/>
    </xf>
    <xf numFmtId="0" fontId="176" fillId="0" borderId="8" xfId="543" applyFont="1" applyBorder="1" applyAlignment="1">
      <alignment horizontal="center" wrapText="1"/>
    </xf>
    <xf numFmtId="0" fontId="176" fillId="0" borderId="0" xfId="543" applyFont="1" applyAlignment="1">
      <alignment horizontal="center" wrapText="1"/>
    </xf>
    <xf numFmtId="0" fontId="176" fillId="0" borderId="12" xfId="543" applyFont="1" applyBorder="1" applyAlignment="1">
      <alignment horizontal="center" wrapText="1"/>
    </xf>
    <xf numFmtId="0" fontId="176" fillId="0" borderId="9" xfId="543" applyFont="1" applyBorder="1" applyAlignment="1">
      <alignment horizontal="center" wrapText="1"/>
    </xf>
    <xf numFmtId="0" fontId="176" fillId="0" borderId="6" xfId="543" applyFont="1" applyBorder="1" applyAlignment="1">
      <alignment horizontal="center" wrapText="1"/>
    </xf>
    <xf numFmtId="0" fontId="176" fillId="0" borderId="10" xfId="543" applyFont="1" applyBorder="1" applyAlignment="1">
      <alignment horizontal="center" wrapText="1"/>
    </xf>
    <xf numFmtId="0" fontId="176" fillId="0" borderId="8" xfId="543" applyFont="1" applyBorder="1" applyAlignment="1">
      <alignment horizontal="center" vertical="top" wrapText="1"/>
    </xf>
    <xf numFmtId="0" fontId="176" fillId="0" borderId="0" xfId="543" applyFont="1" applyAlignment="1">
      <alignment horizontal="center" vertical="top" wrapText="1"/>
    </xf>
    <xf numFmtId="0" fontId="176" fillId="0" borderId="12" xfId="543" applyFont="1" applyBorder="1" applyAlignment="1">
      <alignment horizontal="center" vertical="top" wrapText="1"/>
    </xf>
    <xf numFmtId="0" fontId="176" fillId="0" borderId="9" xfId="543" applyFont="1" applyBorder="1" applyAlignment="1">
      <alignment horizontal="center" vertical="top" wrapText="1"/>
    </xf>
    <xf numFmtId="0" fontId="176" fillId="0" borderId="6" xfId="543" applyFont="1" applyBorder="1" applyAlignment="1">
      <alignment horizontal="center" vertical="top" wrapText="1"/>
    </xf>
    <xf numFmtId="0" fontId="176" fillId="0" borderId="10" xfId="543" applyFont="1" applyBorder="1" applyAlignment="1">
      <alignment horizontal="center" vertical="top" wrapText="1"/>
    </xf>
    <xf numFmtId="0" fontId="171" fillId="0" borderId="0" xfId="0" applyFont="1" applyAlignment="1">
      <alignment horizontal="center" vertical="center" wrapText="1"/>
    </xf>
    <xf numFmtId="1" fontId="24" fillId="5" borderId="3" xfId="0" applyNumberFormat="1" applyFont="1" applyFill="1" applyBorder="1" applyAlignment="1" applyProtection="1">
      <alignment horizontal="center"/>
      <protection locked="0"/>
    </xf>
    <xf numFmtId="1" fontId="24" fillId="5" borderId="4" xfId="0" applyNumberFormat="1" applyFont="1" applyFill="1" applyBorder="1" applyAlignment="1" applyProtection="1">
      <alignment horizontal="center"/>
      <protection locked="0"/>
    </xf>
    <xf numFmtId="1" fontId="24" fillId="5" borderId="5" xfId="0" applyNumberFormat="1" applyFont="1" applyFill="1" applyBorder="1" applyAlignment="1" applyProtection="1">
      <alignment horizontal="center"/>
      <protection locked="0"/>
    </xf>
    <xf numFmtId="0" fontId="15" fillId="0" borderId="3" xfId="543" applyBorder="1" applyAlignment="1">
      <alignment horizontal="center"/>
    </xf>
    <xf numFmtId="0" fontId="15" fillId="0" borderId="4" xfId="543" applyBorder="1" applyAlignment="1">
      <alignment horizontal="center"/>
    </xf>
    <xf numFmtId="0" fontId="15" fillId="0" borderId="5" xfId="543" applyBorder="1" applyAlignment="1">
      <alignment horizontal="center"/>
    </xf>
    <xf numFmtId="1" fontId="15" fillId="0" borderId="3" xfId="543" applyNumberFormat="1" applyBorder="1" applyAlignment="1">
      <alignment horizontal="center"/>
    </xf>
    <xf numFmtId="1" fontId="15" fillId="0" borderId="4" xfId="543" applyNumberFormat="1" applyBorder="1" applyAlignment="1">
      <alignment horizontal="center"/>
    </xf>
    <xf numFmtId="1" fontId="15" fillId="0" borderId="5"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3" fontId="43" fillId="10" borderId="0" xfId="543" applyNumberFormat="1" applyFont="1" applyFill="1" applyAlignment="1">
      <alignment horizontal="left" vertical="center" wrapText="1"/>
    </xf>
    <xf numFmtId="168" fontId="171" fillId="0" borderId="0" xfId="0" applyNumberFormat="1" applyFont="1" applyAlignment="1">
      <alignment horizontal="center" vertical="center" wrapText="1"/>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15" fillId="0" borderId="1" xfId="543" applyNumberFormat="1" applyBorder="1" applyAlignment="1">
      <alignment horizontal="center" vertical="center"/>
    </xf>
    <xf numFmtId="168" fontId="15" fillId="0" borderId="2" xfId="543" applyNumberFormat="1" applyBorder="1" applyAlignment="1">
      <alignment horizontal="center" vertical="center"/>
    </xf>
    <xf numFmtId="168" fontId="15" fillId="0" borderId="7" xfId="543" applyNumberFormat="1" applyBorder="1" applyAlignment="1">
      <alignment horizontal="center" vertical="center"/>
    </xf>
    <xf numFmtId="168" fontId="15" fillId="0" borderId="8" xfId="543" applyNumberFormat="1" applyBorder="1" applyAlignment="1">
      <alignment horizontal="center" vertical="center"/>
    </xf>
    <xf numFmtId="168" fontId="15" fillId="0" borderId="0" xfId="543" applyNumberFormat="1" applyAlignment="1">
      <alignment horizontal="center" vertical="center"/>
    </xf>
    <xf numFmtId="168" fontId="15" fillId="0" borderId="12" xfId="543" applyNumberFormat="1" applyBorder="1" applyAlignment="1">
      <alignment horizontal="center" vertical="center"/>
    </xf>
    <xf numFmtId="168" fontId="15" fillId="0" borderId="9" xfId="543" applyNumberFormat="1" applyBorder="1" applyAlignment="1">
      <alignment horizontal="center" vertical="center"/>
    </xf>
    <xf numFmtId="168" fontId="15" fillId="0" borderId="6" xfId="543" applyNumberFormat="1" applyBorder="1" applyAlignment="1">
      <alignment horizontal="center" vertical="center"/>
    </xf>
    <xf numFmtId="168" fontId="15" fillId="0" borderId="10" xfId="543" applyNumberFormat="1" applyBorder="1" applyAlignment="1">
      <alignment horizontal="center" vertical="center"/>
    </xf>
    <xf numFmtId="0" fontId="48" fillId="0" borderId="0" xfId="0" applyFont="1" applyAlignment="1">
      <alignment horizontal="center"/>
    </xf>
    <xf numFmtId="0" fontId="15" fillId="0" borderId="0" xfId="0" applyFont="1" applyAlignment="1">
      <alignment horizontal="center"/>
    </xf>
    <xf numFmtId="0" fontId="30" fillId="0" borderId="0" xfId="0" applyFont="1" applyAlignment="1">
      <alignment horizontal="center"/>
    </xf>
    <xf numFmtId="0" fontId="15" fillId="0" borderId="0" xfId="0" applyFont="1" applyAlignment="1">
      <alignment wrapText="1"/>
    </xf>
    <xf numFmtId="0" fontId="15" fillId="0" borderId="0" xfId="0" applyFont="1" applyAlignment="1">
      <alignment horizontal="center" vertical="top"/>
    </xf>
    <xf numFmtId="0" fontId="24" fillId="0" borderId="0" xfId="0" applyFont="1" applyAlignment="1">
      <alignment horizontal="left" vertical="top" wrapText="1"/>
    </xf>
    <xf numFmtId="0" fontId="24" fillId="5" borderId="6" xfId="0" applyFont="1" applyFill="1" applyBorder="1" applyAlignment="1" applyProtection="1">
      <alignment horizontal="left"/>
      <protection locked="0"/>
    </xf>
    <xf numFmtId="168" fontId="24" fillId="0" borderId="6" xfId="0" applyNumberFormat="1" applyFont="1" applyBorder="1" applyAlignment="1">
      <alignment horizontal="center"/>
    </xf>
    <xf numFmtId="0" fontId="15" fillId="5" borderId="6" xfId="0" applyFont="1" applyFill="1" applyBorder="1" applyAlignment="1" applyProtection="1">
      <alignment horizontal="left" wrapText="1"/>
      <protection locked="0"/>
    </xf>
    <xf numFmtId="0" fontId="24" fillId="5" borderId="6" xfId="0" applyFont="1" applyFill="1" applyBorder="1" applyAlignment="1" applyProtection="1">
      <alignment horizontal="left" wrapText="1"/>
      <protection locked="0"/>
    </xf>
    <xf numFmtId="0" fontId="23" fillId="0" borderId="0" xfId="0" applyFont="1" applyAlignment="1">
      <alignment horizontal="center"/>
    </xf>
    <xf numFmtId="0" fontId="21" fillId="3" borderId="0" xfId="0" applyFont="1" applyFill="1" applyAlignment="1">
      <alignment horizontal="center" vertical="center"/>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2" fillId="0" borderId="11" xfId="0" applyFont="1" applyBorder="1" applyAlignment="1">
      <alignment horizontal="center" vertical="center" wrapText="1"/>
    </xf>
    <xf numFmtId="172" fontId="22" fillId="0" borderId="11" xfId="0" applyNumberFormat="1" applyFont="1" applyBorder="1" applyAlignment="1">
      <alignment horizontal="center" vertical="center" wrapText="1"/>
    </xf>
    <xf numFmtId="0" fontId="24" fillId="5" borderId="4" xfId="0" applyFont="1"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5" fillId="5" borderId="4" xfId="0" applyFont="1" applyFill="1" applyBorder="1" applyAlignment="1" applyProtection="1">
      <alignment wrapText="1"/>
      <protection locked="0"/>
    </xf>
    <xf numFmtId="166" fontId="24" fillId="5" borderId="4" xfId="0" applyNumberFormat="1" applyFont="1" applyFill="1" applyBorder="1" applyAlignment="1" applyProtection="1">
      <alignment horizontal="left"/>
      <protection locked="0"/>
    </xf>
    <xf numFmtId="0" fontId="23" fillId="5" borderId="3" xfId="0" applyFont="1" applyFill="1" applyBorder="1" applyAlignment="1" applyProtection="1">
      <alignment horizontal="center"/>
      <protection locked="0"/>
    </xf>
    <xf numFmtId="0" fontId="23" fillId="5" borderId="4" xfId="0" applyFont="1" applyFill="1" applyBorder="1" applyAlignment="1" applyProtection="1">
      <alignment horizontal="center"/>
      <protection locked="0"/>
    </xf>
    <xf numFmtId="0" fontId="23" fillId="5" borderId="5" xfId="0" applyFont="1" applyFill="1" applyBorder="1" applyAlignment="1" applyProtection="1">
      <alignment horizontal="center"/>
      <protection locked="0"/>
    </xf>
    <xf numFmtId="165" fontId="24" fillId="0" borderId="1" xfId="0" applyNumberFormat="1" applyFont="1" applyBorder="1" applyAlignment="1">
      <alignment horizontal="right"/>
    </xf>
    <xf numFmtId="165" fontId="24" fillId="0" borderId="2" xfId="0" applyNumberFormat="1" applyFont="1" applyBorder="1" applyAlignment="1">
      <alignment horizontal="right"/>
    </xf>
    <xf numFmtId="165" fontId="24" fillId="0" borderId="7" xfId="0" applyNumberFormat="1" applyFont="1" applyBorder="1" applyAlignment="1">
      <alignment horizontal="right"/>
    </xf>
    <xf numFmtId="0" fontId="24" fillId="0" borderId="1" xfId="0" applyFont="1" applyBorder="1" applyAlignment="1">
      <alignment horizontal="center" vertical="top" wrapText="1"/>
    </xf>
    <xf numFmtId="0" fontId="24" fillId="0" borderId="2" xfId="0" applyFont="1" applyBorder="1" applyAlignment="1">
      <alignment horizontal="center" vertical="top" wrapText="1"/>
    </xf>
    <xf numFmtId="0" fontId="24" fillId="0" borderId="7" xfId="0" applyFont="1" applyBorder="1" applyAlignment="1">
      <alignment horizontal="center" vertical="top" wrapText="1"/>
    </xf>
    <xf numFmtId="0" fontId="24" fillId="0" borderId="8" xfId="0" applyFont="1" applyBorder="1" applyAlignment="1">
      <alignment horizontal="center" vertical="top" wrapText="1"/>
    </xf>
    <xf numFmtId="0" fontId="24" fillId="0" borderId="0" xfId="0" applyFont="1" applyAlignment="1">
      <alignment horizontal="center" vertical="top" wrapText="1"/>
    </xf>
    <xf numFmtId="0" fontId="24" fillId="0" borderId="12" xfId="0" applyFont="1" applyBorder="1" applyAlignment="1">
      <alignment horizontal="center" vertical="top" wrapText="1"/>
    </xf>
    <xf numFmtId="0" fontId="24" fillId="0" borderId="9" xfId="0" applyFont="1" applyBorder="1" applyAlignment="1">
      <alignment horizontal="center" vertical="top" wrapText="1"/>
    </xf>
    <xf numFmtId="0" fontId="24" fillId="0" borderId="6" xfId="0" applyFont="1" applyBorder="1" applyAlignment="1">
      <alignment horizontal="center" vertical="top" wrapText="1"/>
    </xf>
    <xf numFmtId="0" fontId="24" fillId="0" borderId="10" xfId="0" applyFont="1" applyBorder="1" applyAlignment="1">
      <alignment horizontal="center" vertical="top" wrapText="1"/>
    </xf>
    <xf numFmtId="0" fontId="15"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6" fontId="15" fillId="5" borderId="4" xfId="0" applyNumberFormat="1" applyFont="1" applyFill="1" applyBorder="1" applyAlignment="1" applyProtection="1">
      <alignment horizontal="left"/>
      <protection locked="0"/>
    </xf>
    <xf numFmtId="0" fontId="15" fillId="0" borderId="1" xfId="0" applyFont="1" applyBorder="1" applyAlignment="1">
      <alignment horizontal="center" vertical="top" wrapText="1"/>
    </xf>
    <xf numFmtId="0" fontId="0" fillId="0" borderId="11" xfId="0" applyBorder="1" applyAlignment="1">
      <alignment horizontal="center"/>
    </xf>
    <xf numFmtId="0" fontId="24" fillId="45" borderId="3" xfId="0" applyFont="1" applyFill="1" applyBorder="1" applyAlignment="1">
      <alignment horizontal="center"/>
    </xf>
    <xf numFmtId="0" fontId="24" fillId="45" borderId="4" xfId="0" applyFont="1" applyFill="1" applyBorder="1" applyAlignment="1">
      <alignment horizontal="center"/>
    </xf>
    <xf numFmtId="0" fontId="24" fillId="45" borderId="5" xfId="0" applyFont="1" applyFill="1" applyBorder="1" applyAlignment="1">
      <alignment horizontal="center"/>
    </xf>
    <xf numFmtId="0" fontId="24" fillId="45" borderId="11" xfId="0" applyFont="1" applyFill="1" applyBorder="1" applyAlignment="1">
      <alignment horizontal="center"/>
    </xf>
    <xf numFmtId="0" fontId="24" fillId="0" borderId="3" xfId="0" applyFont="1" applyBorder="1" applyAlignment="1">
      <alignment horizontal="center"/>
    </xf>
    <xf numFmtId="0" fontId="24" fillId="0" borderId="4" xfId="0" applyFont="1" applyBorder="1" applyAlignment="1">
      <alignment horizontal="center"/>
    </xf>
    <xf numFmtId="0" fontId="24" fillId="0" borderId="5" xfId="0" applyFont="1" applyBorder="1" applyAlignment="1">
      <alignment horizontal="center"/>
    </xf>
    <xf numFmtId="0" fontId="38" fillId="0" borderId="3" xfId="0" applyFont="1" applyBorder="1" applyAlignment="1">
      <alignment horizontal="center"/>
    </xf>
    <xf numFmtId="0" fontId="38" fillId="0" borderId="4" xfId="0" applyFont="1" applyBorder="1" applyAlignment="1">
      <alignment horizontal="center"/>
    </xf>
    <xf numFmtId="0" fontId="38" fillId="0" borderId="5" xfId="0" applyFont="1" applyBorder="1" applyAlignment="1">
      <alignment horizontal="center"/>
    </xf>
    <xf numFmtId="0" fontId="24" fillId="0" borderId="11" xfId="0" applyFont="1" applyBorder="1" applyAlignment="1">
      <alignment horizontal="center"/>
    </xf>
    <xf numFmtId="14" fontId="0" fillId="5" borderId="6" xfId="0" applyNumberFormat="1" applyFill="1" applyBorder="1" applyAlignment="1" applyProtection="1">
      <alignment horizontal="center"/>
      <protection locked="0"/>
    </xf>
    <xf numFmtId="0" fontId="15" fillId="0" borderId="3" xfId="0" applyFont="1" applyBorder="1" applyAlignment="1">
      <alignment horizontal="center"/>
    </xf>
    <xf numFmtId="0" fontId="15" fillId="0" borderId="4" xfId="0" applyFont="1" applyBorder="1" applyAlignment="1">
      <alignment horizontal="center"/>
    </xf>
    <xf numFmtId="0" fontId="15" fillId="0" borderId="5" xfId="0" applyFont="1" applyBorder="1" applyAlignment="1">
      <alignment horizontal="center"/>
    </xf>
    <xf numFmtId="0" fontId="24" fillId="2" borderId="11" xfId="0" applyFont="1" applyFill="1" applyBorder="1" applyAlignment="1">
      <alignment horizontal="center"/>
    </xf>
    <xf numFmtId="0" fontId="15" fillId="0" borderId="11"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15" fillId="0" borderId="11" xfId="543" applyBorder="1" applyAlignment="1">
      <alignment horizontal="center"/>
    </xf>
    <xf numFmtId="0" fontId="15" fillId="0" borderId="8" xfId="543" applyBorder="1" applyAlignment="1">
      <alignment horizontal="left" vertical="top" wrapText="1"/>
    </xf>
    <xf numFmtId="0" fontId="15" fillId="0" borderId="0" xfId="543" applyAlignment="1">
      <alignment horizontal="left" vertical="top" wrapText="1"/>
    </xf>
    <xf numFmtId="0" fontId="15" fillId="0" borderId="12" xfId="543" applyBorder="1" applyAlignment="1">
      <alignment horizontal="left" vertical="top" wrapText="1"/>
    </xf>
    <xf numFmtId="0" fontId="23" fillId="5" borderId="3" xfId="543" applyFont="1" applyFill="1" applyBorder="1" applyAlignment="1" applyProtection="1">
      <alignment horizontal="left" vertical="top" wrapText="1"/>
      <protection locked="0"/>
    </xf>
    <xf numFmtId="0" fontId="23" fillId="5" borderId="4" xfId="543" applyFont="1" applyFill="1" applyBorder="1" applyAlignment="1" applyProtection="1">
      <alignment horizontal="left" vertical="top" wrapText="1"/>
      <protection locked="0"/>
    </xf>
    <xf numFmtId="0" fontId="23" fillId="5" borderId="5" xfId="543" applyFont="1" applyFill="1" applyBorder="1" applyAlignment="1" applyProtection="1">
      <alignment horizontal="left" vertical="top" wrapText="1"/>
      <protection locked="0"/>
    </xf>
    <xf numFmtId="168" fontId="15" fillId="10" borderId="3" xfId="543" applyNumberFormat="1" applyFill="1" applyBorder="1" applyAlignment="1">
      <alignment horizontal="center"/>
    </xf>
    <xf numFmtId="168" fontId="15" fillId="10" borderId="4" xfId="543" applyNumberFormat="1" applyFill="1" applyBorder="1" applyAlignment="1">
      <alignment horizontal="center"/>
    </xf>
    <xf numFmtId="168" fontId="15" fillId="10" borderId="5" xfId="543" applyNumberFormat="1" applyFill="1" applyBorder="1" applyAlignment="1">
      <alignment horizontal="center"/>
    </xf>
    <xf numFmtId="0" fontId="15" fillId="2" borderId="3" xfId="543" applyFill="1" applyBorder="1" applyAlignment="1">
      <alignment horizontal="center"/>
    </xf>
    <xf numFmtId="0" fontId="15" fillId="2" borderId="4" xfId="543" applyFill="1" applyBorder="1" applyAlignment="1">
      <alignment horizontal="center"/>
    </xf>
    <xf numFmtId="0" fontId="15" fillId="2" borderId="5" xfId="543" applyFill="1" applyBorder="1" applyAlignment="1">
      <alignment horizontal="center"/>
    </xf>
    <xf numFmtId="0" fontId="22" fillId="0" borderId="8" xfId="543" applyFont="1" applyBorder="1" applyAlignment="1">
      <alignment horizontal="left" vertical="center" wrapText="1"/>
    </xf>
    <xf numFmtId="0" fontId="22" fillId="0" borderId="0" xfId="543" applyFont="1" applyAlignment="1">
      <alignment horizontal="left" vertical="center" wrapText="1"/>
    </xf>
    <xf numFmtId="0" fontId="22" fillId="0" borderId="12" xfId="543" applyFont="1" applyBorder="1" applyAlignment="1">
      <alignment horizontal="left" vertical="center" wrapText="1"/>
    </xf>
    <xf numFmtId="0" fontId="22" fillId="10" borderId="3" xfId="543" applyFont="1" applyFill="1" applyBorder="1" applyAlignment="1">
      <alignment horizontal="center"/>
    </xf>
    <xf numFmtId="0" fontId="22" fillId="10" borderId="4" xfId="543" applyFont="1" applyFill="1" applyBorder="1" applyAlignment="1">
      <alignment horizontal="center"/>
    </xf>
    <xf numFmtId="0" fontId="22" fillId="10" borderId="5" xfId="543" applyFont="1" applyFill="1" applyBorder="1" applyAlignment="1">
      <alignment horizontal="center"/>
    </xf>
    <xf numFmtId="0" fontId="34" fillId="5" borderId="3" xfId="543" applyFont="1" applyFill="1" applyBorder="1" applyAlignment="1" applyProtection="1">
      <alignment horizontal="center" vertical="top"/>
      <protection locked="0"/>
    </xf>
    <xf numFmtId="0" fontId="34" fillId="5" borderId="5" xfId="543" applyFont="1" applyFill="1" applyBorder="1" applyAlignment="1" applyProtection="1">
      <alignment horizontal="center" vertical="top"/>
      <protection locked="0"/>
    </xf>
    <xf numFmtId="0" fontId="34" fillId="5" borderId="3" xfId="543" applyFont="1" applyFill="1" applyBorder="1" applyAlignment="1" applyProtection="1">
      <alignment horizontal="center"/>
      <protection locked="0"/>
    </xf>
    <xf numFmtId="0" fontId="34" fillId="5" borderId="5" xfId="543" applyFont="1" applyFill="1" applyBorder="1" applyAlignment="1" applyProtection="1">
      <alignment horizontal="center"/>
      <protection locked="0"/>
    </xf>
    <xf numFmtId="0" fontId="22" fillId="0" borderId="1" xfId="543" applyFont="1" applyBorder="1" applyAlignment="1">
      <alignment horizontal="left" vertical="center" wrapText="1"/>
    </xf>
    <xf numFmtId="0" fontId="22" fillId="0" borderId="2" xfId="543" applyFont="1" applyBorder="1" applyAlignment="1">
      <alignment horizontal="left" vertical="center" wrapText="1"/>
    </xf>
    <xf numFmtId="0" fontId="22" fillId="0" borderId="7" xfId="543" applyFont="1" applyBorder="1" applyAlignment="1">
      <alignment horizontal="left" vertical="center" wrapText="1"/>
    </xf>
    <xf numFmtId="0" fontId="15" fillId="0" borderId="9" xfId="543" applyBorder="1" applyAlignment="1">
      <alignment horizontal="left" vertical="top" wrapText="1"/>
    </xf>
    <xf numFmtId="0" fontId="15" fillId="0" borderId="6" xfId="543" applyBorder="1" applyAlignment="1">
      <alignment horizontal="left" vertical="top" wrapText="1"/>
    </xf>
    <xf numFmtId="0" fontId="15" fillId="0" borderId="10" xfId="543" applyBorder="1" applyAlignment="1">
      <alignment horizontal="left" vertical="top" wrapText="1"/>
    </xf>
    <xf numFmtId="0" fontId="42" fillId="0" borderId="8" xfId="543" applyFont="1" applyBorder="1" applyAlignment="1">
      <alignment horizontal="center" vertical="center" wrapText="1"/>
    </xf>
    <xf numFmtId="0" fontId="42" fillId="0" borderId="0" xfId="543" applyFont="1" applyAlignment="1">
      <alignment horizontal="center" vertical="center" wrapText="1"/>
    </xf>
    <xf numFmtId="0" fontId="42" fillId="0" borderId="12" xfId="543" applyFont="1" applyBorder="1" applyAlignment="1">
      <alignment horizontal="center" vertical="center" wrapText="1"/>
    </xf>
    <xf numFmtId="182" fontId="23" fillId="43" borderId="11" xfId="8722" applyNumberFormat="1" applyFont="1" applyFill="1" applyBorder="1" applyAlignment="1" applyProtection="1">
      <alignment horizontal="center" vertical="center" wrapText="1"/>
      <protection locked="0"/>
    </xf>
    <xf numFmtId="168" fontId="15" fillId="5" borderId="3" xfId="0" applyNumberFormat="1" applyFont="1" applyFill="1" applyBorder="1" applyAlignment="1" applyProtection="1">
      <alignment horizontal="right"/>
      <protection locked="0"/>
    </xf>
    <xf numFmtId="168" fontId="15" fillId="5" borderId="4" xfId="0" applyNumberFormat="1" applyFont="1" applyFill="1" applyBorder="1" applyAlignment="1" applyProtection="1">
      <alignment horizontal="right"/>
      <protection locked="0"/>
    </xf>
    <xf numFmtId="168" fontId="15" fillId="5" borderId="5" xfId="0" applyNumberFormat="1" applyFont="1" applyFill="1" applyBorder="1" applyAlignment="1" applyProtection="1">
      <alignment horizontal="right"/>
      <protection locked="0"/>
    </xf>
    <xf numFmtId="0" fontId="22" fillId="0" borderId="1" xfId="0" applyFont="1" applyBorder="1" applyAlignment="1">
      <alignment horizontal="center"/>
    </xf>
    <xf numFmtId="0" fontId="22" fillId="0" borderId="2" xfId="0" applyFont="1" applyBorder="1" applyAlignment="1">
      <alignment horizontal="center"/>
    </xf>
    <xf numFmtId="0" fontId="22" fillId="0" borderId="7" xfId="0" applyFont="1" applyBorder="1" applyAlignment="1">
      <alignment horizontal="center"/>
    </xf>
    <xf numFmtId="164" fontId="34" fillId="5" borderId="4" xfId="0" applyNumberFormat="1" applyFont="1" applyFill="1" applyBorder="1" applyAlignment="1" applyProtection="1">
      <alignment horizontal="left"/>
      <protection locked="0"/>
    </xf>
    <xf numFmtId="164" fontId="34" fillId="5" borderId="5" xfId="0" applyNumberFormat="1" applyFont="1" applyFill="1" applyBorder="1" applyAlignment="1" applyProtection="1">
      <alignment horizontal="left"/>
      <protection locked="0"/>
    </xf>
    <xf numFmtId="0" fontId="36" fillId="0" borderId="3" xfId="543" applyFont="1" applyBorder="1" applyAlignment="1">
      <alignment horizontal="center"/>
    </xf>
    <xf numFmtId="0" fontId="36" fillId="0" borderId="4" xfId="543" applyFont="1" applyBorder="1" applyAlignment="1">
      <alignment horizontal="center"/>
    </xf>
    <xf numFmtId="0" fontId="36" fillId="0" borderId="5" xfId="543" applyFont="1" applyBorder="1" applyAlignment="1">
      <alignment horizontal="center"/>
    </xf>
    <xf numFmtId="0" fontId="15" fillId="0" borderId="3" xfId="0" applyFont="1" applyBorder="1"/>
    <xf numFmtId="0" fontId="15" fillId="0" borderId="4" xfId="0" applyFont="1" applyBorder="1"/>
    <xf numFmtId="0" fontId="15" fillId="0" borderId="5" xfId="0" applyFont="1" applyBorder="1"/>
    <xf numFmtId="0" fontId="15" fillId="5" borderId="3" xfId="0" applyFont="1" applyFill="1" applyBorder="1" applyAlignment="1" applyProtection="1">
      <alignment horizontal="left"/>
      <protection locked="0"/>
    </xf>
    <xf numFmtId="0" fontId="15" fillId="5" borderId="4" xfId="0" applyFont="1" applyFill="1" applyBorder="1" applyAlignment="1" applyProtection="1">
      <alignment horizontal="left"/>
      <protection locked="0"/>
    </xf>
    <xf numFmtId="0" fontId="15" fillId="5" borderId="5" xfId="0" applyFont="1" applyFill="1" applyBorder="1" applyAlignment="1" applyProtection="1">
      <alignment horizontal="left"/>
      <protection locked="0"/>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15" fillId="0" borderId="8" xfId="0" applyFont="1" applyBorder="1" applyAlignment="1">
      <alignment horizontal="left" wrapText="1"/>
    </xf>
    <xf numFmtId="0" fontId="15" fillId="0" borderId="12" xfId="0" applyFont="1" applyBorder="1" applyAlignment="1">
      <alignment horizontal="left" wrapText="1"/>
    </xf>
    <xf numFmtId="0" fontId="15" fillId="0" borderId="9" xfId="0" applyFont="1" applyBorder="1" applyAlignment="1">
      <alignment horizontal="left" wrapText="1"/>
    </xf>
    <xf numFmtId="0" fontId="15" fillId="0" borderId="6" xfId="0" applyFont="1" applyBorder="1" applyAlignment="1">
      <alignment horizontal="left" wrapText="1"/>
    </xf>
    <xf numFmtId="0" fontId="15" fillId="0" borderId="10" xfId="0" applyFont="1" applyBorder="1" applyAlignment="1">
      <alignment horizontal="left" wrapText="1"/>
    </xf>
    <xf numFmtId="0" fontId="22" fillId="0" borderId="1" xfId="543" applyFont="1" applyBorder="1" applyAlignment="1">
      <alignment horizontal="left" vertical="top" wrapText="1"/>
    </xf>
    <xf numFmtId="0" fontId="22" fillId="0" borderId="2" xfId="543" applyFont="1" applyBorder="1" applyAlignment="1">
      <alignment horizontal="left" vertical="top" wrapText="1"/>
    </xf>
    <xf numFmtId="0" fontId="22" fillId="0" borderId="7" xfId="543" applyFont="1" applyBorder="1" applyAlignment="1">
      <alignment horizontal="left" vertical="top" wrapText="1"/>
    </xf>
    <xf numFmtId="0" fontId="22" fillId="0" borderId="8" xfId="543" applyFont="1" applyBorder="1" applyAlignment="1">
      <alignment horizontal="left" vertical="top" wrapText="1"/>
    </xf>
    <xf numFmtId="0" fontId="22" fillId="0" borderId="0" xfId="543" applyFont="1" applyAlignment="1">
      <alignment horizontal="left" vertical="top" wrapText="1"/>
    </xf>
    <xf numFmtId="0" fontId="22" fillId="0" borderId="12" xfId="543" applyFont="1" applyBorder="1" applyAlignment="1">
      <alignment horizontal="left" vertical="top" wrapText="1"/>
    </xf>
    <xf numFmtId="0" fontId="167" fillId="0" borderId="8" xfId="543" applyFont="1" applyBorder="1" applyAlignment="1">
      <alignment horizontal="center" vertical="center" wrapText="1"/>
    </xf>
    <xf numFmtId="0" fontId="167" fillId="0" borderId="0" xfId="543" applyFont="1" applyAlignment="1">
      <alignment horizontal="center" vertical="center" wrapText="1"/>
    </xf>
    <xf numFmtId="0" fontId="167" fillId="0" borderId="12" xfId="543" applyFont="1" applyBorder="1" applyAlignment="1">
      <alignment horizontal="center" vertical="center"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4" fillId="5" borderId="3" xfId="0" applyNumberFormat="1" applyFont="1" applyFill="1" applyBorder="1" applyAlignment="1" applyProtection="1">
      <alignment horizontal="left"/>
      <protection locked="0"/>
    </xf>
    <xf numFmtId="0" fontId="22" fillId="0" borderId="8" xfId="0" applyFont="1" applyBorder="1" applyAlignment="1">
      <alignment horizontal="center" wrapText="1"/>
    </xf>
    <xf numFmtId="0" fontId="22" fillId="0" borderId="0" xfId="0" applyFont="1" applyAlignment="1">
      <alignment horizontal="center" wrapText="1"/>
    </xf>
    <xf numFmtId="0" fontId="22" fillId="0" borderId="12" xfId="0" applyFont="1" applyBorder="1" applyAlignment="1">
      <alignment horizontal="center" wrapText="1"/>
    </xf>
    <xf numFmtId="0" fontId="22" fillId="0" borderId="9" xfId="0" applyFont="1" applyBorder="1" applyAlignment="1">
      <alignment horizontal="center" wrapText="1"/>
    </xf>
    <xf numFmtId="0" fontId="22" fillId="0" borderId="6" xfId="0" applyFont="1" applyBorder="1" applyAlignment="1">
      <alignment horizontal="center" wrapText="1"/>
    </xf>
    <xf numFmtId="0" fontId="22"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0" fontId="35" fillId="0" borderId="1" xfId="543" applyFont="1" applyBorder="1" applyAlignment="1">
      <alignment horizontal="right"/>
    </xf>
    <xf numFmtId="0" fontId="35" fillId="0" borderId="2" xfId="543" applyFont="1" applyBorder="1" applyAlignment="1">
      <alignment horizontal="right"/>
    </xf>
    <xf numFmtId="0" fontId="35" fillId="0" borderId="7" xfId="543" applyFont="1" applyBorder="1" applyAlignment="1">
      <alignment horizontal="right"/>
    </xf>
    <xf numFmtId="168" fontId="15" fillId="0" borderId="11" xfId="543" applyNumberFormat="1" applyBorder="1" applyAlignment="1">
      <alignment horizontal="center"/>
    </xf>
    <xf numFmtId="0" fontId="15" fillId="0" borderId="8" xfId="543" applyBorder="1" applyAlignment="1">
      <alignment horizontal="left" vertical="center" wrapText="1"/>
    </xf>
    <xf numFmtId="0" fontId="15" fillId="0" borderId="0" xfId="543" applyAlignment="1">
      <alignment horizontal="left" vertical="center" wrapText="1"/>
    </xf>
    <xf numFmtId="0" fontId="15" fillId="0" borderId="12" xfId="543" applyBorder="1" applyAlignment="1">
      <alignment horizontal="left" vertical="center" wrapText="1"/>
    </xf>
    <xf numFmtId="0" fontId="15" fillId="0" borderId="9" xfId="543" applyBorder="1" applyAlignment="1">
      <alignment horizontal="left" vertical="center" wrapText="1"/>
    </xf>
    <xf numFmtId="0" fontId="15" fillId="0" borderId="6" xfId="543" applyBorder="1" applyAlignment="1">
      <alignment horizontal="left" vertical="center" wrapText="1"/>
    </xf>
    <xf numFmtId="0" fontId="15" fillId="0" borderId="10" xfId="543" applyBorder="1" applyAlignment="1">
      <alignment horizontal="left" vertical="center" wrapText="1"/>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8" fontId="22" fillId="0" borderId="3" xfId="543" applyNumberFormat="1" applyFont="1" applyBorder="1" applyAlignment="1">
      <alignment horizontal="center" vertical="center"/>
    </xf>
    <xf numFmtId="168" fontId="22" fillId="0" borderId="4" xfId="543" applyNumberFormat="1" applyFont="1" applyBorder="1" applyAlignment="1">
      <alignment horizontal="center" vertical="center"/>
    </xf>
    <xf numFmtId="168" fontId="22" fillId="0" borderId="5" xfId="543" applyNumberFormat="1" applyFont="1" applyBorder="1" applyAlignment="1">
      <alignment horizontal="center" vertical="center"/>
    </xf>
    <xf numFmtId="0" fontId="34" fillId="0" borderId="3" xfId="543" applyFont="1" applyBorder="1" applyAlignment="1">
      <alignment horizontal="center"/>
    </xf>
    <xf numFmtId="0" fontId="34" fillId="0" borderId="5" xfId="543" applyFont="1" applyBorder="1" applyAlignment="1">
      <alignment horizontal="center"/>
    </xf>
    <xf numFmtId="0" fontId="22" fillId="0" borderId="3" xfId="543" applyFont="1" applyBorder="1" applyAlignment="1">
      <alignment horizontal="right"/>
    </xf>
    <xf numFmtId="0" fontId="22" fillId="0" borderId="4" xfId="543" applyFont="1" applyBorder="1" applyAlignment="1">
      <alignment horizontal="right"/>
    </xf>
    <xf numFmtId="0" fontId="22" fillId="0" borderId="5" xfId="543" applyFont="1" applyBorder="1" applyAlignment="1">
      <alignment horizontal="right"/>
    </xf>
    <xf numFmtId="0" fontId="15" fillId="5" borderId="3" xfId="543"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35" fillId="0" borderId="4" xfId="543" applyFont="1" applyBorder="1" applyAlignment="1">
      <alignment horizontal="right" vertical="top" wrapText="1"/>
    </xf>
    <xf numFmtId="0" fontId="35" fillId="0" borderId="5" xfId="543" applyFont="1" applyBorder="1" applyAlignment="1">
      <alignment horizontal="right" vertical="top" wrapText="1"/>
    </xf>
    <xf numFmtId="0" fontId="23" fillId="0" borderId="3" xfId="543" applyFont="1" applyBorder="1" applyAlignment="1">
      <alignment horizontal="center"/>
    </xf>
    <xf numFmtId="0" fontId="23" fillId="0" borderId="5" xfId="543" applyFont="1" applyBorder="1" applyAlignment="1">
      <alignment horizontal="center"/>
    </xf>
    <xf numFmtId="1" fontId="23" fillId="0" borderId="3" xfId="543" applyNumberFormat="1" applyFont="1" applyBorder="1" applyAlignment="1">
      <alignment horizontal="center"/>
    </xf>
    <xf numFmtId="1" fontId="23" fillId="0" borderId="5" xfId="543" applyNumberFormat="1" applyFont="1" applyBorder="1" applyAlignment="1">
      <alignment horizontal="center"/>
    </xf>
    <xf numFmtId="0" fontId="34" fillId="5" borderId="9" xfId="543" applyFont="1" applyFill="1" applyBorder="1" applyAlignment="1" applyProtection="1">
      <alignment horizontal="center"/>
      <protection locked="0"/>
    </xf>
    <xf numFmtId="0" fontId="34" fillId="5" borderId="10" xfId="543" applyFont="1" applyFill="1" applyBorder="1" applyAlignment="1" applyProtection="1">
      <alignment horizontal="center"/>
      <protection locked="0"/>
    </xf>
    <xf numFmtId="0" fontId="22" fillId="0" borderId="1" xfId="0" applyFont="1" applyBorder="1" applyAlignment="1">
      <alignment horizontal="center" wrapText="1"/>
    </xf>
    <xf numFmtId="0" fontId="22" fillId="0" borderId="2" xfId="0" applyFont="1" applyBorder="1" applyAlignment="1">
      <alignment horizontal="center" wrapText="1"/>
    </xf>
    <xf numFmtId="168" fontId="15"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lignment horizontal="left"/>
    </xf>
    <xf numFmtId="0" fontId="0" fillId="0" borderId="4" xfId="0" applyBorder="1" applyAlignment="1">
      <alignment horizontal="left"/>
    </xf>
    <xf numFmtId="0" fontId="24" fillId="0" borderId="3" xfId="0" applyFont="1" applyBorder="1" applyAlignment="1">
      <alignment horizontal="left"/>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5" fillId="43" borderId="11" xfId="0" applyFont="1" applyFill="1" applyBorder="1" applyAlignment="1" applyProtection="1">
      <alignment horizontal="center"/>
      <protection locked="0"/>
    </xf>
    <xf numFmtId="0" fontId="24" fillId="5" borderId="6" xfId="271" applyFill="1" applyBorder="1" applyProtection="1">
      <protection locked="0"/>
    </xf>
    <xf numFmtId="0" fontId="24" fillId="5" borderId="6" xfId="0" applyFont="1" applyFill="1" applyBorder="1" applyAlignment="1" applyProtection="1">
      <alignment horizontal="center"/>
      <protection locked="0"/>
    </xf>
    <xf numFmtId="1" fontId="15" fillId="0" borderId="3" xfId="0" applyNumberFormat="1" applyFont="1" applyBorder="1" applyAlignment="1">
      <alignment horizontal="center"/>
    </xf>
    <xf numFmtId="1" fontId="24" fillId="0" borderId="4" xfId="0" applyNumberFormat="1" applyFont="1" applyBorder="1" applyAlignment="1">
      <alignment horizontal="center"/>
    </xf>
    <xf numFmtId="1" fontId="24" fillId="0" borderId="5" xfId="0" applyNumberFormat="1" applyFont="1" applyBorder="1" applyAlignment="1">
      <alignment horizontal="center"/>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2" fillId="0" borderId="0" xfId="0" applyFont="1" applyAlignment="1">
      <alignment horizontal="center" vertical="center"/>
    </xf>
    <xf numFmtId="0" fontId="22" fillId="0" borderId="3" xfId="0" applyFont="1" applyBorder="1" applyAlignment="1">
      <alignment horizontal="right"/>
    </xf>
    <xf numFmtId="0" fontId="22" fillId="0" borderId="4" xfId="0" applyFont="1" applyBorder="1" applyAlignment="1">
      <alignment horizontal="right"/>
    </xf>
    <xf numFmtId="0" fontId="22" fillId="0" borderId="5" xfId="0" applyFont="1" applyBorder="1" applyAlignment="1">
      <alignment horizontal="right"/>
    </xf>
    <xf numFmtId="165" fontId="22" fillId="0" borderId="3" xfId="271" applyNumberFormat="1" applyFont="1" applyBorder="1" applyAlignment="1">
      <alignment horizontal="center"/>
    </xf>
    <xf numFmtId="165" fontId="22" fillId="0" borderId="4" xfId="271" applyNumberFormat="1" applyFont="1" applyBorder="1" applyAlignment="1">
      <alignment horizontal="center"/>
    </xf>
    <xf numFmtId="165" fontId="22" fillId="0" borderId="5" xfId="271" applyNumberFormat="1" applyFont="1" applyBorder="1" applyAlignment="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15" fillId="5" borderId="3" xfId="0" applyNumberFormat="1" applyFont="1" applyFill="1" applyBorder="1" applyAlignment="1" applyProtection="1">
      <alignment horizontal="right"/>
      <protection locked="0"/>
    </xf>
    <xf numFmtId="0" fontId="22" fillId="5" borderId="3" xfId="0" applyFont="1" applyFill="1" applyBorder="1" applyAlignment="1" applyProtection="1">
      <alignment horizontal="right"/>
      <protection locked="0"/>
    </xf>
    <xf numFmtId="0" fontId="22" fillId="5" borderId="4" xfId="0" applyFont="1" applyFill="1" applyBorder="1" applyAlignment="1" applyProtection="1">
      <alignment horizontal="right"/>
      <protection locked="0"/>
    </xf>
    <xf numFmtId="0" fontId="22" fillId="5" borderId="5" xfId="0" applyFont="1" applyFill="1" applyBorder="1" applyAlignment="1" applyProtection="1">
      <alignment horizontal="right"/>
      <protection locked="0"/>
    </xf>
    <xf numFmtId="168" fontId="0" fillId="0" borderId="11" xfId="0" applyNumberFormat="1" applyBorder="1" applyAlignment="1">
      <alignment horizontal="center"/>
    </xf>
    <xf numFmtId="168" fontId="15" fillId="5" borderId="10" xfId="0" applyNumberFormat="1" applyFont="1" applyFill="1" applyBorder="1" applyAlignment="1" applyProtection="1">
      <alignment horizontal="right"/>
      <protection locked="0"/>
    </xf>
    <xf numFmtId="168" fontId="15" fillId="5" borderId="13" xfId="0" applyNumberFormat="1" applyFont="1" applyFill="1" applyBorder="1" applyAlignment="1" applyProtection="1">
      <alignment horizontal="right"/>
      <protection locked="0"/>
    </xf>
    <xf numFmtId="0" fontId="22" fillId="0" borderId="7" xfId="0" applyFont="1" applyBorder="1" applyAlignment="1">
      <alignment horizontal="center" wrapText="1"/>
    </xf>
    <xf numFmtId="0" fontId="15" fillId="0" borderId="0" xfId="543" applyAlignment="1">
      <alignment horizontal="center"/>
    </xf>
    <xf numFmtId="0" fontId="34" fillId="5" borderId="3" xfId="543" applyFont="1" applyFill="1" applyBorder="1" applyAlignment="1">
      <alignment horizontal="center"/>
    </xf>
    <xf numFmtId="0" fontId="34" fillId="5" borderId="4" xfId="543" applyFont="1" applyFill="1" applyBorder="1" applyAlignment="1">
      <alignment horizontal="center"/>
    </xf>
    <xf numFmtId="0" fontId="34" fillId="5" borderId="5" xfId="543" applyFont="1" applyFill="1" applyBorder="1" applyAlignment="1">
      <alignment horizontal="center"/>
    </xf>
    <xf numFmtId="49" fontId="15" fillId="5" borderId="3" xfId="543" applyNumberFormat="1" applyFill="1" applyBorder="1" applyAlignment="1">
      <alignment horizontal="center"/>
    </xf>
    <xf numFmtId="49" fontId="15" fillId="5" borderId="5" xfId="543" applyNumberFormat="1" applyFill="1" applyBorder="1" applyAlignment="1">
      <alignment horizontal="center"/>
    </xf>
    <xf numFmtId="2" fontId="15" fillId="0" borderId="0" xfId="543" applyNumberFormat="1" applyAlignment="1">
      <alignment horizontal="center"/>
    </xf>
    <xf numFmtId="0" fontId="22" fillId="0" borderId="6" xfId="0" applyFon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9" fontId="15" fillId="0" borderId="0" xfId="543" applyNumberFormat="1" applyAlignment="1">
      <alignment horizontal="center" vertical="center"/>
    </xf>
    <xf numFmtId="0" fontId="23" fillId="5" borderId="3" xfId="0" applyFont="1" applyFill="1" applyBorder="1" applyAlignment="1" applyProtection="1">
      <alignment horizontal="left"/>
      <protection locked="0"/>
    </xf>
    <xf numFmtId="0" fontId="23" fillId="5" borderId="4" xfId="0" applyFont="1" applyFill="1" applyBorder="1" applyAlignment="1" applyProtection="1">
      <alignment horizontal="left"/>
      <protection locked="0"/>
    </xf>
    <xf numFmtId="0" fontId="23" fillId="5" borderId="5" xfId="0" applyFont="1" applyFill="1" applyBorder="1" applyAlignment="1" applyProtection="1">
      <alignment horizontal="left"/>
      <protection locked="0"/>
    </xf>
    <xf numFmtId="0" fontId="52" fillId="5" borderId="3" xfId="0" applyFont="1" applyFill="1" applyBorder="1" applyAlignment="1" applyProtection="1">
      <alignment horizontal="center"/>
      <protection locked="0"/>
    </xf>
    <xf numFmtId="0" fontId="52" fillId="5" borderId="4" xfId="0" applyFont="1" applyFill="1" applyBorder="1" applyAlignment="1" applyProtection="1">
      <alignment horizontal="center"/>
      <protection locked="0"/>
    </xf>
    <xf numFmtId="0" fontId="52" fillId="5" borderId="5" xfId="0" applyFont="1" applyFill="1" applyBorder="1" applyAlignment="1" applyProtection="1">
      <alignment horizontal="center"/>
      <protection locked="0"/>
    </xf>
    <xf numFmtId="0" fontId="22" fillId="0" borderId="2" xfId="0" applyFont="1" applyBorder="1" applyAlignment="1">
      <alignment horizontal="right"/>
    </xf>
    <xf numFmtId="0" fontId="22" fillId="0" borderId="7" xfId="0" applyFont="1" applyBorder="1" applyAlignment="1">
      <alignment horizontal="right"/>
    </xf>
    <xf numFmtId="171" fontId="15" fillId="0" borderId="0" xfId="543" applyNumberFormat="1" applyAlignment="1">
      <alignment horizontal="center"/>
    </xf>
    <xf numFmtId="0" fontId="15" fillId="5" borderId="3" xfId="0" applyFont="1" applyFill="1" applyBorder="1" applyProtection="1">
      <protection locked="0"/>
    </xf>
    <xf numFmtId="0" fontId="24" fillId="0" borderId="4" xfId="0" applyFont="1" applyBorder="1" applyProtection="1">
      <protection locked="0"/>
    </xf>
    <xf numFmtId="0" fontId="24" fillId="0" borderId="5" xfId="0" applyFont="1" applyBorder="1" applyProtection="1">
      <protection locked="0"/>
    </xf>
    <xf numFmtId="168" fontId="24" fillId="5" borderId="6" xfId="0" applyNumberFormat="1" applyFont="1" applyFill="1" applyBorder="1" applyAlignment="1" applyProtection="1">
      <alignment horizontal="right"/>
      <protection locked="0"/>
    </xf>
    <xf numFmtId="168" fontId="24"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4" fillId="5" borderId="4" xfId="0" applyFont="1" applyFill="1" applyBorder="1" applyAlignment="1" applyProtection="1">
      <alignment horizontal="right"/>
      <protection locked="0"/>
    </xf>
    <xf numFmtId="14" fontId="24" fillId="5" borderId="4" xfId="0" applyNumberFormat="1" applyFont="1" applyFill="1" applyBorder="1" applyAlignment="1" applyProtection="1">
      <alignment horizontal="righ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49" fontId="0" fillId="5" borderId="6"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22" fillId="0" borderId="1" xfId="0" applyFont="1" applyBorder="1" applyAlignment="1">
      <alignment horizontal="center" vertical="center" wrapText="1"/>
    </xf>
    <xf numFmtId="0" fontId="22" fillId="0" borderId="2" xfId="0" applyFont="1" applyBorder="1" applyAlignment="1">
      <alignment horizontal="center" vertical="center" wrapText="1"/>
    </xf>
    <xf numFmtId="0" fontId="22" fillId="0" borderId="7" xfId="0" applyFont="1" applyBorder="1" applyAlignment="1">
      <alignment horizontal="center" vertical="center" wrapText="1"/>
    </xf>
    <xf numFmtId="0" fontId="22" fillId="0" borderId="8" xfId="0" applyFont="1" applyBorder="1" applyAlignment="1">
      <alignment horizontal="center" vertical="center" wrapText="1"/>
    </xf>
    <xf numFmtId="0" fontId="22" fillId="0" borderId="0" xfId="0" applyFont="1" applyAlignment="1">
      <alignment horizontal="center" vertical="center" wrapText="1"/>
    </xf>
    <xf numFmtId="0" fontId="22" fillId="0" borderId="12" xfId="0" applyFont="1" applyBorder="1" applyAlignment="1">
      <alignment horizontal="center" vertical="center" wrapText="1"/>
    </xf>
    <xf numFmtId="0" fontId="22" fillId="0" borderId="9" xfId="0" applyFont="1" applyBorder="1" applyAlignment="1">
      <alignment horizontal="center" vertical="center" wrapText="1"/>
    </xf>
    <xf numFmtId="0" fontId="22" fillId="0" borderId="6" xfId="0" applyFont="1" applyBorder="1" applyAlignment="1">
      <alignment horizontal="center" vertical="center" wrapText="1"/>
    </xf>
    <xf numFmtId="0" fontId="22" fillId="0" borderId="10" xfId="0" applyFont="1" applyBorder="1" applyAlignment="1">
      <alignment horizontal="center" vertical="center" wrapText="1"/>
    </xf>
    <xf numFmtId="0" fontId="15" fillId="0" borderId="3" xfId="0" applyFont="1" applyBorder="1" applyAlignment="1">
      <alignment horizontal="left"/>
    </xf>
    <xf numFmtId="0" fontId="15" fillId="0" borderId="4" xfId="0" applyFont="1" applyBorder="1" applyAlignment="1">
      <alignment horizontal="left"/>
    </xf>
    <xf numFmtId="0" fontId="15" fillId="0" borderId="5" xfId="0" applyFont="1" applyBorder="1" applyAlignment="1">
      <alignment horizontal="left"/>
    </xf>
    <xf numFmtId="166" fontId="24" fillId="5" borderId="6" xfId="0" applyNumberFormat="1" applyFont="1" applyFill="1" applyBorder="1" applyAlignment="1" applyProtection="1">
      <alignment horizontal="left"/>
      <protection locked="0"/>
    </xf>
    <xf numFmtId="175" fontId="15" fillId="43" borderId="3" xfId="0" applyNumberFormat="1" applyFont="1" applyFill="1" applyBorder="1" applyAlignment="1" applyProtection="1">
      <alignment horizontal="center" vertical="center"/>
      <protection locked="0"/>
    </xf>
    <xf numFmtId="175" fontId="15" fillId="43" borderId="4" xfId="0" applyNumberFormat="1" applyFont="1" applyFill="1" applyBorder="1" applyAlignment="1" applyProtection="1">
      <alignment horizontal="center" vertical="center"/>
      <protection locked="0"/>
    </xf>
    <xf numFmtId="175" fontId="15" fillId="43" borderId="5" xfId="0" applyNumberFormat="1" applyFont="1" applyFill="1" applyBorder="1" applyAlignment="1" applyProtection="1">
      <alignment horizontal="center" vertical="center"/>
      <protection locked="0"/>
    </xf>
    <xf numFmtId="1" fontId="24" fillId="5" borderId="3" xfId="0" applyNumberFormat="1" applyFont="1" applyFill="1" applyBorder="1" applyAlignment="1" applyProtection="1">
      <alignment horizontal="right" vertical="top"/>
      <protection locked="0"/>
    </xf>
    <xf numFmtId="1" fontId="24" fillId="5" borderId="4" xfId="0" applyNumberFormat="1" applyFont="1" applyFill="1" applyBorder="1" applyAlignment="1" applyProtection="1">
      <alignment horizontal="right" vertical="top"/>
      <protection locked="0"/>
    </xf>
    <xf numFmtId="1" fontId="24" fillId="5" borderId="5" xfId="0" applyNumberFormat="1" applyFont="1" applyFill="1" applyBorder="1" applyAlignment="1" applyProtection="1">
      <alignment horizontal="right" vertical="top"/>
      <protection locked="0"/>
    </xf>
    <xf numFmtId="0" fontId="15" fillId="5" borderId="11" xfId="0" applyFont="1" applyFill="1" applyBorder="1" applyAlignment="1" applyProtection="1">
      <alignment horizontal="left" vertical="center" wrapText="1"/>
      <protection locked="0"/>
    </xf>
    <xf numFmtId="0" fontId="15"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168" fontId="15" fillId="43" borderId="3" xfId="0" applyNumberFormat="1" applyFont="1" applyFill="1" applyBorder="1" applyAlignment="1" applyProtection="1">
      <alignment horizontal="center" vertical="center"/>
      <protection locked="0"/>
    </xf>
    <xf numFmtId="168" fontId="15" fillId="43" borderId="4" xfId="0" applyNumberFormat="1" applyFont="1" applyFill="1" applyBorder="1" applyAlignment="1" applyProtection="1">
      <alignment horizontal="center" vertical="center"/>
      <protection locked="0"/>
    </xf>
    <xf numFmtId="168" fontId="15" fillId="43" borderId="5" xfId="0" applyNumberFormat="1" applyFont="1" applyFill="1" applyBorder="1" applyAlignment="1" applyProtection="1">
      <alignment horizontal="center" vertical="center"/>
      <protection locked="0"/>
    </xf>
    <xf numFmtId="0" fontId="15" fillId="5" borderId="3" xfId="0" applyFont="1" applyFill="1" applyBorder="1" applyAlignment="1" applyProtection="1">
      <alignment vertical="center" wrapText="1"/>
      <protection locked="0"/>
    </xf>
    <xf numFmtId="0" fontId="15" fillId="5" borderId="4" xfId="0" applyFont="1" applyFill="1" applyBorder="1" applyAlignment="1" applyProtection="1">
      <alignment vertical="center" wrapText="1"/>
      <protection locked="0"/>
    </xf>
    <xf numFmtId="0" fontId="15" fillId="5" borderId="5" xfId="0" applyFont="1" applyFill="1" applyBorder="1" applyAlignment="1" applyProtection="1">
      <alignment vertical="center" wrapText="1"/>
      <protection locked="0"/>
    </xf>
    <xf numFmtId="0" fontId="15" fillId="5" borderId="3" xfId="0" applyFont="1" applyFill="1" applyBorder="1" applyAlignment="1" applyProtection="1">
      <alignment horizontal="left" vertical="center" wrapText="1"/>
      <protection locked="0"/>
    </xf>
    <xf numFmtId="0" fontId="15" fillId="5" borderId="4" xfId="0" applyFont="1" applyFill="1" applyBorder="1" applyAlignment="1" applyProtection="1">
      <alignment horizontal="left" vertical="center" wrapText="1"/>
      <protection locked="0"/>
    </xf>
    <xf numFmtId="0" fontId="15" fillId="5" borderId="5" xfId="0" applyFont="1" applyFill="1" applyBorder="1" applyAlignment="1" applyProtection="1">
      <alignment horizontal="left" vertical="center" wrapText="1"/>
      <protection locked="0"/>
    </xf>
    <xf numFmtId="3" fontId="24" fillId="5" borderId="11" xfId="0" applyNumberFormat="1" applyFont="1" applyFill="1" applyBorder="1" applyAlignment="1" applyProtection="1">
      <alignment horizontal="center"/>
      <protection locked="0"/>
    </xf>
    <xf numFmtId="0" fontId="15" fillId="5" borderId="1" xfId="569" applyFill="1" applyBorder="1" applyAlignment="1" applyProtection="1">
      <alignment horizontal="left" vertical="top" wrapText="1"/>
      <protection locked="0"/>
    </xf>
    <xf numFmtId="0" fontId="15" fillId="5" borderId="2" xfId="569" applyFill="1" applyBorder="1" applyAlignment="1" applyProtection="1">
      <alignment horizontal="left" vertical="top"/>
      <protection locked="0"/>
    </xf>
    <xf numFmtId="0" fontId="15" fillId="5" borderId="7" xfId="569" applyFill="1" applyBorder="1" applyAlignment="1" applyProtection="1">
      <alignment horizontal="left" vertical="top"/>
      <protection locked="0"/>
    </xf>
    <xf numFmtId="0" fontId="15" fillId="5" borderId="9" xfId="569" applyFill="1" applyBorder="1" applyAlignment="1" applyProtection="1">
      <alignment horizontal="left" vertical="top"/>
      <protection locked="0"/>
    </xf>
    <xf numFmtId="0" fontId="15" fillId="5" borderId="6" xfId="569" applyFill="1" applyBorder="1" applyAlignment="1" applyProtection="1">
      <alignment horizontal="left" vertical="top"/>
      <protection locked="0"/>
    </xf>
    <xf numFmtId="0" fontId="15" fillId="5" borderId="10" xfId="569" applyFill="1" applyBorder="1" applyAlignment="1" applyProtection="1">
      <alignment horizontal="left" vertical="top"/>
      <protection locked="0"/>
    </xf>
    <xf numFmtId="0" fontId="24" fillId="5" borderId="9" xfId="0" applyFont="1" applyFill="1" applyBorder="1" applyAlignment="1" applyProtection="1">
      <alignment horizontal="center"/>
      <protection locked="0"/>
    </xf>
    <xf numFmtId="0" fontId="15"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80" fontId="23" fillId="43" borderId="3" xfId="0" applyNumberFormat="1" applyFont="1" applyFill="1" applyBorder="1" applyAlignment="1" applyProtection="1">
      <alignment horizontal="center" vertical="center"/>
      <protection locked="0"/>
    </xf>
    <xf numFmtId="180" fontId="23" fillId="43" borderId="4" xfId="0" applyNumberFormat="1" applyFont="1" applyFill="1" applyBorder="1" applyAlignment="1" applyProtection="1">
      <alignment horizontal="center" vertical="center"/>
      <protection locked="0"/>
    </xf>
    <xf numFmtId="180" fontId="23" fillId="43" borderId="5" xfId="0" applyNumberFormat="1" applyFont="1" applyFill="1" applyBorder="1" applyAlignment="1" applyProtection="1">
      <alignment horizontal="center" vertical="center"/>
      <protection locked="0"/>
    </xf>
    <xf numFmtId="0" fontId="31" fillId="0" borderId="1" xfId="0" applyFont="1" applyBorder="1" applyAlignment="1">
      <alignment horizontal="center" vertical="center" wrapText="1"/>
    </xf>
    <xf numFmtId="0" fontId="31" fillId="0" borderId="2" xfId="0" applyFont="1" applyBorder="1" applyAlignment="1">
      <alignment horizontal="center" vertical="center" wrapText="1"/>
    </xf>
    <xf numFmtId="0" fontId="31" fillId="0" borderId="7" xfId="0" applyFont="1" applyBorder="1" applyAlignment="1">
      <alignment horizontal="center" vertical="center" wrapText="1"/>
    </xf>
    <xf numFmtId="0" fontId="31" fillId="0" borderId="8" xfId="0" applyFont="1" applyBorder="1" applyAlignment="1">
      <alignment horizontal="center" vertical="center" wrapText="1"/>
    </xf>
    <xf numFmtId="0" fontId="31" fillId="0" borderId="0" xfId="0" applyFont="1" applyAlignment="1">
      <alignment horizontal="center" vertical="center" wrapText="1"/>
    </xf>
    <xf numFmtId="0" fontId="31" fillId="0" borderId="12" xfId="0" applyFont="1" applyBorder="1" applyAlignment="1">
      <alignment horizontal="center" vertical="center" wrapText="1"/>
    </xf>
    <xf numFmtId="0" fontId="31" fillId="0" borderId="9"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10" xfId="0" applyFont="1" applyBorder="1" applyAlignment="1">
      <alignment horizontal="center" vertical="center" wrapText="1"/>
    </xf>
    <xf numFmtId="0" fontId="22" fillId="0" borderId="11" xfId="0" applyFont="1" applyBorder="1" applyAlignment="1">
      <alignment horizontal="center" vertical="center"/>
    </xf>
    <xf numFmtId="0" fontId="22" fillId="0" borderId="9" xfId="0" applyFont="1" applyBorder="1" applyAlignment="1">
      <alignment horizontal="right"/>
    </xf>
    <xf numFmtId="0" fontId="22" fillId="0" borderId="6" xfId="0" applyFont="1" applyBorder="1" applyAlignment="1">
      <alignment horizontal="right"/>
    </xf>
    <xf numFmtId="0" fontId="22" fillId="0" borderId="10" xfId="0" applyFont="1" applyBorder="1" applyAlignment="1">
      <alignment horizontal="right"/>
    </xf>
    <xf numFmtId="0" fontId="0" fillId="5" borderId="3" xfId="0" applyFill="1" applyBorder="1" applyAlignment="1" applyProtection="1">
      <alignment horizontal="left"/>
      <protection locked="0"/>
    </xf>
    <xf numFmtId="0" fontId="0" fillId="0" borderId="9" xfId="0" applyBorder="1" applyAlignment="1">
      <alignment horizontal="left"/>
    </xf>
    <xf numFmtId="168" fontId="15" fillId="5" borderId="3" xfId="0" applyNumberFormat="1" applyFont="1" applyFill="1" applyBorder="1" applyAlignment="1" applyProtection="1">
      <alignment horizontal="left"/>
      <protection locked="0"/>
    </xf>
    <xf numFmtId="168" fontId="15" fillId="5" borderId="4" xfId="0" applyNumberFormat="1" applyFont="1" applyFill="1" applyBorder="1" applyAlignment="1" applyProtection="1">
      <alignment horizontal="left"/>
      <protection locked="0"/>
    </xf>
    <xf numFmtId="168" fontId="15" fillId="5" borderId="5" xfId="0" applyNumberFormat="1" applyFont="1" applyFill="1" applyBorder="1" applyAlignment="1" applyProtection="1">
      <alignment horizontal="left"/>
      <protection locked="0"/>
    </xf>
    <xf numFmtId="168" fontId="0" fillId="0" borderId="11" xfId="0" applyNumberFormat="1" applyBorder="1"/>
    <xf numFmtId="171" fontId="15" fillId="0" borderId="0" xfId="543" applyNumberFormat="1" applyAlignment="1">
      <alignment horizontal="right"/>
    </xf>
    <xf numFmtId="168" fontId="0" fillId="5" borderId="11" xfId="0" applyNumberFormat="1" applyFill="1" applyBorder="1" applyProtection="1">
      <protection locked="0"/>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14" fontId="15" fillId="5" borderId="3" xfId="0" quotePrefix="1" applyNumberFormat="1" applyFont="1" applyFill="1" applyBorder="1" applyAlignment="1" applyProtection="1">
      <alignment horizontal="right"/>
      <protection locked="0"/>
    </xf>
    <xf numFmtId="0" fontId="22"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15" fillId="5" borderId="6" xfId="569" applyFill="1" applyBorder="1" applyAlignment="1" applyProtection="1">
      <alignment horizontal="left"/>
      <protection locked="0"/>
    </xf>
    <xf numFmtId="166" fontId="15" fillId="5" borderId="4" xfId="569" applyNumberFormat="1" applyFill="1" applyBorder="1" applyAlignment="1" applyProtection="1">
      <alignment horizontal="left"/>
      <protection locked="0"/>
    </xf>
    <xf numFmtId="168" fontId="24" fillId="0" borderId="3" xfId="0" applyNumberFormat="1" applyFont="1" applyBorder="1" applyAlignment="1">
      <alignment horizontal="left" vertical="top"/>
    </xf>
    <xf numFmtId="168" fontId="24" fillId="0" borderId="4" xfId="0" applyNumberFormat="1" applyFont="1" applyBorder="1" applyAlignment="1">
      <alignment horizontal="left" vertical="top"/>
    </xf>
    <xf numFmtId="168" fontId="24" fillId="0" borderId="5" xfId="0" applyNumberFormat="1" applyFont="1" applyBorder="1" applyAlignment="1">
      <alignment horizontal="left" vertical="top"/>
    </xf>
    <xf numFmtId="172" fontId="0" fillId="5" borderId="6" xfId="0" applyNumberFormat="1" applyFill="1" applyBorder="1" applyAlignment="1" applyProtection="1">
      <alignment horizontal="center"/>
      <protection locked="0"/>
    </xf>
    <xf numFmtId="0" fontId="15" fillId="5" borderId="6" xfId="244" applyFont="1" applyFill="1" applyBorder="1" applyAlignment="1" applyProtection="1">
      <alignment horizontal="left"/>
      <protection locked="0"/>
    </xf>
    <xf numFmtId="0" fontId="0" fillId="5" borderId="6" xfId="0" applyFill="1" applyBorder="1" applyProtection="1">
      <protection locked="0"/>
    </xf>
    <xf numFmtId="0" fontId="15" fillId="0" borderId="4" xfId="0" applyFont="1" applyBorder="1" applyAlignment="1" applyProtection="1">
      <alignment horizontal="left"/>
      <protection locked="0"/>
    </xf>
    <xf numFmtId="0" fontId="24"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9" fontId="0" fillId="43" borderId="6" xfId="0" applyNumberFormat="1" applyFill="1" applyBorder="1" applyAlignment="1" applyProtection="1">
      <alignment horizontal="center"/>
      <protection locked="0"/>
    </xf>
    <xf numFmtId="0" fontId="0" fillId="43" borderId="6" xfId="0" applyFill="1" applyBorder="1" applyAlignment="1" applyProtection="1">
      <alignment horizontal="center"/>
      <protection locked="0"/>
    </xf>
    <xf numFmtId="0" fontId="15" fillId="0" borderId="0" xfId="0" applyFont="1" applyAlignment="1" applyProtection="1">
      <alignment horizontal="left"/>
      <protection locked="0"/>
    </xf>
    <xf numFmtId="0" fontId="0" fillId="5" borderId="6" xfId="0" applyFill="1" applyBorder="1" applyAlignment="1" applyProtection="1">
      <alignment horizontal="right"/>
      <protection locked="0"/>
    </xf>
    <xf numFmtId="0" fontId="0" fillId="0" borderId="0" xfId="0" applyAlignment="1">
      <alignment wrapText="1"/>
    </xf>
    <xf numFmtId="0" fontId="15" fillId="0" borderId="6" xfId="0" applyFont="1" applyBorder="1" applyAlignment="1" applyProtection="1">
      <alignment horizontal="center"/>
      <protection locked="0"/>
    </xf>
    <xf numFmtId="168" fontId="15" fillId="0" borderId="6" xfId="0" applyNumberFormat="1" applyFont="1" applyBorder="1" applyAlignment="1">
      <alignment horizontal="center"/>
    </xf>
    <xf numFmtId="168" fontId="0" fillId="0" borderId="6" xfId="0" applyNumberFormat="1" applyBorder="1" applyAlignment="1">
      <alignment horizontal="center"/>
    </xf>
    <xf numFmtId="166" fontId="15" fillId="5" borderId="6" xfId="271" applyNumberFormat="1" applyFont="1" applyFill="1" applyBorder="1" applyAlignment="1" applyProtection="1">
      <alignment horizontal="left"/>
      <protection locked="0"/>
    </xf>
    <xf numFmtId="166" fontId="24" fillId="5" borderId="6" xfId="271" applyNumberForma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4" fillId="0" borderId="6" xfId="0" applyFont="1" applyBorder="1" applyAlignment="1">
      <alignment horizontal="left" wrapText="1"/>
    </xf>
    <xf numFmtId="0" fontId="15"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9" fontId="23" fillId="0" borderId="3" xfId="4494" applyFont="1" applyBorder="1" applyAlignment="1" applyProtection="1">
      <alignment horizontal="center"/>
    </xf>
    <xf numFmtId="9" fontId="23"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173" fontId="0" fillId="5" borderId="6" xfId="0" applyNumberFormat="1" applyFill="1" applyBorder="1" applyAlignment="1" applyProtection="1">
      <alignment horizontal="center"/>
      <protection locked="0"/>
    </xf>
    <xf numFmtId="0" fontId="15" fillId="0" borderId="6" xfId="0" applyFont="1" applyBorder="1" applyAlignment="1">
      <alignment horizontal="left"/>
    </xf>
    <xf numFmtId="0" fontId="15" fillId="43" borderId="0" xfId="0" applyFont="1" applyFill="1" applyAlignment="1" applyProtection="1">
      <alignment horizontal="left" vertical="center" wrapText="1"/>
      <protection locked="0"/>
    </xf>
    <xf numFmtId="0" fontId="15" fillId="43" borderId="6" xfId="0" applyFont="1" applyFill="1" applyBorder="1" applyAlignment="1" applyProtection="1">
      <alignment horizontal="left" vertical="center" wrapText="1"/>
      <protection locked="0"/>
    </xf>
    <xf numFmtId="0" fontId="23" fillId="43" borderId="6" xfId="0" applyFont="1" applyFill="1" applyBorder="1" applyAlignment="1" applyProtection="1">
      <alignment horizontal="left"/>
      <protection locked="0"/>
    </xf>
    <xf numFmtId="0" fontId="15" fillId="5" borderId="4" xfId="0" applyFont="1" applyFill="1" applyBorder="1" applyAlignment="1" applyProtection="1">
      <alignment horizontal="center"/>
      <protection locked="0"/>
    </xf>
    <xf numFmtId="0" fontId="15" fillId="0" borderId="6" xfId="0" applyFont="1" applyBorder="1" applyAlignment="1" applyProtection="1">
      <alignment horizontal="left"/>
      <protection locked="0"/>
    </xf>
    <xf numFmtId="0" fontId="16" fillId="0" borderId="0" xfId="244" applyFill="1" applyAlignment="1" applyProtection="1">
      <alignment horizontal="left"/>
      <protection locked="0"/>
    </xf>
    <xf numFmtId="0" fontId="168" fillId="0" borderId="0" xfId="0" applyFont="1" applyAlignment="1" applyProtection="1">
      <alignment horizontal="left" vertical="top" wrapText="1"/>
      <protection locked="0"/>
    </xf>
    <xf numFmtId="0" fontId="24" fillId="0" borderId="6" xfId="0" applyFont="1" applyBorder="1" applyAlignment="1">
      <alignment horizontal="left"/>
    </xf>
    <xf numFmtId="166" fontId="15" fillId="5" borderId="6" xfId="0" applyNumberFormat="1" applyFont="1" applyFill="1" applyBorder="1" applyAlignment="1" applyProtection="1">
      <alignment horizontal="left"/>
      <protection locked="0"/>
    </xf>
    <xf numFmtId="166" fontId="24" fillId="5" borderId="4" xfId="271" applyNumberFormat="1" applyFill="1" applyBorder="1" applyAlignment="1" applyProtection="1">
      <alignment horizontal="left"/>
      <protection locked="0"/>
    </xf>
    <xf numFmtId="0" fontId="15" fillId="5" borderId="0" xfId="244" applyFont="1" applyFill="1" applyBorder="1" applyAlignment="1" applyProtection="1">
      <alignment horizontal="left"/>
      <protection locked="0"/>
    </xf>
    <xf numFmtId="0" fontId="15" fillId="0" borderId="3" xfId="271" applyFont="1" applyBorder="1" applyAlignment="1">
      <alignment horizontal="left"/>
    </xf>
    <xf numFmtId="0" fontId="15" fillId="0" borderId="4" xfId="271" applyFont="1" applyBorder="1" applyAlignment="1">
      <alignment horizontal="left"/>
    </xf>
    <xf numFmtId="0" fontId="15" fillId="0" borderId="5" xfId="271"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15" fillId="5" borderId="6" xfId="0" applyFont="1" applyFill="1" applyBorder="1" applyAlignment="1" applyProtection="1">
      <alignment horizontal="center"/>
      <protection locked="0"/>
    </xf>
    <xf numFmtId="178" fontId="24" fillId="5" borderId="4"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5"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0" fillId="0" borderId="5" xfId="0" applyBorder="1" applyAlignment="1">
      <alignment horizontal="left"/>
    </xf>
    <xf numFmtId="168" fontId="24" fillId="0" borderId="11" xfId="0" applyNumberFormat="1" applyFont="1" applyBorder="1" applyAlignment="1">
      <alignment horizontal="center"/>
    </xf>
    <xf numFmtId="168" fontId="24" fillId="5" borderId="3" xfId="0" applyNumberFormat="1" applyFont="1" applyFill="1" applyBorder="1" applyAlignment="1" applyProtection="1">
      <alignment horizontal="left" vertical="top"/>
      <protection locked="0"/>
    </xf>
    <xf numFmtId="168" fontId="24" fillId="5" borderId="4" xfId="0" applyNumberFormat="1" applyFont="1" applyFill="1" applyBorder="1" applyAlignment="1" applyProtection="1">
      <alignment horizontal="left" vertical="top"/>
      <protection locked="0"/>
    </xf>
    <xf numFmtId="168" fontId="24" fillId="5" borderId="5" xfId="0" applyNumberFormat="1" applyFont="1" applyFill="1" applyBorder="1" applyAlignment="1" applyProtection="1">
      <alignment horizontal="left" vertical="top"/>
      <protection locked="0"/>
    </xf>
    <xf numFmtId="168" fontId="15" fillId="0" borderId="3" xfId="0" applyNumberFormat="1" applyFont="1" applyBorder="1" applyAlignment="1">
      <alignment horizontal="left" vertical="top"/>
    </xf>
    <xf numFmtId="0" fontId="0" fillId="0" borderId="12" xfId="0" applyBorder="1" applyAlignment="1">
      <alignment horizontal="center"/>
    </xf>
    <xf numFmtId="165" fontId="24" fillId="5" borderId="3" xfId="0" applyNumberFormat="1" applyFont="1" applyFill="1" applyBorder="1" applyAlignment="1" applyProtection="1">
      <alignment horizontal="center"/>
      <protection locked="0"/>
    </xf>
    <xf numFmtId="165" fontId="24" fillId="5" borderId="4" xfId="0" applyNumberFormat="1" applyFont="1" applyFill="1" applyBorder="1" applyAlignment="1" applyProtection="1">
      <alignment horizontal="center"/>
      <protection locked="0"/>
    </xf>
    <xf numFmtId="165" fontId="24"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 fontId="24" fillId="5" borderId="6" xfId="0" applyNumberFormat="1" applyFont="1" applyFill="1" applyBorder="1" applyAlignment="1" applyProtection="1">
      <alignment horizontal="right"/>
      <protection locked="0"/>
    </xf>
    <xf numFmtId="0" fontId="15" fillId="43" borderId="4" xfId="0" applyFont="1" applyFill="1" applyBorder="1" applyAlignment="1" applyProtection="1">
      <alignment horizontal="left" wrapText="1"/>
      <protection locked="0"/>
    </xf>
    <xf numFmtId="0" fontId="0" fillId="0" borderId="6" xfId="0" applyBorder="1" applyAlignment="1" applyProtection="1">
      <alignment horizontal="center"/>
      <protection locked="0"/>
    </xf>
    <xf numFmtId="0" fontId="34" fillId="5" borderId="6" xfId="0" applyFont="1" applyFill="1" applyBorder="1" applyAlignment="1" applyProtection="1">
      <alignment horizontal="left"/>
      <protection locked="0"/>
    </xf>
    <xf numFmtId="10" fontId="24" fillId="0" borderId="11" xfId="0" applyNumberFormat="1" applyFont="1" applyBorder="1" applyAlignment="1">
      <alignment horizontal="center"/>
    </xf>
    <xf numFmtId="0" fontId="24" fillId="5" borderId="0" xfId="0" applyFont="1" applyFill="1" applyAlignment="1" applyProtection="1">
      <alignment horizontal="left" vertical="top" wrapText="1"/>
      <protection locked="0"/>
    </xf>
    <xf numFmtId="0" fontId="24" fillId="5" borderId="6" xfId="0" applyFont="1" applyFill="1" applyBorder="1" applyAlignment="1" applyProtection="1">
      <alignment horizontal="left" vertical="top" wrapText="1"/>
      <protection locked="0"/>
    </xf>
    <xf numFmtId="10" fontId="24" fillId="5" borderId="4" xfId="0" applyNumberFormat="1" applyFont="1" applyFill="1" applyBorder="1" applyAlignment="1" applyProtection="1">
      <alignment horizontal="right"/>
      <protection locked="0"/>
    </xf>
    <xf numFmtId="0" fontId="24" fillId="5" borderId="11" xfId="0"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80" fontId="0" fillId="0" borderId="6" xfId="0" applyNumberFormat="1" applyBorder="1" applyAlignment="1">
      <alignment horizontal="center"/>
    </xf>
    <xf numFmtId="3" fontId="0" fillId="0" borderId="6" xfId="0" applyNumberFormat="1" applyBorder="1" applyAlignment="1">
      <alignment horizontal="right"/>
    </xf>
    <xf numFmtId="0" fontId="22" fillId="0" borderId="10" xfId="0" applyFont="1" applyBorder="1" applyAlignment="1">
      <alignment horizontal="center"/>
    </xf>
    <xf numFmtId="0" fontId="22" fillId="0" borderId="9" xfId="0" applyFont="1" applyBorder="1" applyAlignment="1">
      <alignment horizontal="center"/>
    </xf>
    <xf numFmtId="168" fontId="15" fillId="0" borderId="4" xfId="0" applyNumberFormat="1" applyFont="1" applyBorder="1" applyAlignment="1">
      <alignment horizontal="left" vertical="top"/>
    </xf>
    <xf numFmtId="168" fontId="15" fillId="0" borderId="5" xfId="0" applyNumberFormat="1" applyFont="1" applyBorder="1" applyAlignment="1">
      <alignment horizontal="left" vertical="top"/>
    </xf>
    <xf numFmtId="3" fontId="24" fillId="0" borderId="11" xfId="0" applyNumberFormat="1" applyFont="1" applyBorder="1" applyAlignment="1">
      <alignment horizontal="center"/>
    </xf>
    <xf numFmtId="1" fontId="24" fillId="5" borderId="11" xfId="0" quotePrefix="1" applyNumberFormat="1" applyFont="1" applyFill="1" applyBorder="1" applyAlignment="1" applyProtection="1">
      <alignment horizontal="center"/>
      <protection locked="0"/>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4" fillId="0" borderId="6" xfId="0" applyFont="1" applyBorder="1" applyAlignment="1">
      <alignment vertical="top" wrapText="1"/>
    </xf>
    <xf numFmtId="177" fontId="24" fillId="5" borderId="6" xfId="0" applyNumberFormat="1" applyFont="1" applyFill="1" applyBorder="1" applyAlignment="1" applyProtection="1">
      <alignment horizontal="left" vertical="top" wrapText="1"/>
      <protection locked="0"/>
    </xf>
    <xf numFmtId="0" fontId="24" fillId="0" borderId="2" xfId="0" applyFont="1" applyBorder="1" applyAlignment="1">
      <alignment vertical="top" wrapText="1"/>
    </xf>
    <xf numFmtId="0" fontId="52" fillId="0" borderId="0" xfId="0" applyFont="1" applyAlignment="1">
      <alignment vertical="top" wrapText="1"/>
    </xf>
    <xf numFmtId="0" fontId="24" fillId="0" borderId="2" xfId="0" applyFont="1" applyBorder="1" applyAlignment="1">
      <alignment horizontal="left" vertical="top" wrapText="1"/>
    </xf>
    <xf numFmtId="0" fontId="53" fillId="0" borderId="0" xfId="0" applyFont="1" applyAlignment="1">
      <alignment vertical="top" wrapText="1"/>
    </xf>
    <xf numFmtId="0" fontId="24" fillId="0" borderId="0" xfId="0" applyFont="1" applyAlignment="1">
      <alignment vertical="top" wrapText="1"/>
    </xf>
    <xf numFmtId="0" fontId="24" fillId="0" borderId="6" xfId="0" applyFont="1" applyBorder="1" applyAlignment="1">
      <alignment horizontal="right" vertical="top" wrapText="1"/>
    </xf>
    <xf numFmtId="0" fontId="53" fillId="0" borderId="0" xfId="569" applyFont="1" applyAlignment="1">
      <alignment vertical="top" wrapText="1"/>
    </xf>
    <xf numFmtId="0" fontId="15" fillId="0" borderId="0" xfId="569" applyAlignment="1">
      <alignment horizontal="right" vertical="top" wrapText="1"/>
    </xf>
    <xf numFmtId="0" fontId="21" fillId="3" borderId="3" xfId="0" applyFont="1" applyFill="1" applyBorder="1" applyAlignment="1">
      <alignment horizontal="left" vertical="top"/>
    </xf>
    <xf numFmtId="0" fontId="21" fillId="3" borderId="4" xfId="0" applyFont="1" applyFill="1" applyBorder="1" applyAlignment="1">
      <alignment horizontal="left" vertical="top"/>
    </xf>
    <xf numFmtId="0" fontId="21" fillId="3" borderId="5" xfId="0" applyFont="1" applyFill="1" applyBorder="1" applyAlignment="1">
      <alignment horizontal="left" vertical="top"/>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5" fillId="0" borderId="50" xfId="4495" applyFont="1" applyBorder="1" applyAlignment="1">
      <alignment horizontal="left" vertical="center" wrapText="1"/>
    </xf>
    <xf numFmtId="0" fontId="15" fillId="0" borderId="51" xfId="4495" applyFont="1" applyBorder="1" applyAlignment="1">
      <alignment horizontal="left" vertical="center" wrapText="1"/>
    </xf>
    <xf numFmtId="0" fontId="15" fillId="0" borderId="52" xfId="4495" applyFont="1" applyBorder="1" applyAlignment="1">
      <alignment horizontal="left" vertical="center" wrapText="1"/>
    </xf>
    <xf numFmtId="0" fontId="15" fillId="0" borderId="57" xfId="4495" applyFont="1" applyBorder="1" applyAlignment="1">
      <alignment horizontal="left" vertical="center" wrapText="1"/>
    </xf>
    <xf numFmtId="0" fontId="15" fillId="0" borderId="58" xfId="4495" applyFont="1" applyBorder="1" applyAlignment="1">
      <alignment horizontal="left" vertical="center" wrapText="1"/>
    </xf>
    <xf numFmtId="0" fontId="15" fillId="0" borderId="59" xfId="4495" applyFont="1" applyBorder="1" applyAlignment="1">
      <alignment horizontal="left" vertical="center" wrapText="1"/>
    </xf>
    <xf numFmtId="0" fontId="15" fillId="0" borderId="53" xfId="4495" applyFont="1" applyBorder="1" applyAlignment="1">
      <alignment horizontal="left" vertical="center" wrapText="1"/>
    </xf>
    <xf numFmtId="0" fontId="15" fillId="0" borderId="0" xfId="4495" applyFont="1" applyAlignment="1">
      <alignment horizontal="left" vertical="center" wrapText="1"/>
    </xf>
    <xf numFmtId="0" fontId="15" fillId="0" borderId="54" xfId="4495" applyFont="1" applyBorder="1" applyAlignment="1">
      <alignment horizontal="left" vertical="center" wrapText="1"/>
    </xf>
    <xf numFmtId="0" fontId="22"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1" fillId="3" borderId="2" xfId="4495" applyFont="1" applyFill="1" applyBorder="1" applyAlignment="1">
      <alignment horizontal="center" vertical="center"/>
    </xf>
    <xf numFmtId="0" fontId="21" fillId="3" borderId="16" xfId="4495" applyFont="1" applyFill="1" applyBorder="1" applyAlignment="1">
      <alignment horizontal="center" vertical="center"/>
    </xf>
    <xf numFmtId="0" fontId="22" fillId="0" borderId="48" xfId="4495" applyFont="1" applyBorder="1" applyAlignment="1">
      <alignment horizontal="left" vertical="top"/>
    </xf>
    <xf numFmtId="0" fontId="22" fillId="0" borderId="49" xfId="4495" applyFont="1" applyBorder="1" applyAlignment="1">
      <alignment horizontal="left" vertical="top"/>
    </xf>
    <xf numFmtId="1" fontId="15" fillId="0" borderId="3" xfId="4495" applyNumberFormat="1" applyFont="1" applyBorder="1" applyAlignment="1">
      <alignment horizontal="center"/>
    </xf>
    <xf numFmtId="1" fontId="15" fillId="0" borderId="4" xfId="4495" applyNumberFormat="1" applyFont="1" applyBorder="1" applyAlignment="1">
      <alignment horizontal="center"/>
    </xf>
    <xf numFmtId="1" fontId="15" fillId="0" borderId="5" xfId="4495" applyNumberFormat="1" applyFont="1" applyBorder="1" applyAlignment="1">
      <alignment horizontal="center"/>
    </xf>
    <xf numFmtId="0" fontId="15" fillId="0" borderId="50" xfId="4495" applyFont="1" applyBorder="1" applyAlignment="1">
      <alignment vertical="center" wrapText="1"/>
    </xf>
    <xf numFmtId="0" fontId="15" fillId="0" borderId="51" xfId="4495" applyFont="1" applyBorder="1" applyAlignment="1">
      <alignment vertical="center" wrapText="1"/>
    </xf>
    <xf numFmtId="0" fontId="15" fillId="0" borderId="52" xfId="4495" applyFont="1" applyBorder="1" applyAlignment="1">
      <alignment vertical="center" wrapText="1"/>
    </xf>
    <xf numFmtId="0" fontId="15" fillId="0" borderId="57" xfId="4495" applyFont="1" applyBorder="1" applyAlignment="1">
      <alignment vertical="center" wrapText="1"/>
    </xf>
    <xf numFmtId="0" fontId="15" fillId="0" borderId="58" xfId="4495" applyFont="1" applyBorder="1" applyAlignment="1">
      <alignment vertical="center" wrapText="1"/>
    </xf>
    <xf numFmtId="0" fontId="15"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2" fillId="0" borderId="0" xfId="4495" applyFont="1" applyAlignment="1">
      <alignment horizontal="center" vertical="top"/>
    </xf>
    <xf numFmtId="0" fontId="15"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5" fillId="0" borderId="0" xfId="1192" applyAlignment="1">
      <alignment horizontal="right"/>
    </xf>
    <xf numFmtId="0" fontId="15" fillId="5" borderId="6" xfId="1192" applyFill="1" applyBorder="1" applyAlignment="1" applyProtection="1">
      <alignment horizontal="left"/>
      <protection locked="0"/>
    </xf>
    <xf numFmtId="168" fontId="15" fillId="43" borderId="6" xfId="4495" applyNumberFormat="1" applyFont="1" applyFill="1" applyBorder="1" applyAlignment="1" applyProtection="1">
      <alignment horizontal="right"/>
      <protection locked="0"/>
    </xf>
    <xf numFmtId="9" fontId="15" fillId="0" borderId="6" xfId="1192" applyNumberFormat="1" applyBorder="1" applyAlignment="1">
      <alignment horizontal="center"/>
    </xf>
    <xf numFmtId="9" fontId="15" fillId="0" borderId="6" xfId="1192" quotePrefix="1" applyNumberFormat="1" applyBorder="1" applyAlignment="1">
      <alignment horizontal="center"/>
    </xf>
    <xf numFmtId="9" fontId="15" fillId="0" borderId="0" xfId="1192" quotePrefix="1" applyNumberFormat="1" applyAlignment="1">
      <alignment horizontal="center"/>
    </xf>
    <xf numFmtId="1" fontId="15" fillId="5" borderId="2" xfId="1192" applyNumberFormat="1" applyFill="1" applyBorder="1" applyAlignment="1" applyProtection="1">
      <alignment horizontal="center"/>
      <protection locked="0"/>
    </xf>
    <xf numFmtId="9" fontId="15" fillId="5" borderId="4" xfId="1192" applyNumberFormat="1" applyFill="1" applyBorder="1" applyAlignment="1" applyProtection="1">
      <alignment horizontal="left"/>
      <protection locked="0"/>
    </xf>
    <xf numFmtId="168" fontId="15" fillId="0" borderId="0" xfId="1192" applyNumberFormat="1" applyAlignment="1">
      <alignment horizontal="right"/>
    </xf>
    <xf numFmtId="1" fontId="15"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5" fillId="5" borderId="4" xfId="1192" applyNumberFormat="1" applyFill="1" applyBorder="1" applyAlignment="1" applyProtection="1">
      <alignment horizontal="center"/>
      <protection locked="0"/>
    </xf>
    <xf numFmtId="2" fontId="15" fillId="0" borderId="0" xfId="1192" applyNumberFormat="1" applyAlignment="1">
      <alignment horizontal="right"/>
    </xf>
    <xf numFmtId="0" fontId="23" fillId="5" borderId="6" xfId="4495" applyFont="1" applyFill="1" applyBorder="1" applyAlignment="1" applyProtection="1">
      <alignment horizontal="left"/>
      <protection locked="0"/>
    </xf>
    <xf numFmtId="0" fontId="15" fillId="0" borderId="0" xfId="4495" applyFont="1" applyAlignment="1">
      <alignment horizontal="left"/>
    </xf>
    <xf numFmtId="0" fontId="52" fillId="5" borderId="6" xfId="4495" applyFont="1" applyFill="1" applyBorder="1" applyAlignment="1" applyProtection="1">
      <alignment horizontal="left"/>
      <protection locked="0"/>
    </xf>
    <xf numFmtId="0" fontId="15" fillId="5" borderId="6" xfId="4495" applyFont="1" applyFill="1" applyBorder="1" applyAlignment="1" applyProtection="1">
      <alignment horizontal="center"/>
      <protection locked="0"/>
    </xf>
    <xf numFmtId="1" fontId="15" fillId="0" borderId="11" xfId="4495" applyNumberFormat="1" applyFont="1" applyBorder="1" applyAlignment="1">
      <alignment horizontal="center"/>
    </xf>
    <xf numFmtId="0" fontId="15" fillId="0" borderId="11" xfId="4495" applyFont="1" applyBorder="1" applyAlignment="1">
      <alignment horizontal="center"/>
    </xf>
    <xf numFmtId="0" fontId="119" fillId="5" borderId="6" xfId="4495" applyFill="1" applyBorder="1" applyAlignment="1" applyProtection="1">
      <alignment horizontal="center"/>
      <protection locked="0"/>
    </xf>
    <xf numFmtId="0" fontId="22" fillId="0" borderId="0" xfId="4495" applyFont="1" applyAlignment="1">
      <alignment horizontal="left" vertical="top"/>
    </xf>
    <xf numFmtId="0" fontId="119" fillId="0" borderId="0" xfId="4495" applyAlignment="1" applyProtection="1">
      <alignment horizontal="center"/>
      <protection locked="0"/>
    </xf>
    <xf numFmtId="0" fontId="15" fillId="0" borderId="3" xfId="4495" applyFont="1" applyBorder="1" applyAlignment="1">
      <alignment horizontal="center"/>
    </xf>
    <xf numFmtId="0" fontId="15" fillId="0" borderId="4" xfId="4495" applyFont="1" applyBorder="1" applyAlignment="1">
      <alignment horizontal="center"/>
    </xf>
    <xf numFmtId="0" fontId="15" fillId="0" borderId="5" xfId="4495" applyFont="1" applyBorder="1" applyAlignment="1">
      <alignment horizontal="center"/>
    </xf>
    <xf numFmtId="168" fontId="15" fillId="0" borderId="6" xfId="4496" applyNumberFormat="1" applyFont="1" applyBorder="1" applyAlignment="1">
      <alignment horizontal="center"/>
    </xf>
    <xf numFmtId="9" fontId="15" fillId="0" borderId="4" xfId="543" applyNumberFormat="1" applyBorder="1" applyAlignment="1">
      <alignment horizontal="center"/>
    </xf>
    <xf numFmtId="0" fontId="15" fillId="0" borderId="4" xfId="4496" applyFont="1" applyBorder="1" applyAlignment="1">
      <alignment horizontal="center"/>
    </xf>
    <xf numFmtId="0" fontId="15" fillId="0" borderId="5" xfId="4496" applyFont="1" applyBorder="1" applyAlignment="1">
      <alignment horizontal="center"/>
    </xf>
    <xf numFmtId="168" fontId="15" fillId="0" borderId="6" xfId="4495" applyNumberFormat="1" applyFont="1" applyBorder="1" applyAlignment="1">
      <alignment horizontal="right"/>
    </xf>
    <xf numFmtId="168" fontId="117" fillId="0" borderId="6" xfId="4495" applyNumberFormat="1" applyFont="1" applyBorder="1" applyAlignment="1">
      <alignment horizontal="right"/>
    </xf>
    <xf numFmtId="6" fontId="15" fillId="0" borderId="3" xfId="1192" applyNumberFormat="1" applyBorder="1" applyAlignment="1">
      <alignment horizontal="right"/>
    </xf>
    <xf numFmtId="6" fontId="15" fillId="0" borderId="4" xfId="1192" applyNumberFormat="1" applyBorder="1" applyAlignment="1">
      <alignment horizontal="right"/>
    </xf>
    <xf numFmtId="6" fontId="15" fillId="0" borderId="5" xfId="1192" applyNumberFormat="1" applyBorder="1" applyAlignment="1">
      <alignment horizontal="right"/>
    </xf>
    <xf numFmtId="168" fontId="15" fillId="0" borderId="4" xfId="4495" applyNumberFormat="1" applyFont="1" applyBorder="1" applyAlignment="1">
      <alignment horizontal="right"/>
    </xf>
    <xf numFmtId="165" fontId="15" fillId="43" borderId="3" xfId="4495" applyNumberFormat="1" applyFont="1" applyFill="1" applyBorder="1" applyAlignment="1" applyProtection="1">
      <alignment horizontal="center"/>
      <protection locked="0"/>
    </xf>
    <xf numFmtId="165" fontId="15" fillId="43" borderId="4" xfId="4495" applyNumberFormat="1" applyFont="1" applyFill="1" applyBorder="1" applyAlignment="1" applyProtection="1">
      <alignment horizontal="center"/>
      <protection locked="0"/>
    </xf>
    <xf numFmtId="165" fontId="15" fillId="43" borderId="5" xfId="4495" applyNumberFormat="1" applyFont="1" applyFill="1" applyBorder="1" applyAlignment="1" applyProtection="1">
      <alignment horizontal="center"/>
      <protection locked="0"/>
    </xf>
    <xf numFmtId="165" fontId="15" fillId="0" borderId="6" xfId="1192" applyNumberFormat="1" applyBorder="1" applyAlignment="1">
      <alignment horizontal="right"/>
    </xf>
    <xf numFmtId="168" fontId="15" fillId="0" borderId="2" xfId="1192" applyNumberFormat="1" applyBorder="1" applyAlignment="1">
      <alignment horizontal="right"/>
    </xf>
    <xf numFmtId="165" fontId="15" fillId="0" borderId="0" xfId="1192" applyNumberFormat="1" applyAlignment="1">
      <alignment horizontal="right"/>
    </xf>
    <xf numFmtId="0" fontId="15" fillId="0" borderId="53" xfId="4495" applyFont="1" applyBorder="1" applyAlignment="1">
      <alignment horizontal="left" vertical="top" wrapText="1"/>
    </xf>
    <xf numFmtId="0" fontId="15" fillId="0" borderId="0" xfId="4495" applyFont="1" applyAlignment="1">
      <alignment horizontal="left" vertical="top" wrapText="1"/>
    </xf>
    <xf numFmtId="0" fontId="15" fillId="0" borderId="54" xfId="4495" applyFont="1" applyBorder="1" applyAlignment="1">
      <alignment horizontal="left" vertical="top" wrapText="1"/>
    </xf>
    <xf numFmtId="0" fontId="15" fillId="0" borderId="57" xfId="4495" applyFont="1" applyBorder="1" applyAlignment="1">
      <alignment horizontal="left" vertical="top" wrapText="1"/>
    </xf>
    <xf numFmtId="0" fontId="15" fillId="0" borderId="58" xfId="4495" applyFont="1" applyBorder="1" applyAlignment="1">
      <alignment horizontal="left" vertical="top" wrapText="1"/>
    </xf>
    <xf numFmtId="0" fontId="15" fillId="0" borderId="59" xfId="4495" applyFont="1" applyBorder="1" applyAlignment="1">
      <alignment horizontal="left" vertical="top" wrapText="1"/>
    </xf>
    <xf numFmtId="0" fontId="15" fillId="0" borderId="50" xfId="4495" applyFont="1" applyBorder="1" applyAlignment="1">
      <alignment horizontal="left" vertical="top" wrapText="1"/>
    </xf>
    <xf numFmtId="0" fontId="15" fillId="0" borderId="51" xfId="4495" applyFont="1" applyBorder="1" applyAlignment="1">
      <alignment horizontal="left" vertical="top" wrapText="1"/>
    </xf>
    <xf numFmtId="0" fontId="15" fillId="0" borderId="52" xfId="4495" applyFont="1" applyBorder="1" applyAlignment="1">
      <alignment horizontal="left" vertical="top" wrapText="1"/>
    </xf>
    <xf numFmtId="0" fontId="22" fillId="0" borderId="0" xfId="4495" applyFont="1"/>
    <xf numFmtId="0" fontId="15" fillId="43" borderId="53" xfId="4495" applyFont="1" applyFill="1" applyBorder="1" applyAlignment="1" applyProtection="1">
      <alignment vertical="top" wrapText="1"/>
      <protection locked="0"/>
    </xf>
    <xf numFmtId="0" fontId="15" fillId="43" borderId="0" xfId="4495" applyFont="1" applyFill="1" applyAlignment="1" applyProtection="1">
      <alignment vertical="top" wrapText="1"/>
      <protection locked="0"/>
    </xf>
    <xf numFmtId="0" fontId="15" fillId="43" borderId="54" xfId="4495" applyFont="1" applyFill="1" applyBorder="1" applyAlignment="1" applyProtection="1">
      <alignment vertical="top" wrapText="1"/>
      <protection locked="0"/>
    </xf>
    <xf numFmtId="0" fontId="15" fillId="43" borderId="55" xfId="4495" applyFont="1" applyFill="1" applyBorder="1" applyAlignment="1" applyProtection="1">
      <alignment vertical="top" wrapText="1"/>
      <protection locked="0"/>
    </xf>
    <xf numFmtId="0" fontId="15" fillId="43" borderId="6" xfId="4495" applyFont="1" applyFill="1" applyBorder="1" applyAlignment="1" applyProtection="1">
      <alignment vertical="top" wrapText="1"/>
      <protection locked="0"/>
    </xf>
    <xf numFmtId="0" fontId="15" fillId="43" borderId="56" xfId="4495" applyFont="1" applyFill="1" applyBorder="1" applyAlignment="1" applyProtection="1">
      <alignment vertical="top" wrapText="1"/>
      <protection locked="0"/>
    </xf>
    <xf numFmtId="0" fontId="15" fillId="43" borderId="0" xfId="4495" applyFont="1" applyFill="1" applyAlignment="1" applyProtection="1">
      <alignment horizontal="left" vertical="center" wrapText="1"/>
      <protection locked="0"/>
    </xf>
    <xf numFmtId="0" fontId="15" fillId="43" borderId="54" xfId="4495" applyFont="1" applyFill="1" applyBorder="1" applyAlignment="1" applyProtection="1">
      <alignment horizontal="left" vertical="center" wrapText="1"/>
      <protection locked="0"/>
    </xf>
    <xf numFmtId="0" fontId="15" fillId="43" borderId="6" xfId="4495" applyFont="1" applyFill="1" applyBorder="1" applyAlignment="1" applyProtection="1">
      <alignment horizontal="left" vertical="center" wrapText="1"/>
      <protection locked="0"/>
    </xf>
    <xf numFmtId="0" fontId="15"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2" fillId="0" borderId="0" xfId="4495" applyFont="1" applyAlignment="1">
      <alignment horizontal="center"/>
    </xf>
    <xf numFmtId="0" fontId="22" fillId="0" borderId="54" xfId="4495" applyFont="1" applyBorder="1" applyAlignment="1">
      <alignment horizontal="center"/>
    </xf>
    <xf numFmtId="0" fontId="23" fillId="0" borderId="51" xfId="4495" applyFont="1" applyBorder="1" applyAlignment="1">
      <alignment horizontal="left" vertical="top" wrapText="1"/>
    </xf>
    <xf numFmtId="0" fontId="23" fillId="0" borderId="0" xfId="4495" applyFont="1" applyAlignment="1">
      <alignment horizontal="left" vertical="top" wrapText="1"/>
    </xf>
    <xf numFmtId="0" fontId="22"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5" fillId="0" borderId="0" xfId="4495" applyFont="1" applyAlignment="1">
      <alignment horizontal="left" vertical="center" wrapText="1" shrinkToFit="1"/>
    </xf>
    <xf numFmtId="0" fontId="15" fillId="5" borderId="6" xfId="4495" applyFont="1" applyFill="1" applyBorder="1" applyAlignment="1" applyProtection="1">
      <alignment horizontal="center" vertical="center" wrapText="1" shrinkToFit="1"/>
      <protection locked="0"/>
    </xf>
    <xf numFmtId="0" fontId="15" fillId="5" borderId="6" xfId="4495" applyFont="1" applyFill="1" applyBorder="1" applyAlignment="1" applyProtection="1">
      <alignment horizontal="left" wrapText="1" shrinkToFit="1"/>
      <protection locked="0"/>
    </xf>
    <xf numFmtId="0" fontId="15" fillId="43" borderId="6" xfId="1192" applyFill="1" applyBorder="1" applyAlignment="1" applyProtection="1">
      <alignment horizontal="left" vertical="top"/>
      <protection locked="0"/>
    </xf>
    <xf numFmtId="0" fontId="174" fillId="0" borderId="0" xfId="0" applyFont="1" applyAlignment="1" applyProtection="1">
      <alignment horizontal="left"/>
      <protection locked="0"/>
    </xf>
    <xf numFmtId="168" fontId="171" fillId="0" borderId="0" xfId="0" applyNumberFormat="1" applyFont="1" applyAlignment="1">
      <alignment horizontal="center" vertical="top" wrapText="1"/>
    </xf>
    <xf numFmtId="168" fontId="171" fillId="0" borderId="12" xfId="0" applyNumberFormat="1" applyFont="1" applyBorder="1" applyAlignment="1">
      <alignment horizontal="center" vertical="top" wrapText="1"/>
    </xf>
    <xf numFmtId="0" fontId="23" fillId="0" borderId="0" xfId="4495" applyFont="1" applyAlignment="1">
      <alignment horizontal="center"/>
    </xf>
    <xf numFmtId="0" fontId="15" fillId="0" borderId="0" xfId="4495" applyFont="1" applyAlignment="1">
      <alignment wrapText="1"/>
    </xf>
    <xf numFmtId="0" fontId="15" fillId="0" borderId="0" xfId="4495" applyFont="1" applyAlignment="1">
      <alignment horizontal="left" vertical="top" wrapText="1" shrinkToFit="1"/>
    </xf>
    <xf numFmtId="44" fontId="15" fillId="0" borderId="0" xfId="707" applyFont="1" applyFill="1" applyBorder="1" applyAlignment="1" applyProtection="1">
      <alignment horizontal="left" vertical="top" wrapText="1"/>
    </xf>
    <xf numFmtId="0" fontId="22" fillId="0" borderId="0" xfId="4495" applyFont="1" applyAlignment="1">
      <alignment horizontal="left" vertical="top" wrapText="1"/>
    </xf>
    <xf numFmtId="0" fontId="15" fillId="45" borderId="11" xfId="4495" applyFont="1" applyFill="1" applyBorder="1" applyAlignment="1">
      <alignment horizontal="center"/>
    </xf>
    <xf numFmtId="0" fontId="129" fillId="0" borderId="0" xfId="4495" applyFont="1" applyAlignment="1">
      <alignment horizontal="left" vertical="center" wrapText="1"/>
    </xf>
    <xf numFmtId="0" fontId="22" fillId="0" borderId="11" xfId="4495" applyFont="1" applyBorder="1" applyAlignment="1">
      <alignment horizontal="center"/>
    </xf>
    <xf numFmtId="0" fontId="23" fillId="0" borderId="58" xfId="4495" applyFont="1" applyBorder="1" applyAlignment="1">
      <alignment horizontal="left" vertical="top" wrapText="1"/>
    </xf>
    <xf numFmtId="0" fontId="22" fillId="0" borderId="51" xfId="4495" applyFont="1" applyBorder="1" applyAlignment="1">
      <alignment horizontal="center" vertical="top"/>
    </xf>
    <xf numFmtId="0" fontId="22"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23"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3" fillId="5" borderId="58" xfId="4495" applyNumberFormat="1" applyFont="1" applyFill="1" applyBorder="1" applyAlignment="1">
      <alignment horizontal="left"/>
    </xf>
    <xf numFmtId="0" fontId="119" fillId="0" borderId="0" xfId="4495" applyAlignment="1">
      <alignment horizontal="center"/>
    </xf>
    <xf numFmtId="9" fontId="23" fillId="5" borderId="6" xfId="4495" applyNumberFormat="1" applyFont="1" applyFill="1" applyBorder="1" applyAlignment="1">
      <alignment horizontal="left"/>
    </xf>
    <xf numFmtId="0" fontId="119" fillId="5" borderId="55" xfId="4495" applyFill="1" applyBorder="1" applyAlignment="1">
      <alignment horizontal="center"/>
    </xf>
    <xf numFmtId="0" fontId="119" fillId="5" borderId="6" xfId="4495" applyFill="1" applyBorder="1" applyAlignment="1">
      <alignment horizontal="center"/>
    </xf>
    <xf numFmtId="0" fontId="23" fillId="5" borderId="0" xfId="4495" applyFont="1" applyFill="1" applyAlignment="1">
      <alignment horizontal="left" vertical="top" wrapText="1"/>
    </xf>
    <xf numFmtId="0" fontId="23" fillId="5" borderId="58" xfId="4495" applyFont="1" applyFill="1" applyBorder="1" applyAlignment="1">
      <alignment horizontal="left" vertical="top" wrapText="1"/>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3" fillId="5" borderId="0" xfId="4495" applyFont="1" applyFill="1" applyAlignment="1">
      <alignment horizontal="left" vertical="top"/>
    </xf>
    <xf numFmtId="0" fontId="119" fillId="5" borderId="53" xfId="4495" applyFill="1" applyBorder="1" applyAlignment="1">
      <alignment horizontal="center"/>
    </xf>
    <xf numFmtId="0" fontId="119" fillId="5" borderId="0" xfId="4495" applyFill="1" applyAlignment="1">
      <alignment horizontal="center"/>
    </xf>
    <xf numFmtId="0" fontId="22" fillId="0" borderId="4" xfId="4495" applyFont="1" applyBorder="1" applyAlignment="1">
      <alignment horizontal="left"/>
    </xf>
    <xf numFmtId="0" fontId="22" fillId="0" borderId="5" xfId="4495" applyFont="1" applyBorder="1" applyAlignment="1">
      <alignment horizontal="left"/>
    </xf>
    <xf numFmtId="1" fontId="22" fillId="0" borderId="4" xfId="4495" applyNumberFormat="1" applyFont="1" applyBorder="1" applyAlignment="1">
      <alignment horizontal="center" wrapText="1"/>
    </xf>
    <xf numFmtId="0" fontId="22" fillId="0" borderId="4" xfId="4495" applyFont="1" applyBorder="1" applyAlignment="1">
      <alignment horizontal="center" wrapText="1"/>
    </xf>
    <xf numFmtId="0" fontId="22" fillId="0" borderId="5" xfId="4495" applyFont="1" applyBorder="1" applyAlignment="1">
      <alignment horizontal="center" wrapText="1"/>
    </xf>
    <xf numFmtId="0" fontId="22" fillId="0" borderId="3" xfId="4495" applyFont="1" applyBorder="1" applyAlignment="1">
      <alignment horizontal="center" wrapText="1"/>
    </xf>
    <xf numFmtId="0" fontId="15" fillId="0" borderId="50" xfId="4496" applyFont="1" applyBorder="1" applyAlignment="1">
      <alignment horizontal="left" wrapText="1"/>
    </xf>
    <xf numFmtId="0" fontId="15" fillId="0" borderId="51" xfId="4496" applyFont="1" applyBorder="1" applyAlignment="1">
      <alignment horizontal="left" wrapText="1"/>
    </xf>
    <xf numFmtId="0" fontId="15" fillId="0" borderId="52" xfId="4496" applyFont="1" applyBorder="1" applyAlignment="1">
      <alignment horizontal="left" wrapText="1"/>
    </xf>
    <xf numFmtId="0" fontId="15" fillId="0" borderId="53" xfId="4496" applyFont="1" applyBorder="1" applyAlignment="1">
      <alignment horizontal="left" wrapText="1"/>
    </xf>
    <xf numFmtId="0" fontId="15" fillId="0" borderId="0" xfId="4496" applyFont="1" applyAlignment="1">
      <alignment horizontal="left" wrapText="1"/>
    </xf>
    <xf numFmtId="0" fontId="15" fillId="0" borderId="54" xfId="4496" applyFont="1" applyBorder="1" applyAlignment="1">
      <alignment horizontal="left" wrapText="1"/>
    </xf>
    <xf numFmtId="0" fontId="15" fillId="0" borderId="57" xfId="4496" applyFont="1" applyBorder="1" applyAlignment="1">
      <alignment horizontal="left" wrapText="1"/>
    </xf>
    <xf numFmtId="0" fontId="15" fillId="0" borderId="58" xfId="4496" applyFont="1" applyBorder="1" applyAlignment="1">
      <alignment horizontal="left" wrapText="1"/>
    </xf>
    <xf numFmtId="0" fontId="15" fillId="0" borderId="59" xfId="4496" applyFont="1" applyBorder="1" applyAlignment="1">
      <alignment horizontal="left" wrapText="1"/>
    </xf>
    <xf numFmtId="1" fontId="15" fillId="0" borderId="4" xfId="4496" applyNumberFormat="1" applyFont="1" applyBorder="1" applyAlignment="1">
      <alignment horizontal="center"/>
    </xf>
    <xf numFmtId="1" fontId="15" fillId="0" borderId="5" xfId="4496" applyNumberFormat="1" applyFont="1" applyBorder="1" applyAlignment="1">
      <alignment horizontal="center"/>
    </xf>
    <xf numFmtId="49" fontId="21" fillId="3" borderId="2" xfId="4495" applyNumberFormat="1" applyFont="1" applyFill="1" applyBorder="1" applyAlignment="1">
      <alignment horizontal="center" vertical="center" wrapText="1"/>
    </xf>
    <xf numFmtId="49" fontId="21" fillId="3" borderId="2" xfId="4495" applyNumberFormat="1" applyFont="1" applyFill="1" applyBorder="1" applyAlignment="1">
      <alignment horizontal="center" vertical="center"/>
    </xf>
    <xf numFmtId="49" fontId="21" fillId="3" borderId="0" xfId="4495" applyNumberFormat="1" applyFont="1" applyFill="1" applyAlignment="1">
      <alignment horizontal="center" vertical="center"/>
    </xf>
    <xf numFmtId="0" fontId="22" fillId="0" borderId="1" xfId="4495" applyFont="1" applyBorder="1" applyAlignment="1">
      <alignment horizontal="center" wrapText="1"/>
    </xf>
    <xf numFmtId="0" fontId="22" fillId="0" borderId="2" xfId="4495" applyFont="1" applyBorder="1" applyAlignment="1">
      <alignment horizontal="center" wrapText="1"/>
    </xf>
    <xf numFmtId="0" fontId="22" fillId="0" borderId="7" xfId="4495" applyFont="1" applyBorder="1" applyAlignment="1">
      <alignment horizontal="center" wrapText="1"/>
    </xf>
    <xf numFmtId="0" fontId="22" fillId="0" borderId="9" xfId="4495" applyFont="1" applyBorder="1" applyAlignment="1">
      <alignment horizontal="center" wrapText="1"/>
    </xf>
    <xf numFmtId="0" fontId="22" fillId="0" borderId="6" xfId="4495" applyFont="1" applyBorder="1" applyAlignment="1">
      <alignment horizontal="center" wrapText="1"/>
    </xf>
    <xf numFmtId="0" fontId="22" fillId="0" borderId="10" xfId="4495" applyFont="1" applyBorder="1" applyAlignment="1">
      <alignment horizontal="center" wrapText="1"/>
    </xf>
    <xf numFmtId="1" fontId="22" fillId="0" borderId="11" xfId="4495" applyNumberFormat="1" applyFont="1" applyBorder="1" applyAlignment="1">
      <alignment horizontal="center"/>
    </xf>
    <xf numFmtId="0" fontId="15" fillId="0" borderId="4" xfId="4495" applyFont="1" applyBorder="1" applyAlignment="1">
      <alignment horizontal="left"/>
    </xf>
    <xf numFmtId="0" fontId="15" fillId="0" borderId="5" xfId="4495" applyFont="1" applyBorder="1" applyAlignment="1">
      <alignment horizontal="left"/>
    </xf>
    <xf numFmtId="1" fontId="15" fillId="46" borderId="11" xfId="4495" applyNumberFormat="1" applyFont="1" applyFill="1" applyBorder="1" applyAlignment="1">
      <alignment horizontal="center"/>
    </xf>
    <xf numFmtId="0" fontId="22" fillId="0" borderId="3" xfId="4495" applyFont="1" applyBorder="1" applyAlignment="1">
      <alignment horizontal="left"/>
    </xf>
    <xf numFmtId="0" fontId="15" fillId="5" borderId="11" xfId="4495" applyFont="1" applyFill="1" applyBorder="1" applyAlignment="1" applyProtection="1">
      <alignment horizontal="center"/>
      <protection locked="0"/>
    </xf>
    <xf numFmtId="0" fontId="22" fillId="0" borderId="3" xfId="4495" applyFont="1" applyBorder="1" applyAlignment="1">
      <alignment horizontal="center"/>
    </xf>
    <xf numFmtId="0" fontId="22" fillId="0" borderId="4" xfId="4495" applyFont="1" applyBorder="1" applyAlignment="1">
      <alignment horizontal="center"/>
    </xf>
    <xf numFmtId="0" fontId="22"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68" fontId="15" fillId="0" borderId="6" xfId="1192" applyNumberFormat="1" applyBorder="1" applyAlignment="1">
      <alignment horizontal="right"/>
    </xf>
    <xf numFmtId="0" fontId="117" fillId="0" borderId="4" xfId="1192" applyFont="1" applyBorder="1" applyAlignment="1">
      <alignment horizontal="left"/>
    </xf>
    <xf numFmtId="168" fontId="15" fillId="43" borderId="6" xfId="543" applyNumberFormat="1" applyFill="1" applyBorder="1" applyAlignment="1" applyProtection="1">
      <alignment horizontal="center"/>
      <protection locked="0"/>
    </xf>
    <xf numFmtId="0" fontId="15" fillId="0" borderId="6" xfId="1192" applyBorder="1" applyAlignment="1">
      <alignment horizontal="left"/>
    </xf>
    <xf numFmtId="0" fontId="15" fillId="0" borderId="6" xfId="1192" applyBorder="1" applyAlignment="1">
      <alignment horizontal="right"/>
    </xf>
    <xf numFmtId="168" fontId="15" fillId="43" borderId="6" xfId="1192" applyNumberFormat="1" applyFill="1" applyBorder="1" applyAlignment="1" applyProtection="1">
      <alignment horizontal="right"/>
      <protection locked="0"/>
    </xf>
    <xf numFmtId="10" fontId="23" fillId="0" borderId="2" xfId="4495" applyNumberFormat="1" applyFont="1" applyBorder="1" applyAlignment="1">
      <alignment horizontal="center"/>
    </xf>
    <xf numFmtId="4" fontId="23" fillId="0" borderId="0" xfId="4495" applyNumberFormat="1" applyFont="1" applyAlignment="1">
      <alignment horizontal="center"/>
    </xf>
    <xf numFmtId="0" fontId="31" fillId="42" borderId="2" xfId="4495" applyFont="1" applyFill="1" applyBorder="1" applyAlignment="1">
      <alignment horizontal="center"/>
    </xf>
    <xf numFmtId="0" fontId="31" fillId="42" borderId="6" xfId="4495" applyFont="1" applyFill="1" applyBorder="1" applyAlignment="1">
      <alignment horizontal="center"/>
    </xf>
    <xf numFmtId="4" fontId="23" fillId="0" borderId="6" xfId="4495" applyNumberFormat="1" applyFont="1" applyBorder="1" applyAlignment="1">
      <alignment horizontal="center"/>
    </xf>
    <xf numFmtId="168" fontId="15" fillId="0" borderId="4" xfId="1192" applyNumberFormat="1" applyBorder="1" applyAlignment="1">
      <alignment horizontal="right"/>
    </xf>
    <xf numFmtId="168" fontId="15" fillId="0" borderId="4" xfId="4496" applyNumberFormat="1" applyFont="1" applyBorder="1" applyAlignment="1">
      <alignment horizontal="center"/>
    </xf>
    <xf numFmtId="9" fontId="15" fillId="0" borderId="4" xfId="4496" applyNumberFormat="1" applyFont="1" applyBorder="1" applyAlignment="1">
      <alignment horizontal="center"/>
    </xf>
    <xf numFmtId="164" fontId="15" fillId="0" borderId="50" xfId="4495" applyNumberFormat="1" applyFont="1" applyBorder="1" applyAlignment="1">
      <alignment horizontal="left" vertical="top" wrapText="1"/>
    </xf>
    <xf numFmtId="164" fontId="15" fillId="0" borderId="51" xfId="4495" applyNumberFormat="1" applyFont="1" applyBorder="1" applyAlignment="1">
      <alignment horizontal="left" vertical="top" wrapText="1"/>
    </xf>
    <xf numFmtId="164" fontId="15" fillId="0" borderId="52" xfId="4495" applyNumberFormat="1" applyFont="1" applyBorder="1" applyAlignment="1">
      <alignment horizontal="left" vertical="top" wrapText="1"/>
    </xf>
    <xf numFmtId="164" fontId="15" fillId="0" borderId="53" xfId="4495" applyNumberFormat="1" applyFont="1" applyBorder="1" applyAlignment="1">
      <alignment horizontal="left" vertical="top" wrapText="1"/>
    </xf>
    <xf numFmtId="164" fontId="15" fillId="0" borderId="0" xfId="4495" applyNumberFormat="1" applyFont="1" applyAlignment="1">
      <alignment horizontal="left" vertical="top" wrapText="1"/>
    </xf>
    <xf numFmtId="164" fontId="15" fillId="0" borderId="54" xfId="4495" applyNumberFormat="1" applyFont="1" applyBorder="1" applyAlignment="1">
      <alignment horizontal="left" vertical="top" wrapText="1"/>
    </xf>
    <xf numFmtId="164" fontId="15" fillId="0" borderId="57" xfId="4495" applyNumberFormat="1" applyFont="1" applyBorder="1" applyAlignment="1">
      <alignment horizontal="left" vertical="top" wrapText="1"/>
    </xf>
    <xf numFmtId="164" fontId="15" fillId="0" borderId="58" xfId="4495" applyNumberFormat="1" applyFont="1" applyBorder="1" applyAlignment="1">
      <alignment horizontal="left" vertical="top" wrapText="1"/>
    </xf>
    <xf numFmtId="164" fontId="15" fillId="0" borderId="59" xfId="4495" applyNumberFormat="1" applyFont="1" applyBorder="1" applyAlignment="1">
      <alignment horizontal="left" vertical="top" wrapText="1"/>
    </xf>
    <xf numFmtId="4" fontId="23" fillId="0" borderId="3" xfId="4495" applyNumberFormat="1" applyFont="1" applyBorder="1" applyAlignment="1">
      <alignment horizontal="center"/>
    </xf>
    <xf numFmtId="4" fontId="23" fillId="0" borderId="4" xfId="4495" applyNumberFormat="1" applyFont="1" applyBorder="1" applyAlignment="1">
      <alignment horizontal="center"/>
    </xf>
    <xf numFmtId="4" fontId="23"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5"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80" xfId="4496" applyFont="1" applyBorder="1" applyAlignment="1">
      <alignment horizontal="right"/>
    </xf>
    <xf numFmtId="0" fontId="97" fillId="0" borderId="11" xfId="4496" applyFont="1" applyBorder="1" applyAlignment="1">
      <alignment horizontal="right"/>
    </xf>
    <xf numFmtId="0" fontId="97" fillId="0" borderId="72" xfId="4496" applyFont="1" applyBorder="1" applyAlignment="1">
      <alignment horizontal="right"/>
    </xf>
    <xf numFmtId="0" fontId="97" fillId="0" borderId="73" xfId="4496" applyFont="1" applyBorder="1" applyAlignment="1">
      <alignment horizontal="right"/>
    </xf>
    <xf numFmtId="0" fontId="97" fillId="0" borderId="11" xfId="4496" applyFont="1" applyBorder="1"/>
    <xf numFmtId="0" fontId="97" fillId="0" borderId="91" xfId="4496" applyFont="1" applyBorder="1"/>
    <xf numFmtId="0" fontId="97" fillId="0" borderId="73" xfId="4496" applyFont="1" applyBorder="1"/>
    <xf numFmtId="0" fontId="97" fillId="0" borderId="93" xfId="4496" applyFont="1" applyBorder="1"/>
    <xf numFmtId="0" fontId="97" fillId="0" borderId="70" xfId="4496" applyFont="1" applyBorder="1" applyAlignment="1">
      <alignment horizontal="right"/>
    </xf>
    <xf numFmtId="0" fontId="97" fillId="0" borderId="71" xfId="4496" applyFont="1" applyBorder="1" applyAlignment="1">
      <alignment horizontal="right"/>
    </xf>
    <xf numFmtId="0" fontId="136" fillId="0" borderId="90" xfId="4496" applyFont="1" applyBorder="1" applyAlignment="1">
      <alignment horizontal="center" vertical="top" wrapText="1"/>
    </xf>
    <xf numFmtId="0" fontId="136" fillId="0" borderId="89" xfId="4496" applyFont="1" applyBorder="1" applyAlignment="1">
      <alignment horizontal="center" vertical="top" wrapText="1"/>
    </xf>
    <xf numFmtId="0" fontId="97" fillId="0" borderId="71" xfId="4496" applyFont="1" applyBorder="1"/>
    <xf numFmtId="0" fontId="97" fillId="0" borderId="74" xfId="4496" applyFont="1" applyBorder="1"/>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15" xfId="4496" applyFont="1" applyBorder="1" applyAlignment="1">
      <alignment horizontal="left" indent="1"/>
    </xf>
    <xf numFmtId="0" fontId="136" fillId="0" borderId="71" xfId="4496" applyFont="1" applyBorder="1" applyAlignment="1">
      <alignment horizontal="left" indent="1"/>
    </xf>
    <xf numFmtId="168" fontId="97" fillId="0" borderId="11" xfId="4499" applyNumberFormat="1" applyFont="1" applyFill="1" applyBorder="1" applyAlignment="1" applyProtection="1">
      <alignment horizontal="left" vertical="center" indent="1"/>
    </xf>
    <xf numFmtId="168" fontId="97" fillId="0" borderId="13"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168" fontId="97" fillId="0" borderId="84" xfId="4499" applyNumberFormat="1" applyFont="1" applyFill="1" applyBorder="1" applyAlignment="1" applyProtection="1">
      <alignment horizontal="left" vertical="center" indent="1"/>
    </xf>
    <xf numFmtId="168" fontId="97" fillId="0" borderId="83" xfId="4499" applyNumberFormat="1" applyFont="1" applyFill="1" applyBorder="1" applyAlignment="1" applyProtection="1">
      <alignment horizontal="left" vertical="center" indent="1"/>
    </xf>
    <xf numFmtId="43" fontId="145" fillId="53" borderId="80" xfId="698" applyFont="1" applyFill="1" applyBorder="1" applyAlignment="1" applyProtection="1">
      <alignment horizontal="right"/>
      <protection hidden="1"/>
    </xf>
    <xf numFmtId="43" fontId="145" fillId="53" borderId="11" xfId="698" applyFont="1" applyFill="1" applyBorder="1" applyAlignment="1" applyProtection="1">
      <alignment horizontal="right"/>
      <protection hidden="1"/>
    </xf>
    <xf numFmtId="44" fontId="145" fillId="0" borderId="11" xfId="700" applyFont="1" applyBorder="1" applyAlignment="1" applyProtection="1">
      <alignment horizontal="center"/>
      <protection hidden="1"/>
    </xf>
    <xf numFmtId="164" fontId="145" fillId="0" borderId="11" xfId="700" applyNumberFormat="1" applyFont="1" applyBorder="1" applyAlignment="1" applyProtection="1">
      <alignment horizontal="center"/>
      <protection hidden="1"/>
    </xf>
    <xf numFmtId="9" fontId="145" fillId="0" borderId="11" xfId="1022" applyFont="1" applyBorder="1" applyAlignment="1" applyProtection="1">
      <alignment horizontal="center"/>
      <protection hidden="1"/>
    </xf>
    <xf numFmtId="0" fontId="147" fillId="53" borderId="80" xfId="698" applyNumberFormat="1" applyFont="1" applyFill="1" applyBorder="1" applyAlignment="1" applyProtection="1">
      <alignment horizontal="center"/>
      <protection hidden="1"/>
    </xf>
    <xf numFmtId="0" fontId="147" fillId="53" borderId="11" xfId="698" applyNumberFormat="1" applyFont="1" applyFill="1" applyBorder="1" applyAlignment="1" applyProtection="1">
      <alignment horizontal="center"/>
      <protection hidden="1"/>
    </xf>
    <xf numFmtId="0" fontId="147" fillId="49" borderId="11" xfId="0" applyFont="1" applyFill="1" applyBorder="1" applyAlignment="1" applyProtection="1">
      <alignment horizontal="center"/>
      <protection locked="0"/>
    </xf>
    <xf numFmtId="14" fontId="177" fillId="49" borderId="11" xfId="700" applyNumberFormat="1" applyFont="1" applyFill="1" applyBorder="1" applyAlignment="1" applyProtection="1">
      <alignment horizontal="center"/>
      <protection locked="0"/>
    </xf>
    <xf numFmtId="164" fontId="147" fillId="49" borderId="11" xfId="700" applyNumberFormat="1" applyFont="1" applyFill="1" applyBorder="1" applyAlignment="1" applyProtection="1">
      <alignment horizontal="center"/>
      <protection locked="0"/>
    </xf>
    <xf numFmtId="9" fontId="147" fillId="49" borderId="11" xfId="1022" applyFont="1" applyFill="1" applyBorder="1" applyAlignment="1" applyProtection="1">
      <alignment horizontal="center"/>
      <protection locked="0"/>
    </xf>
    <xf numFmtId="0" fontId="147" fillId="49" borderId="3" xfId="0" applyFont="1" applyFill="1" applyBorder="1" applyAlignment="1" applyProtection="1">
      <alignment horizontal="center"/>
      <protection locked="0"/>
    </xf>
    <xf numFmtId="0" fontId="147" fillId="49" borderId="4" xfId="0" applyFont="1" applyFill="1" applyBorder="1" applyAlignment="1" applyProtection="1">
      <alignment horizontal="center"/>
      <protection locked="0"/>
    </xf>
    <xf numFmtId="0" fontId="147" fillId="49" borderId="5" xfId="0" applyFont="1" applyFill="1" applyBorder="1" applyAlignment="1" applyProtection="1">
      <alignment horizontal="center"/>
      <protection locked="0"/>
    </xf>
    <xf numFmtId="44" fontId="3" fillId="0" borderId="11" xfId="700" applyFont="1" applyBorder="1" applyAlignment="1" applyProtection="1">
      <alignment horizontal="center"/>
      <protection hidden="1"/>
    </xf>
    <xf numFmtId="44" fontId="3" fillId="49" borderId="11" xfId="700" applyFont="1" applyFill="1" applyBorder="1" applyAlignment="1" applyProtection="1">
      <alignment horizontal="center"/>
      <protection hidden="1"/>
    </xf>
    <xf numFmtId="44" fontId="3" fillId="44" borderId="11" xfId="700" applyFont="1" applyFill="1" applyBorder="1" applyAlignment="1" applyProtection="1">
      <alignment horizontal="center"/>
      <protection hidden="1"/>
    </xf>
    <xf numFmtId="168" fontId="147" fillId="49" borderId="11" xfId="8727" applyNumberFormat="1" applyFont="1" applyFill="1" applyBorder="1" applyAlignment="1">
      <alignment horizontal="center"/>
    </xf>
    <xf numFmtId="0" fontId="145" fillId="44" borderId="11" xfId="8726" applyFont="1" applyFill="1" applyBorder="1" applyAlignment="1">
      <alignment horizontal="left"/>
    </xf>
    <xf numFmtId="0" fontId="3" fillId="48" borderId="3" xfId="8726" applyFill="1" applyBorder="1" applyAlignment="1">
      <alignment horizontal="center"/>
    </xf>
    <xf numFmtId="0" fontId="3" fillId="48" borderId="4" xfId="8726" applyFill="1" applyBorder="1" applyAlignment="1">
      <alignment horizontal="center"/>
    </xf>
    <xf numFmtId="0" fontId="3" fillId="48" borderId="5" xfId="8726" applyFill="1" applyBorder="1" applyAlignment="1">
      <alignment horizontal="center"/>
    </xf>
    <xf numFmtId="0" fontId="162" fillId="48" borderId="3" xfId="8726" applyFont="1" applyFill="1" applyBorder="1" applyAlignment="1">
      <alignment horizontal="center"/>
    </xf>
    <xf numFmtId="0" fontId="162" fillId="48" borderId="4" xfId="8726" applyFont="1" applyFill="1" applyBorder="1" applyAlignment="1">
      <alignment horizontal="center"/>
    </xf>
    <xf numFmtId="0" fontId="162" fillId="48" borderId="5" xfId="8726" applyFont="1" applyFill="1" applyBorder="1" applyAlignment="1">
      <alignment horizontal="center"/>
    </xf>
    <xf numFmtId="43" fontId="147" fillId="53" borderId="11" xfId="698" applyFont="1" applyFill="1" applyBorder="1" applyAlignment="1" applyProtection="1">
      <alignment horizontal="left" wrapText="1"/>
      <protection hidden="1"/>
    </xf>
    <xf numFmtId="0" fontId="162" fillId="45" borderId="11" xfId="8726" applyFont="1" applyFill="1" applyBorder="1" applyAlignment="1">
      <alignment horizontal="left"/>
    </xf>
    <xf numFmtId="0" fontId="172" fillId="45" borderId="11" xfId="8726" applyFont="1" applyFill="1" applyBorder="1" applyAlignment="1">
      <alignment horizontal="left" wrapText="1"/>
    </xf>
    <xf numFmtId="0" fontId="149" fillId="45" borderId="13" xfId="0" applyFont="1" applyFill="1" applyBorder="1" applyAlignment="1" applyProtection="1">
      <alignment horizontal="left" wrapText="1"/>
      <protection hidden="1"/>
    </xf>
    <xf numFmtId="0" fontId="149" fillId="45" borderId="13" xfId="0" applyFont="1" applyFill="1" applyBorder="1" applyAlignment="1" applyProtection="1">
      <alignment horizontal="center" wrapText="1"/>
      <protection hidden="1"/>
    </xf>
    <xf numFmtId="182" fontId="3" fillId="0" borderId="13" xfId="8726" applyNumberFormat="1" applyBorder="1" applyAlignment="1">
      <alignment horizontal="center"/>
    </xf>
    <xf numFmtId="0" fontId="3" fillId="0" borderId="13" xfId="8726" applyBorder="1" applyAlignment="1">
      <alignment horizontal="center"/>
    </xf>
    <xf numFmtId="0" fontId="148" fillId="45" borderId="11" xfId="8726" applyFont="1" applyFill="1" applyBorder="1" applyAlignment="1">
      <alignment horizontal="center" wrapText="1"/>
    </xf>
    <xf numFmtId="0" fontId="149" fillId="45" borderId="11" xfId="8726" applyFont="1" applyFill="1" applyBorder="1" applyAlignment="1">
      <alignment horizontal="center"/>
    </xf>
    <xf numFmtId="0" fontId="149" fillId="45" borderId="91" xfId="8726" applyFont="1" applyFill="1" applyBorder="1" applyAlignment="1">
      <alignment horizontal="center"/>
    </xf>
    <xf numFmtId="0" fontId="148" fillId="45" borderId="80" xfId="8726" applyFont="1" applyFill="1" applyBorder="1" applyAlignment="1">
      <alignment horizontal="center"/>
    </xf>
    <xf numFmtId="0" fontId="148" fillId="45" borderId="11" xfId="8726" applyFont="1" applyFill="1" applyBorder="1" applyAlignment="1">
      <alignment horizontal="center"/>
    </xf>
    <xf numFmtId="0" fontId="3" fillId="49" borderId="11" xfId="8726" applyFill="1" applyBorder="1" applyAlignment="1" applyProtection="1">
      <alignment horizontal="center"/>
      <protection locked="0"/>
    </xf>
    <xf numFmtId="0" fontId="162" fillId="45" borderId="80" xfId="8726" applyFont="1" applyFill="1" applyBorder="1" applyAlignment="1">
      <alignment horizontal="right"/>
    </xf>
    <xf numFmtId="0" fontId="162" fillId="45" borderId="11" xfId="8726" applyFont="1" applyFill="1" applyBorder="1" applyAlignment="1">
      <alignment horizontal="right"/>
    </xf>
    <xf numFmtId="0" fontId="101" fillId="45" borderId="70" xfId="8726" applyFont="1" applyFill="1" applyBorder="1" applyAlignment="1">
      <alignment horizontal="center" wrapText="1"/>
    </xf>
    <xf numFmtId="0" fontId="101" fillId="45" borderId="71" xfId="8726" applyFont="1" applyFill="1" applyBorder="1" applyAlignment="1">
      <alignment horizontal="center" wrapText="1"/>
    </xf>
    <xf numFmtId="0" fontId="101" fillId="45" borderId="74" xfId="8726" applyFont="1" applyFill="1" applyBorder="1" applyAlignment="1">
      <alignment horizontal="center" wrapText="1"/>
    </xf>
    <xf numFmtId="0" fontId="3" fillId="49" borderId="91" xfId="8726" applyFill="1" applyBorder="1" applyAlignment="1" applyProtection="1">
      <alignment horizontal="center"/>
      <protection locked="0"/>
    </xf>
    <xf numFmtId="0" fontId="101" fillId="45" borderId="104" xfId="8726" applyFont="1" applyFill="1" applyBorder="1" applyAlignment="1">
      <alignment horizontal="center"/>
    </xf>
    <xf numFmtId="0" fontId="101" fillId="45" borderId="97" xfId="8726" applyFont="1" applyFill="1" applyBorder="1" applyAlignment="1">
      <alignment horizontal="center"/>
    </xf>
    <xf numFmtId="0" fontId="101" fillId="45" borderId="98" xfId="8726" applyFont="1" applyFill="1" applyBorder="1" applyAlignment="1">
      <alignment horizontal="center"/>
    </xf>
    <xf numFmtId="43" fontId="145" fillId="56" borderId="13" xfId="698" applyFont="1" applyFill="1" applyBorder="1" applyAlignment="1" applyProtection="1">
      <alignment horizontal="center"/>
      <protection hidden="1"/>
    </xf>
    <xf numFmtId="43" fontId="147" fillId="53" borderId="11" xfId="698" applyFont="1" applyFill="1" applyBorder="1" applyAlignment="1" applyProtection="1">
      <alignment horizontal="left"/>
      <protection hidden="1"/>
    </xf>
    <xf numFmtId="0" fontId="162" fillId="49" borderId="80" xfId="8726" applyFont="1" applyFill="1" applyBorder="1" applyAlignment="1">
      <alignment horizontal="left" vertical="top"/>
    </xf>
    <xf numFmtId="0" fontId="162" fillId="49" borderId="11" xfId="8726" applyFont="1" applyFill="1" applyBorder="1" applyAlignment="1">
      <alignment horizontal="left" vertical="top"/>
    </xf>
    <xf numFmtId="0" fontId="162" fillId="49" borderId="91" xfId="8726" applyFont="1" applyFill="1" applyBorder="1" applyAlignment="1">
      <alignment horizontal="left" vertical="top"/>
    </xf>
    <xf numFmtId="0" fontId="162" fillId="49" borderId="72" xfId="8726" applyFont="1" applyFill="1" applyBorder="1" applyAlignment="1">
      <alignment horizontal="left" vertical="top"/>
    </xf>
    <xf numFmtId="0" fontId="162" fillId="49" borderId="73" xfId="8726" applyFont="1" applyFill="1" applyBorder="1" applyAlignment="1">
      <alignment horizontal="left" vertical="top"/>
    </xf>
    <xf numFmtId="0" fontId="162" fillId="49" borderId="93" xfId="8726" applyFont="1" applyFill="1" applyBorder="1" applyAlignment="1">
      <alignment horizontal="left" vertical="top"/>
    </xf>
    <xf numFmtId="0" fontId="148" fillId="45" borderId="72" xfId="8726" applyFont="1" applyFill="1" applyBorder="1" applyAlignment="1">
      <alignment horizontal="center"/>
    </xf>
    <xf numFmtId="0" fontId="148" fillId="45" borderId="73" xfId="8726" applyFont="1" applyFill="1" applyBorder="1" applyAlignment="1">
      <alignment horizontal="center"/>
    </xf>
    <xf numFmtId="0" fontId="3" fillId="49" borderId="73" xfId="8726" applyFill="1" applyBorder="1" applyAlignment="1" applyProtection="1">
      <alignment horizontal="center"/>
      <protection locked="0"/>
    </xf>
    <xf numFmtId="0" fontId="3" fillId="49" borderId="93" xfId="8726" applyFill="1" applyBorder="1" applyAlignment="1" applyProtection="1">
      <alignment horizontal="center"/>
      <protection locked="0"/>
    </xf>
    <xf numFmtId="1" fontId="147" fillId="49" borderId="11" xfId="8726" applyNumberFormat="1" applyFont="1" applyFill="1" applyBorder="1" applyAlignment="1" applyProtection="1">
      <alignment horizontal="center"/>
      <protection locked="0"/>
    </xf>
    <xf numFmtId="0" fontId="144" fillId="47" borderId="65" xfId="8726" applyFont="1" applyFill="1" applyBorder="1" applyAlignment="1">
      <alignment horizontal="center"/>
    </xf>
    <xf numFmtId="0" fontId="144" fillId="47" borderId="29" xfId="8726" applyFont="1" applyFill="1" applyBorder="1" applyAlignment="1">
      <alignment horizontal="center"/>
    </xf>
    <xf numFmtId="0" fontId="144" fillId="47" borderId="31" xfId="8726" applyFont="1" applyFill="1" applyBorder="1" applyAlignment="1">
      <alignment horizontal="center"/>
    </xf>
    <xf numFmtId="0" fontId="145" fillId="49" borderId="66" xfId="8726" applyFont="1" applyFill="1" applyBorder="1" applyAlignment="1">
      <alignment horizontal="center"/>
    </xf>
    <xf numFmtId="0" fontId="145" fillId="49" borderId="0" xfId="8726" applyFont="1" applyFill="1" applyAlignment="1">
      <alignment horizontal="center"/>
    </xf>
    <xf numFmtId="0" fontId="145" fillId="49" borderId="41" xfId="8726" applyFont="1" applyFill="1" applyBorder="1" applyAlignment="1">
      <alignment horizontal="center"/>
    </xf>
    <xf numFmtId="0" fontId="147" fillId="44" borderId="67" xfId="8726" applyFont="1" applyFill="1" applyBorder="1" applyAlignment="1">
      <alignment horizontal="left"/>
    </xf>
    <xf numFmtId="0" fontId="147" fillId="44" borderId="68" xfId="8726" applyFont="1" applyFill="1" applyBorder="1" applyAlignment="1">
      <alignment horizontal="left"/>
    </xf>
    <xf numFmtId="0" fontId="147" fillId="44" borderId="69" xfId="8726" applyFont="1" applyFill="1" applyBorder="1" applyAlignment="1">
      <alignment horizontal="left"/>
    </xf>
    <xf numFmtId="0" fontId="160" fillId="45" borderId="11" xfId="8726" applyFont="1" applyFill="1" applyBorder="1" applyAlignment="1">
      <alignment horizontal="right"/>
    </xf>
    <xf numFmtId="14" fontId="147" fillId="49" borderId="11" xfId="8726" applyNumberFormat="1" applyFont="1" applyFill="1" applyBorder="1" applyAlignment="1" applyProtection="1">
      <alignment horizontal="center"/>
      <protection locked="0"/>
    </xf>
    <xf numFmtId="0" fontId="147" fillId="49" borderId="11" xfId="8726" applyFont="1" applyFill="1" applyBorder="1" applyAlignment="1" applyProtection="1">
      <alignment horizontal="center"/>
      <protection locked="0"/>
    </xf>
    <xf numFmtId="0" fontId="146" fillId="45" borderId="11" xfId="8726" applyFont="1" applyFill="1" applyBorder="1" applyAlignment="1">
      <alignment horizontal="right"/>
    </xf>
    <xf numFmtId="0" fontId="3" fillId="44" borderId="67" xfId="8726" applyFill="1" applyBorder="1" applyAlignment="1">
      <alignment horizontal="center"/>
    </xf>
    <xf numFmtId="0" fontId="3" fillId="44" borderId="68" xfId="8726" applyFill="1" applyBorder="1" applyAlignment="1">
      <alignment horizontal="center"/>
    </xf>
    <xf numFmtId="0" fontId="3" fillId="44" borderId="69" xfId="8726" applyFill="1" applyBorder="1" applyAlignment="1">
      <alignment horizontal="center"/>
    </xf>
    <xf numFmtId="0" fontId="101" fillId="45" borderId="70" xfId="8726" applyFont="1" applyFill="1" applyBorder="1" applyAlignment="1">
      <alignment horizontal="left" wrapText="1"/>
    </xf>
    <xf numFmtId="0" fontId="101" fillId="45" borderId="71" xfId="8726" applyFont="1" applyFill="1" applyBorder="1" applyAlignment="1">
      <alignment horizontal="left" wrapText="1"/>
    </xf>
    <xf numFmtId="0" fontId="101" fillId="45" borderId="80" xfId="8726" applyFont="1" applyFill="1" applyBorder="1" applyAlignment="1">
      <alignment horizontal="left" wrapText="1"/>
    </xf>
    <xf numFmtId="0" fontId="101" fillId="45" borderId="11" xfId="8726" applyFont="1" applyFill="1" applyBorder="1" applyAlignment="1">
      <alignment horizontal="left" wrapText="1"/>
    </xf>
    <xf numFmtId="0" fontId="147" fillId="49" borderId="71" xfId="8726" applyFont="1" applyFill="1" applyBorder="1" applyAlignment="1" applyProtection="1">
      <alignment horizontal="left" wrapText="1"/>
      <protection locked="0"/>
    </xf>
    <xf numFmtId="0" fontId="147" fillId="49" borderId="74" xfId="8726" applyFont="1" applyFill="1" applyBorder="1" applyAlignment="1" applyProtection="1">
      <alignment horizontal="left" wrapText="1"/>
      <protection locked="0"/>
    </xf>
    <xf numFmtId="0" fontId="147" fillId="49" borderId="11" xfId="8726" applyFont="1" applyFill="1" applyBorder="1" applyAlignment="1" applyProtection="1">
      <alignment horizontal="left" wrapText="1"/>
      <protection locked="0"/>
    </xf>
    <xf numFmtId="0" fontId="147" fillId="49" borderId="91" xfId="8726" applyFont="1" applyFill="1" applyBorder="1" applyAlignment="1" applyProtection="1">
      <alignment horizontal="left" wrapText="1"/>
      <protection locked="0"/>
    </xf>
    <xf numFmtId="168" fontId="164" fillId="44" borderId="11" xfId="8727" applyNumberFormat="1" applyFont="1" applyFill="1" applyBorder="1" applyAlignment="1" applyProtection="1">
      <alignment horizontal="left"/>
    </xf>
    <xf numFmtId="0" fontId="148" fillId="45" borderId="11" xfId="8726" applyFont="1" applyFill="1" applyBorder="1" applyAlignment="1">
      <alignment horizontal="right"/>
    </xf>
    <xf numFmtId="1" fontId="3" fillId="44" borderId="11" xfId="8726" applyNumberFormat="1" applyFill="1" applyBorder="1" applyAlignment="1">
      <alignment horizontal="center"/>
    </xf>
    <xf numFmtId="0" fontId="3" fillId="44" borderId="11" xfId="8726" applyFill="1" applyBorder="1" applyAlignment="1">
      <alignment horizontal="center"/>
    </xf>
    <xf numFmtId="0" fontId="146" fillId="45" borderId="11" xfId="8726" applyFont="1" applyFill="1" applyBorder="1" applyAlignment="1">
      <alignment horizontal="right" wrapText="1"/>
    </xf>
    <xf numFmtId="14" fontId="147" fillId="49" borderId="11" xfId="8726" applyNumberFormat="1" applyFont="1" applyFill="1" applyBorder="1" applyAlignment="1" applyProtection="1">
      <alignment horizontal="center" vertical="center"/>
      <protection locked="0"/>
    </xf>
    <xf numFmtId="0" fontId="147" fillId="49" borderId="11" xfId="8726" applyFont="1" applyFill="1" applyBorder="1" applyAlignment="1" applyProtection="1">
      <alignment horizontal="center" vertical="center"/>
      <protection locked="0"/>
    </xf>
    <xf numFmtId="0" fontId="101" fillId="45" borderId="67" xfId="8726" applyFont="1" applyFill="1" applyBorder="1" applyAlignment="1">
      <alignment horizontal="center"/>
    </xf>
    <xf numFmtId="0" fontId="101" fillId="45" borderId="68" xfId="8726" applyFont="1" applyFill="1" applyBorder="1" applyAlignment="1">
      <alignment horizontal="center"/>
    </xf>
    <xf numFmtId="0" fontId="101" fillId="45" borderId="69" xfId="8726" applyFont="1" applyFill="1" applyBorder="1" applyAlignment="1">
      <alignment horizontal="center"/>
    </xf>
    <xf numFmtId="0" fontId="147" fillId="49" borderId="67" xfId="8726" applyFont="1" applyFill="1" applyBorder="1" applyAlignment="1" applyProtection="1">
      <alignment horizontal="center"/>
      <protection locked="0"/>
    </xf>
    <xf numFmtId="0" fontId="147" fillId="49" borderId="68" xfId="8726" applyFont="1" applyFill="1" applyBorder="1" applyAlignment="1" applyProtection="1">
      <alignment horizontal="center"/>
      <protection locked="0"/>
    </xf>
    <xf numFmtId="0" fontId="147" fillId="49" borderId="69" xfId="8726" applyFont="1" applyFill="1" applyBorder="1" applyAlignment="1" applyProtection="1">
      <alignment horizontal="center"/>
      <protection locked="0"/>
    </xf>
    <xf numFmtId="0" fontId="101" fillId="45" borderId="67" xfId="8726" applyFont="1" applyFill="1" applyBorder="1" applyAlignment="1">
      <alignment horizontal="right"/>
    </xf>
    <xf numFmtId="0" fontId="101" fillId="45" borderId="68" xfId="8726" applyFont="1" applyFill="1" applyBorder="1" applyAlignment="1">
      <alignment horizontal="right"/>
    </xf>
    <xf numFmtId="0" fontId="101" fillId="45" borderId="99" xfId="8726" applyFont="1" applyFill="1" applyBorder="1" applyAlignment="1">
      <alignment horizontal="right"/>
    </xf>
    <xf numFmtId="0" fontId="3" fillId="44" borderId="97" xfId="8726" applyFill="1" applyBorder="1" applyAlignment="1">
      <alignment horizontal="center"/>
    </xf>
    <xf numFmtId="0" fontId="3" fillId="44" borderId="98" xfId="8726" applyFill="1" applyBorder="1" applyAlignment="1">
      <alignment horizontal="center"/>
    </xf>
    <xf numFmtId="0" fontId="145" fillId="45" borderId="75" xfId="8726" applyFont="1" applyFill="1" applyBorder="1" applyAlignment="1">
      <alignment horizontal="center"/>
    </xf>
    <xf numFmtId="0" fontId="145" fillId="45" borderId="76" xfId="8726" applyFont="1" applyFill="1" applyBorder="1" applyAlignment="1">
      <alignment horizontal="center"/>
    </xf>
    <xf numFmtId="0" fontId="145" fillId="45" borderId="77" xfId="8726" applyFont="1" applyFill="1" applyBorder="1" applyAlignment="1">
      <alignment horizontal="center"/>
    </xf>
    <xf numFmtId="0" fontId="148" fillId="45" borderId="78" xfId="8726" applyFont="1" applyFill="1" applyBorder="1" applyAlignment="1">
      <alignment horizontal="center"/>
    </xf>
    <xf numFmtId="0" fontId="148" fillId="45" borderId="2" xfId="8726" applyFont="1" applyFill="1" applyBorder="1" applyAlignment="1">
      <alignment horizontal="center"/>
    </xf>
    <xf numFmtId="0" fontId="148" fillId="45" borderId="7" xfId="8726" applyFont="1" applyFill="1" applyBorder="1" applyAlignment="1">
      <alignment horizontal="center"/>
    </xf>
    <xf numFmtId="0" fontId="148" fillId="45" borderId="3" xfId="8726" applyFont="1" applyFill="1" applyBorder="1" applyAlignment="1">
      <alignment horizontal="center"/>
    </xf>
    <xf numFmtId="0" fontId="148" fillId="45" borderId="4" xfId="8726" applyFont="1" applyFill="1" applyBorder="1" applyAlignment="1">
      <alignment horizontal="center"/>
    </xf>
    <xf numFmtId="0" fontId="148" fillId="45" borderId="5" xfId="8726" applyFont="1" applyFill="1" applyBorder="1" applyAlignment="1">
      <alignment horizontal="center"/>
    </xf>
    <xf numFmtId="0" fontId="148" fillId="45" borderId="79" xfId="8726" applyFont="1" applyFill="1" applyBorder="1" applyAlignment="1">
      <alignment horizontal="center"/>
    </xf>
    <xf numFmtId="9" fontId="162" fillId="49" borderId="92" xfId="8726" applyNumberFormat="1" applyFont="1" applyFill="1" applyBorder="1" applyAlignment="1">
      <alignment horizontal="center"/>
    </xf>
    <xf numFmtId="9" fontId="162" fillId="49" borderId="4" xfId="8726" applyNumberFormat="1" applyFont="1" applyFill="1" applyBorder="1" applyAlignment="1">
      <alignment horizontal="center"/>
    </xf>
    <xf numFmtId="9" fontId="162" fillId="49" borderId="5" xfId="8726" applyNumberFormat="1" applyFont="1" applyFill="1" applyBorder="1" applyAlignment="1">
      <alignment horizontal="center"/>
    </xf>
    <xf numFmtId="0" fontId="162" fillId="44" borderId="3" xfId="8726" applyFont="1" applyFill="1" applyBorder="1" applyAlignment="1">
      <alignment horizontal="center"/>
    </xf>
    <xf numFmtId="0" fontId="162" fillId="44" borderId="4" xfId="8726" applyFont="1" applyFill="1" applyBorder="1" applyAlignment="1">
      <alignment horizontal="center"/>
    </xf>
    <xf numFmtId="0" fontId="162" fillId="44" borderId="5" xfId="8726" applyFont="1" applyFill="1" applyBorder="1" applyAlignment="1">
      <alignment horizontal="center"/>
    </xf>
    <xf numFmtId="9" fontId="148" fillId="44" borderId="3" xfId="8726" applyNumberFormat="1" applyFont="1" applyFill="1" applyBorder="1" applyAlignment="1">
      <alignment horizontal="center"/>
    </xf>
    <xf numFmtId="9" fontId="148" fillId="44" borderId="4" xfId="8726" applyNumberFormat="1" applyFont="1" applyFill="1" applyBorder="1" applyAlignment="1">
      <alignment horizontal="center"/>
    </xf>
    <xf numFmtId="9" fontId="148" fillId="44" borderId="79" xfId="8726" applyNumberFormat="1" applyFont="1" applyFill="1" applyBorder="1" applyAlignment="1">
      <alignment horizontal="center"/>
    </xf>
    <xf numFmtId="9" fontId="148" fillId="49" borderId="9" xfId="8726" applyNumberFormat="1" applyFont="1" applyFill="1" applyBorder="1" applyAlignment="1" applyProtection="1">
      <alignment horizontal="center"/>
      <protection locked="0"/>
    </xf>
    <xf numFmtId="9" fontId="148" fillId="49" borderId="6" xfId="8726" applyNumberFormat="1" applyFont="1" applyFill="1" applyBorder="1" applyAlignment="1" applyProtection="1">
      <alignment horizontal="center"/>
      <protection locked="0"/>
    </xf>
    <xf numFmtId="9" fontId="148" fillId="49" borderId="10" xfId="8726" applyNumberFormat="1" applyFont="1" applyFill="1" applyBorder="1" applyAlignment="1" applyProtection="1">
      <alignment horizontal="center"/>
      <protection locked="0"/>
    </xf>
    <xf numFmtId="9" fontId="149" fillId="49" borderId="9" xfId="8726" applyNumberFormat="1" applyFont="1" applyFill="1" applyBorder="1" applyAlignment="1" applyProtection="1">
      <alignment horizontal="center"/>
      <protection locked="0"/>
    </xf>
    <xf numFmtId="9" fontId="149" fillId="49" borderId="6" xfId="8726" applyNumberFormat="1" applyFont="1" applyFill="1" applyBorder="1" applyAlignment="1" applyProtection="1">
      <alignment horizontal="center"/>
      <protection locked="0"/>
    </xf>
    <xf numFmtId="9" fontId="149" fillId="49" borderId="10" xfId="8726" applyNumberFormat="1" applyFont="1" applyFill="1" applyBorder="1" applyAlignment="1" applyProtection="1">
      <alignment horizontal="center"/>
      <protection locked="0"/>
    </xf>
    <xf numFmtId="0" fontId="149" fillId="44" borderId="9" xfId="8726" applyFont="1" applyFill="1" applyBorder="1" applyAlignment="1">
      <alignment horizontal="center"/>
    </xf>
    <xf numFmtId="0" fontId="149" fillId="44" borderId="6" xfId="8726" applyFont="1" applyFill="1" applyBorder="1" applyAlignment="1">
      <alignment horizontal="center"/>
    </xf>
    <xf numFmtId="0" fontId="149" fillId="44" borderId="10" xfId="8726" applyFont="1" applyFill="1" applyBorder="1" applyAlignment="1">
      <alignment horizontal="center"/>
    </xf>
    <xf numFmtId="0" fontId="149" fillId="44" borderId="103" xfId="8726" applyFont="1" applyFill="1" applyBorder="1" applyAlignment="1">
      <alignment horizontal="center"/>
    </xf>
    <xf numFmtId="0" fontId="148" fillId="44" borderId="81" xfId="8726" applyFont="1" applyFill="1" applyBorder="1" applyAlignment="1">
      <alignment horizontal="center"/>
    </xf>
    <xf numFmtId="0" fontId="148" fillId="44" borderId="82" xfId="8726" applyFont="1" applyFill="1" applyBorder="1" applyAlignment="1">
      <alignment horizontal="center"/>
    </xf>
    <xf numFmtId="0" fontId="148" fillId="44" borderId="83" xfId="8726" applyFont="1" applyFill="1" applyBorder="1" applyAlignment="1">
      <alignment horizontal="center"/>
    </xf>
    <xf numFmtId="0" fontId="162" fillId="44" borderId="84" xfId="8726" applyFont="1" applyFill="1" applyBorder="1" applyAlignment="1">
      <alignment horizontal="center"/>
    </xf>
    <xf numFmtId="0" fontId="162" fillId="44" borderId="82" xfId="8726" applyFont="1" applyFill="1" applyBorder="1" applyAlignment="1">
      <alignment horizontal="center"/>
    </xf>
    <xf numFmtId="0" fontId="162" fillId="44" borderId="83" xfId="8726" applyFont="1" applyFill="1" applyBorder="1" applyAlignment="1">
      <alignment horizontal="center"/>
    </xf>
    <xf numFmtId="9" fontId="148" fillId="44" borderId="84" xfId="8726" applyNumberFormat="1" applyFont="1" applyFill="1" applyBorder="1" applyAlignment="1">
      <alignment horizontal="center"/>
    </xf>
    <xf numFmtId="9" fontId="148" fillId="44" borderId="82" xfId="8726" applyNumberFormat="1" applyFont="1" applyFill="1" applyBorder="1" applyAlignment="1">
      <alignment horizontal="center"/>
    </xf>
    <xf numFmtId="9" fontId="148" fillId="44" borderId="85" xfId="8726" applyNumberFormat="1" applyFont="1" applyFill="1" applyBorder="1" applyAlignment="1">
      <alignment horizontal="center"/>
    </xf>
    <xf numFmtId="0" fontId="148" fillId="45" borderId="13" xfId="8726" applyFont="1" applyFill="1" applyBorder="1" applyAlignment="1">
      <alignment horizontal="center" vertical="center" wrapText="1"/>
    </xf>
    <xf numFmtId="0" fontId="148" fillId="45" borderId="13" xfId="8726" applyFont="1" applyFill="1" applyBorder="1" applyAlignment="1">
      <alignment horizontal="center" vertical="center"/>
    </xf>
    <xf numFmtId="0" fontId="148" fillId="45" borderId="11" xfId="8726" applyFont="1" applyFill="1" applyBorder="1" applyAlignment="1">
      <alignment horizontal="center" vertical="center"/>
    </xf>
    <xf numFmtId="0" fontId="148" fillId="45" borderId="9" xfId="8726" applyFont="1" applyFill="1" applyBorder="1" applyAlignment="1">
      <alignment horizontal="center" vertical="center"/>
    </xf>
    <xf numFmtId="0" fontId="148" fillId="45" borderId="3" xfId="8726" applyFont="1" applyFill="1" applyBorder="1" applyAlignment="1">
      <alignment horizontal="center" vertical="center"/>
    </xf>
    <xf numFmtId="9" fontId="148" fillId="49" borderId="13" xfId="8726" applyNumberFormat="1" applyFont="1" applyFill="1" applyBorder="1" applyAlignment="1" applyProtection="1">
      <alignment horizontal="center"/>
      <protection locked="0"/>
    </xf>
    <xf numFmtId="0" fontId="148" fillId="44" borderId="86" xfId="8726" applyFont="1" applyFill="1" applyBorder="1" applyAlignment="1">
      <alignment horizontal="center"/>
    </xf>
    <xf numFmtId="0" fontId="148" fillId="44" borderId="42" xfId="8726" applyFont="1" applyFill="1" applyBorder="1" applyAlignment="1">
      <alignment horizontal="center"/>
    </xf>
    <xf numFmtId="0" fontId="148" fillId="44" borderId="87" xfId="8726" applyFont="1" applyFill="1" applyBorder="1" applyAlignment="1">
      <alignment horizontal="center"/>
    </xf>
    <xf numFmtId="0" fontId="148" fillId="44" borderId="88" xfId="8726" applyFont="1" applyFill="1" applyBorder="1" applyAlignment="1">
      <alignment horizontal="center"/>
    </xf>
    <xf numFmtId="0" fontId="164" fillId="49" borderId="80" xfId="8726" applyFont="1" applyFill="1" applyBorder="1" applyAlignment="1" applyProtection="1">
      <alignment horizontal="right"/>
      <protection locked="0"/>
    </xf>
    <xf numFmtId="0" fontId="164" fillId="49" borderId="11" xfId="8726" applyFont="1" applyFill="1" applyBorder="1" applyAlignment="1" applyProtection="1">
      <alignment horizontal="right"/>
      <protection locked="0"/>
    </xf>
    <xf numFmtId="0" fontId="163" fillId="49" borderId="11" xfId="8726" applyFont="1" applyFill="1" applyBorder="1" applyAlignment="1" applyProtection="1">
      <alignment horizontal="center"/>
      <protection locked="0"/>
    </xf>
    <xf numFmtId="1" fontId="163" fillId="49" borderId="11" xfId="8726" applyNumberFormat="1" applyFont="1" applyFill="1" applyBorder="1" applyAlignment="1" applyProtection="1">
      <alignment horizontal="center"/>
      <protection locked="0"/>
    </xf>
    <xf numFmtId="0" fontId="145" fillId="45" borderId="67" xfId="8726" applyFont="1" applyFill="1" applyBorder="1" applyAlignment="1">
      <alignment horizontal="center"/>
    </xf>
    <xf numFmtId="0" fontId="145" fillId="45" borderId="68" xfId="8726" applyFont="1" applyFill="1" applyBorder="1" applyAlignment="1">
      <alignment horizontal="center"/>
    </xf>
    <xf numFmtId="0" fontId="145" fillId="45" borderId="69" xfId="8726" applyFont="1" applyFill="1" applyBorder="1" applyAlignment="1">
      <alignment horizontal="center"/>
    </xf>
    <xf numFmtId="0" fontId="149" fillId="45" borderId="65" xfId="8726" applyFont="1" applyFill="1" applyBorder="1" applyAlignment="1">
      <alignment horizontal="center" vertical="center" wrapText="1"/>
    </xf>
    <xf numFmtId="0" fontId="149" fillId="45" borderId="29" xfId="8726" applyFont="1" applyFill="1" applyBorder="1" applyAlignment="1">
      <alignment horizontal="center" vertical="center" wrapText="1"/>
    </xf>
    <xf numFmtId="0" fontId="149" fillId="45" borderId="31" xfId="8726" applyFont="1" applyFill="1" applyBorder="1" applyAlignment="1">
      <alignment horizontal="center" vertical="center" wrapText="1"/>
    </xf>
    <xf numFmtId="0" fontId="149" fillId="45" borderId="86" xfId="8726" applyFont="1" applyFill="1" applyBorder="1" applyAlignment="1">
      <alignment horizontal="center" vertical="center" wrapText="1"/>
    </xf>
    <xf numFmtId="0" fontId="149" fillId="45" borderId="42" xfId="8726" applyFont="1" applyFill="1" applyBorder="1" applyAlignment="1">
      <alignment horizontal="center" vertical="center" wrapText="1"/>
    </xf>
    <xf numFmtId="0" fontId="149" fillId="45" borderId="44" xfId="8726" applyFont="1" applyFill="1" applyBorder="1" applyAlignment="1">
      <alignment horizontal="center" vertical="center" wrapText="1"/>
    </xf>
    <xf numFmtId="0" fontId="149" fillId="45" borderId="67" xfId="8726" applyFont="1" applyFill="1" applyBorder="1" applyAlignment="1">
      <alignment horizontal="center"/>
    </xf>
    <xf numFmtId="0" fontId="149" fillId="45" borderId="68" xfId="8726" applyFont="1" applyFill="1" applyBorder="1" applyAlignment="1">
      <alignment horizontal="center"/>
    </xf>
    <xf numFmtId="0" fontId="149" fillId="45" borderId="69" xfId="8726" applyFont="1" applyFill="1" applyBorder="1" applyAlignment="1">
      <alignment horizontal="center"/>
    </xf>
    <xf numFmtId="9" fontId="148" fillId="44" borderId="88" xfId="1022" applyFont="1" applyFill="1" applyBorder="1" applyAlignment="1">
      <alignment horizontal="center"/>
    </xf>
    <xf numFmtId="9" fontId="148" fillId="44" borderId="42" xfId="1022" applyFont="1" applyFill="1" applyBorder="1" applyAlignment="1">
      <alignment horizontal="center"/>
    </xf>
    <xf numFmtId="9" fontId="148" fillId="44" borderId="44" xfId="1022" applyFont="1" applyFill="1" applyBorder="1" applyAlignment="1">
      <alignment horizontal="center"/>
    </xf>
    <xf numFmtId="0" fontId="149" fillId="45" borderId="95" xfId="8726" applyFont="1" applyFill="1" applyBorder="1" applyAlignment="1">
      <alignment horizontal="center" vertical="center" wrapText="1"/>
    </xf>
    <xf numFmtId="0" fontId="149" fillId="45" borderId="13" xfId="8726" applyFont="1" applyFill="1" applyBorder="1" applyAlignment="1">
      <alignment horizontal="center" vertical="center"/>
    </xf>
    <xf numFmtId="0" fontId="149" fillId="45" borderId="80" xfId="8726" applyFont="1" applyFill="1" applyBorder="1" applyAlignment="1">
      <alignment horizontal="center" vertical="center"/>
    </xf>
    <xf numFmtId="0" fontId="149" fillId="45" borderId="11" xfId="8726" applyFont="1" applyFill="1" applyBorder="1" applyAlignment="1">
      <alignment horizontal="center" vertical="center"/>
    </xf>
    <xf numFmtId="1" fontId="163" fillId="49" borderId="3" xfId="8726" applyNumberFormat="1" applyFont="1" applyFill="1" applyBorder="1" applyAlignment="1" applyProtection="1">
      <alignment horizontal="center"/>
      <protection locked="0"/>
    </xf>
    <xf numFmtId="1" fontId="163" fillId="49" borderId="4" xfId="8726" applyNumberFormat="1" applyFont="1" applyFill="1" applyBorder="1" applyAlignment="1" applyProtection="1">
      <alignment horizontal="center"/>
      <protection locked="0"/>
    </xf>
    <xf numFmtId="1" fontId="163" fillId="49" borderId="5" xfId="8726" applyNumberFormat="1" applyFont="1" applyFill="1" applyBorder="1" applyAlignment="1" applyProtection="1">
      <alignment horizontal="center"/>
      <protection locked="0"/>
    </xf>
    <xf numFmtId="1" fontId="149" fillId="44" borderId="3" xfId="8726" applyNumberFormat="1" applyFont="1" applyFill="1" applyBorder="1" applyAlignment="1">
      <alignment horizontal="center"/>
    </xf>
    <xf numFmtId="1" fontId="149" fillId="44" borderId="4" xfId="8726" applyNumberFormat="1" applyFont="1" applyFill="1" applyBorder="1" applyAlignment="1">
      <alignment horizontal="center"/>
    </xf>
    <xf numFmtId="1" fontId="149" fillId="44" borderId="5" xfId="8726" applyNumberFormat="1" applyFont="1" applyFill="1" applyBorder="1" applyAlignment="1">
      <alignment horizontal="center"/>
    </xf>
    <xf numFmtId="9" fontId="149" fillId="44" borderId="3" xfId="8728" applyFont="1" applyFill="1" applyBorder="1" applyAlignment="1">
      <alignment horizontal="center"/>
    </xf>
    <xf numFmtId="9" fontId="149" fillId="44" borderId="4" xfId="8728" applyFont="1" applyFill="1" applyBorder="1" applyAlignment="1">
      <alignment horizontal="center"/>
    </xf>
    <xf numFmtId="9" fontId="149" fillId="44" borderId="79" xfId="8728" applyFont="1" applyFill="1" applyBorder="1" applyAlignment="1">
      <alignment horizontal="center"/>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1" fontId="163" fillId="49" borderId="84" xfId="8726" applyNumberFormat="1" applyFont="1" applyFill="1" applyBorder="1" applyAlignment="1" applyProtection="1">
      <alignment horizontal="center"/>
      <protection locked="0"/>
    </xf>
    <xf numFmtId="1" fontId="163" fillId="49" borderId="82" xfId="8726" applyNumberFormat="1" applyFont="1" applyFill="1" applyBorder="1" applyAlignment="1" applyProtection="1">
      <alignment horizontal="center"/>
      <protection locked="0"/>
    </xf>
    <xf numFmtId="1" fontId="163" fillId="49" borderId="83" xfId="8726" applyNumberFormat="1" applyFont="1" applyFill="1" applyBorder="1" applyAlignment="1" applyProtection="1">
      <alignment horizontal="center"/>
      <protection locked="0"/>
    </xf>
    <xf numFmtId="9" fontId="149" fillId="44" borderId="84" xfId="8728" applyFont="1" applyFill="1" applyBorder="1" applyAlignment="1">
      <alignment horizontal="center"/>
    </xf>
    <xf numFmtId="9" fontId="149" fillId="44" borderId="82" xfId="8728" applyFont="1" applyFill="1" applyBorder="1" applyAlignment="1">
      <alignment horizontal="center"/>
    </xf>
    <xf numFmtId="9" fontId="149" fillId="44" borderId="85" xfId="8728" applyFont="1" applyFill="1" applyBorder="1" applyAlignment="1">
      <alignment horizontal="center"/>
    </xf>
    <xf numFmtId="0" fontId="145" fillId="45" borderId="70" xfId="8726" applyFont="1" applyFill="1" applyBorder="1" applyAlignment="1">
      <alignment horizontal="center"/>
    </xf>
    <xf numFmtId="0" fontId="145" fillId="45" borderId="71" xfId="8726" applyFont="1" applyFill="1" applyBorder="1" applyAlignment="1">
      <alignment horizontal="center"/>
    </xf>
    <xf numFmtId="0" fontId="145" fillId="45" borderId="74" xfId="8726" applyFont="1" applyFill="1" applyBorder="1" applyAlignment="1">
      <alignment horizontal="center"/>
    </xf>
    <xf numFmtId="0" fontId="149" fillId="45" borderId="11" xfId="8726" applyFont="1" applyFill="1" applyBorder="1" applyAlignment="1">
      <alignment horizontal="center" vertical="center" wrapText="1"/>
    </xf>
    <xf numFmtId="0" fontId="149" fillId="45" borderId="91" xfId="8726" applyFont="1" applyFill="1" applyBorder="1" applyAlignment="1">
      <alignment horizontal="center" vertical="center" wrapText="1"/>
    </xf>
    <xf numFmtId="1" fontId="163" fillId="49" borderId="73" xfId="8726" applyNumberFormat="1" applyFont="1" applyFill="1" applyBorder="1" applyAlignment="1" applyProtection="1">
      <alignment horizontal="center"/>
      <protection locked="0"/>
    </xf>
    <xf numFmtId="0" fontId="162" fillId="49" borderId="72" xfId="8726" applyFont="1" applyFill="1" applyBorder="1" applyAlignment="1" applyProtection="1">
      <alignment horizontal="right"/>
      <protection locked="0"/>
    </xf>
    <xf numFmtId="0" fontId="162" fillId="49" borderId="73" xfId="8726" applyFont="1" applyFill="1" applyBorder="1" applyAlignment="1" applyProtection="1">
      <alignment horizontal="right"/>
      <protection locked="0"/>
    </xf>
    <xf numFmtId="0" fontId="163" fillId="49" borderId="73"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 fontId="162" fillId="49" borderId="11" xfId="8726" applyNumberFormat="1" applyFont="1" applyFill="1" applyBorder="1" applyAlignment="1" applyProtection="1">
      <alignment horizontal="center"/>
      <protection locked="0"/>
    </xf>
    <xf numFmtId="0" fontId="162" fillId="49" borderId="11" xfId="700" applyNumberFormat="1" applyFont="1" applyFill="1" applyBorder="1" applyAlignment="1" applyProtection="1">
      <alignment horizontal="left"/>
      <protection locked="0"/>
    </xf>
    <xf numFmtId="0" fontId="162" fillId="49" borderId="91" xfId="700" applyNumberFormat="1" applyFont="1" applyFill="1" applyBorder="1" applyAlignment="1" applyProtection="1">
      <alignment horizontal="left"/>
      <protection locked="0"/>
    </xf>
    <xf numFmtId="0" fontId="162" fillId="44" borderId="80" xfId="8726" applyFont="1" applyFill="1" applyBorder="1" applyAlignment="1" applyProtection="1">
      <alignment horizontal="right"/>
      <protection locked="0"/>
    </xf>
    <xf numFmtId="0" fontId="162" fillId="44" borderId="11" xfId="8726" applyFont="1" applyFill="1" applyBorder="1" applyAlignment="1" applyProtection="1">
      <alignment horizontal="right"/>
      <protection locked="0"/>
    </xf>
    <xf numFmtId="0" fontId="162" fillId="44" borderId="91" xfId="8726" applyFont="1" applyFill="1" applyBorder="1" applyAlignment="1" applyProtection="1">
      <alignment horizontal="right"/>
      <protection locked="0"/>
    </xf>
    <xf numFmtId="0" fontId="162" fillId="49" borderId="5" xfId="8726" applyFont="1" applyFill="1" applyBorder="1" applyAlignment="1" applyProtection="1">
      <alignment horizontal="left"/>
      <protection locked="0"/>
    </xf>
    <xf numFmtId="0" fontId="162" fillId="49" borderId="11" xfId="8726" applyFont="1" applyFill="1" applyBorder="1" applyAlignment="1" applyProtection="1">
      <alignment horizontal="left"/>
      <protection locked="0"/>
    </xf>
    <xf numFmtId="0" fontId="162" fillId="49" borderId="91" xfId="8726" applyFont="1" applyFill="1" applyBorder="1" applyAlignment="1" applyProtection="1">
      <alignment horizontal="left"/>
      <protection locked="0"/>
    </xf>
    <xf numFmtId="0" fontId="162" fillId="44" borderId="72" xfId="8726" applyFont="1" applyFill="1" applyBorder="1" applyAlignment="1" applyProtection="1">
      <alignment horizontal="right"/>
      <protection locked="0"/>
    </xf>
    <xf numFmtId="0" fontId="162" fillId="44" borderId="73" xfId="8726" applyFont="1" applyFill="1" applyBorder="1" applyAlignment="1" applyProtection="1">
      <alignment horizontal="right"/>
      <protection locked="0"/>
    </xf>
    <xf numFmtId="0" fontId="162" fillId="44" borderId="93" xfId="8726" applyFont="1" applyFill="1" applyBorder="1" applyAlignment="1" applyProtection="1">
      <alignment horizontal="right"/>
      <protection locked="0"/>
    </xf>
    <xf numFmtId="168" fontId="148" fillId="45" borderId="73" xfId="8727" applyNumberFormat="1" applyFont="1" applyFill="1" applyBorder="1" applyAlignment="1">
      <alignment horizontal="center"/>
    </xf>
    <xf numFmtId="1" fontId="148" fillId="45" borderId="73" xfId="8727" applyNumberFormat="1" applyFont="1" applyFill="1" applyBorder="1" applyAlignment="1">
      <alignment horizontal="center"/>
    </xf>
    <xf numFmtId="0" fontId="148" fillId="45" borderId="73" xfId="8727" applyNumberFormat="1" applyFont="1" applyFill="1" applyBorder="1" applyAlignment="1">
      <alignment horizontal="center"/>
    </xf>
    <xf numFmtId="0" fontId="148" fillId="45" borderId="93" xfId="8727" applyNumberFormat="1" applyFont="1" applyFill="1" applyBorder="1" applyAlignment="1">
      <alignment horizontal="center"/>
    </xf>
    <xf numFmtId="0" fontId="145" fillId="45" borderId="65" xfId="8726" applyFont="1" applyFill="1" applyBorder="1" applyAlignment="1">
      <alignment horizontal="center"/>
    </xf>
    <xf numFmtId="0" fontId="145" fillId="45" borderId="29" xfId="8726" applyFont="1" applyFill="1" applyBorder="1" applyAlignment="1">
      <alignment horizontal="center"/>
    </xf>
    <xf numFmtId="0" fontId="145" fillId="45" borderId="31" xfId="8726" applyFont="1" applyFill="1" applyBorder="1" applyAlignment="1">
      <alignment horizontal="center"/>
    </xf>
    <xf numFmtId="0" fontId="162" fillId="49" borderId="83" xfId="8726" applyFont="1" applyFill="1" applyBorder="1" applyAlignment="1" applyProtection="1">
      <alignment horizontal="left"/>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62" fillId="49" borderId="80" xfId="8726" applyFont="1" applyFill="1" applyBorder="1" applyAlignment="1" applyProtection="1">
      <alignment horizontal="center"/>
      <protection locked="0"/>
    </xf>
    <xf numFmtId="168" fontId="164" fillId="49" borderId="11" xfId="700" applyNumberFormat="1" applyFont="1" applyFill="1" applyBorder="1" applyAlignment="1" applyProtection="1">
      <alignment horizontal="left"/>
      <protection locked="0"/>
    </xf>
    <xf numFmtId="168" fontId="164" fillId="49" borderId="91" xfId="700" applyNumberFormat="1" applyFont="1" applyFill="1" applyBorder="1" applyAlignment="1" applyProtection="1">
      <alignment horizontal="left"/>
      <protection locked="0"/>
    </xf>
    <xf numFmtId="0" fontId="145" fillId="45" borderId="94" xfId="8726" applyFont="1" applyFill="1" applyBorder="1" applyAlignment="1">
      <alignment horizontal="right"/>
    </xf>
    <xf numFmtId="0" fontId="145" fillId="45" borderId="43" xfId="8726" applyFont="1" applyFill="1" applyBorder="1" applyAlignment="1">
      <alignment horizontal="right"/>
    </xf>
    <xf numFmtId="0" fontId="162" fillId="49" borderId="71" xfId="8726" applyFont="1" applyFill="1" applyBorder="1" applyAlignment="1" applyProtection="1">
      <alignment horizontal="left"/>
      <protection locked="0"/>
    </xf>
    <xf numFmtId="0" fontId="162" fillId="49" borderId="74" xfId="8726" applyFont="1" applyFill="1" applyBorder="1" applyAlignment="1" applyProtection="1">
      <alignment horizontal="left"/>
      <protection locked="0"/>
    </xf>
    <xf numFmtId="0" fontId="145" fillId="45" borderId="72" xfId="8726" applyFont="1" applyFill="1" applyBorder="1" applyAlignment="1">
      <alignment horizontal="center"/>
    </xf>
    <xf numFmtId="0" fontId="145" fillId="45" borderId="73" xfId="8726" applyFont="1" applyFill="1" applyBorder="1" applyAlignment="1">
      <alignment horizontal="center"/>
    </xf>
    <xf numFmtId="0" fontId="101" fillId="45" borderId="74" xfId="8726" applyFont="1" applyFill="1" applyBorder="1" applyAlignment="1">
      <alignment horizontal="left" wrapText="1"/>
    </xf>
    <xf numFmtId="0" fontId="101" fillId="45" borderId="91" xfId="8726" applyFont="1" applyFill="1" applyBorder="1" applyAlignment="1">
      <alignment horizontal="left" wrapText="1"/>
    </xf>
    <xf numFmtId="0" fontId="101" fillId="45" borderId="65" xfId="8726" applyFont="1" applyFill="1" applyBorder="1" applyAlignment="1">
      <alignment horizontal="center"/>
    </xf>
    <xf numFmtId="0" fontId="101" fillId="45" borderId="29" xfId="8726" applyFont="1" applyFill="1" applyBorder="1" applyAlignment="1">
      <alignment horizontal="center"/>
    </xf>
    <xf numFmtId="0" fontId="101" fillId="45" borderId="31" xfId="8726" applyFont="1" applyFill="1" applyBorder="1" applyAlignment="1">
      <alignment horizontal="center"/>
    </xf>
    <xf numFmtId="0" fontId="101" fillId="45" borderId="80" xfId="8726" applyFont="1" applyFill="1" applyBorder="1" applyAlignment="1">
      <alignment horizontal="center"/>
    </xf>
    <xf numFmtId="0" fontId="101" fillId="45" borderId="11" xfId="8726" applyFont="1" applyFill="1" applyBorder="1" applyAlignment="1">
      <alignment horizontal="center"/>
    </xf>
    <xf numFmtId="0" fontId="159" fillId="45" borderId="11" xfId="8726" applyFont="1" applyFill="1" applyBorder="1" applyAlignment="1">
      <alignment horizontal="left"/>
    </xf>
    <xf numFmtId="0" fontId="159" fillId="45" borderId="91" xfId="8726" applyFont="1" applyFill="1" applyBorder="1" applyAlignment="1">
      <alignment horizontal="left"/>
    </xf>
    <xf numFmtId="0" fontId="3" fillId="47" borderId="73" xfId="8726" applyFill="1" applyBorder="1" applyAlignment="1" applyProtection="1">
      <alignment horizontal="center"/>
      <protection locked="0"/>
    </xf>
    <xf numFmtId="0" fontId="3" fillId="47" borderId="93" xfId="8726" applyFill="1" applyBorder="1" applyAlignment="1" applyProtection="1">
      <alignment horizontal="center"/>
      <protection locked="0"/>
    </xf>
    <xf numFmtId="0" fontId="160" fillId="45" borderId="80" xfId="8726" applyFont="1" applyFill="1" applyBorder="1" applyAlignment="1">
      <alignment horizontal="left"/>
    </xf>
    <xf numFmtId="0" fontId="160" fillId="45" borderId="11" xfId="8726" applyFont="1" applyFill="1" applyBorder="1" applyAlignment="1">
      <alignment horizontal="left"/>
    </xf>
    <xf numFmtId="0" fontId="160" fillId="45" borderId="72" xfId="8726" applyFont="1" applyFill="1" applyBorder="1" applyAlignment="1">
      <alignment horizontal="left"/>
    </xf>
    <xf numFmtId="0" fontId="160" fillId="45" borderId="73" xfId="8726" applyFont="1" applyFill="1" applyBorder="1" applyAlignment="1">
      <alignment horizontal="left"/>
    </xf>
    <xf numFmtId="0" fontId="145" fillId="45" borderId="70" xfId="8726" applyFont="1" applyFill="1" applyBorder="1" applyAlignment="1">
      <alignment horizontal="left"/>
    </xf>
    <xf numFmtId="0" fontId="145" fillId="45" borderId="71" xfId="8726" applyFont="1" applyFill="1" applyBorder="1" applyAlignment="1">
      <alignment horizontal="left"/>
    </xf>
    <xf numFmtId="0" fontId="147" fillId="49" borderId="71" xfId="8726" applyFont="1" applyFill="1" applyBorder="1" applyAlignment="1" applyProtection="1">
      <alignment horizontal="left"/>
      <protection locked="0"/>
    </xf>
    <xf numFmtId="0" fontId="147" fillId="49" borderId="74" xfId="8726" applyFont="1" applyFill="1" applyBorder="1" applyAlignment="1" applyProtection="1">
      <alignment horizontal="left"/>
      <protection locked="0"/>
    </xf>
    <xf numFmtId="0" fontId="153" fillId="45" borderId="80" xfId="8726" applyFont="1" applyFill="1" applyBorder="1" applyAlignment="1">
      <alignment horizontal="left"/>
    </xf>
    <xf numFmtId="0" fontId="153" fillId="45" borderId="11" xfId="8726" applyFont="1" applyFill="1" applyBorder="1" applyAlignment="1">
      <alignment horizontal="left"/>
    </xf>
    <xf numFmtId="0" fontId="163" fillId="49" borderId="11" xfId="8726" applyFont="1" applyFill="1" applyBorder="1" applyAlignment="1" applyProtection="1">
      <alignment horizontal="left"/>
      <protection locked="0"/>
    </xf>
    <xf numFmtId="0" fontId="163" fillId="49" borderId="91" xfId="8726" applyFont="1" applyFill="1" applyBorder="1" applyAlignment="1" applyProtection="1">
      <alignment horizontal="left"/>
      <protection locked="0"/>
    </xf>
    <xf numFmtId="0" fontId="164" fillId="49" borderId="80" xfId="8726" applyFont="1" applyFill="1" applyBorder="1" applyAlignment="1" applyProtection="1">
      <alignment horizontal="left" vertical="top"/>
      <protection locked="0"/>
    </xf>
    <xf numFmtId="0" fontId="164" fillId="49" borderId="11" xfId="8726" applyFont="1" applyFill="1" applyBorder="1" applyAlignment="1" applyProtection="1">
      <alignment horizontal="left" vertical="top"/>
      <protection locked="0"/>
    </xf>
    <xf numFmtId="0" fontId="164" fillId="49" borderId="91" xfId="8726" applyFont="1" applyFill="1" applyBorder="1" applyAlignment="1" applyProtection="1">
      <alignment horizontal="left" vertical="top"/>
      <protection locked="0"/>
    </xf>
    <xf numFmtId="0" fontId="164" fillId="49" borderId="72" xfId="8726" applyFont="1" applyFill="1" applyBorder="1" applyAlignment="1" applyProtection="1">
      <alignment horizontal="left" vertical="top"/>
      <protection locked="0"/>
    </xf>
    <xf numFmtId="0" fontId="164" fillId="49" borderId="73" xfId="8726" applyFont="1" applyFill="1" applyBorder="1" applyAlignment="1" applyProtection="1">
      <alignment horizontal="left" vertical="top"/>
      <protection locked="0"/>
    </xf>
    <xf numFmtId="0" fontId="164" fillId="49" borderId="93" xfId="8726" applyFont="1" applyFill="1" applyBorder="1" applyAlignment="1" applyProtection="1">
      <alignment horizontal="left" vertical="top"/>
      <protection locked="0"/>
    </xf>
    <xf numFmtId="0" fontId="149" fillId="45" borderId="11" xfId="8726" applyFont="1" applyFill="1" applyBorder="1" applyAlignment="1">
      <alignment horizontal="center" wrapText="1"/>
    </xf>
    <xf numFmtId="0" fontId="149" fillId="45" borderId="91" xfId="8726" applyFont="1" applyFill="1" applyBorder="1" applyAlignment="1">
      <alignment horizontal="center" wrapText="1"/>
    </xf>
    <xf numFmtId="0" fontId="101" fillId="45" borderId="91" xfId="8726" applyFont="1" applyFill="1" applyBorder="1" applyAlignment="1">
      <alignment horizontal="center"/>
    </xf>
    <xf numFmtId="0" fontId="172" fillId="45" borderId="80" xfId="8726" applyFont="1" applyFill="1" applyBorder="1" applyAlignment="1">
      <alignment horizontal="center"/>
    </xf>
    <xf numFmtId="0" fontId="172" fillId="45" borderId="11" xfId="8726" applyFont="1" applyFill="1" applyBorder="1" applyAlignment="1">
      <alignment horizontal="center"/>
    </xf>
    <xf numFmtId="0" fontId="164" fillId="49" borderId="11" xfId="8726" applyFont="1" applyFill="1" applyBorder="1" applyAlignment="1" applyProtection="1">
      <alignment horizontal="center"/>
      <protection locked="0"/>
    </xf>
    <xf numFmtId="14" fontId="162" fillId="49" borderId="11" xfId="8726" applyNumberFormat="1" applyFont="1" applyFill="1" applyBorder="1" applyAlignment="1" applyProtection="1">
      <alignment horizontal="center"/>
      <protection locked="0"/>
    </xf>
    <xf numFmtId="168" fontId="164" fillId="49" borderId="11" xfId="8727" applyNumberFormat="1" applyFont="1" applyFill="1" applyBorder="1" applyAlignment="1" applyProtection="1">
      <alignment horizontal="center"/>
      <protection locked="0"/>
    </xf>
    <xf numFmtId="168" fontId="164" fillId="49" borderId="91" xfId="8727" applyNumberFormat="1" applyFont="1" applyFill="1" applyBorder="1" applyAlignment="1" applyProtection="1">
      <alignment horizontal="center"/>
      <protection locked="0"/>
    </xf>
    <xf numFmtId="14" fontId="164" fillId="49" borderId="11" xfId="8726" applyNumberFormat="1" applyFont="1" applyFill="1" applyBorder="1" applyAlignment="1" applyProtection="1">
      <alignment horizontal="center"/>
      <protection locked="0"/>
    </xf>
    <xf numFmtId="0" fontId="158" fillId="49" borderId="11" xfId="8726" applyFont="1" applyFill="1" applyBorder="1" applyAlignment="1" applyProtection="1">
      <alignment horizontal="left"/>
      <protection locked="0"/>
    </xf>
    <xf numFmtId="0" fontId="172" fillId="45" borderId="72" xfId="8726" applyFont="1" applyFill="1" applyBorder="1" applyAlignment="1">
      <alignment horizontal="center"/>
    </xf>
    <xf numFmtId="0" fontId="172" fillId="45" borderId="73" xfId="8726" applyFont="1" applyFill="1" applyBorder="1" applyAlignment="1">
      <alignment horizontal="center"/>
    </xf>
    <xf numFmtId="0" fontId="158" fillId="49" borderId="73" xfId="8726" applyFont="1" applyFill="1" applyBorder="1" applyAlignment="1" applyProtection="1">
      <alignment horizontal="left"/>
      <protection locked="0"/>
    </xf>
    <xf numFmtId="0" fontId="164" fillId="49" borderId="73" xfId="8726" applyFont="1" applyFill="1" applyBorder="1" applyAlignment="1" applyProtection="1">
      <alignment horizontal="center"/>
      <protection locked="0"/>
    </xf>
    <xf numFmtId="14" fontId="164" fillId="49" borderId="73" xfId="8726" applyNumberFormat="1" applyFont="1" applyFill="1" applyBorder="1" applyAlignment="1" applyProtection="1">
      <alignment horizontal="center"/>
      <protection locked="0"/>
    </xf>
    <xf numFmtId="168" fontId="164" fillId="49" borderId="73" xfId="8727" applyNumberFormat="1" applyFont="1" applyFill="1" applyBorder="1" applyAlignment="1" applyProtection="1">
      <alignment horizontal="center"/>
      <protection locked="0"/>
    </xf>
    <xf numFmtId="168" fontId="164" fillId="49" borderId="93" xfId="8727" applyNumberFormat="1" applyFont="1" applyFill="1" applyBorder="1" applyAlignment="1" applyProtection="1">
      <alignment horizontal="center"/>
      <protection locked="0"/>
    </xf>
    <xf numFmtId="0" fontId="162" fillId="49" borderId="72" xfId="8726" applyFont="1" applyFill="1" applyBorder="1" applyAlignment="1" applyProtection="1">
      <alignment horizontal="center"/>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4" fontId="162" fillId="49" borderId="93" xfId="8726" applyNumberFormat="1" applyFont="1" applyFill="1" applyBorder="1" applyAlignment="1" applyProtection="1">
      <alignment horizontal="center"/>
      <protection locked="0"/>
    </xf>
    <xf numFmtId="0" fontId="101" fillId="45" borderId="65" xfId="8726" applyFont="1" applyFill="1" applyBorder="1" applyAlignment="1">
      <alignment horizontal="left" wrapText="1"/>
    </xf>
    <xf numFmtId="0" fontId="101" fillId="45" borderId="29" xfId="8726" applyFont="1" applyFill="1" applyBorder="1" applyAlignment="1">
      <alignment horizontal="left" wrapText="1"/>
    </xf>
    <xf numFmtId="0" fontId="101" fillId="45" borderId="31" xfId="8726" applyFont="1" applyFill="1" applyBorder="1" applyAlignment="1">
      <alignment horizontal="left" wrapText="1"/>
    </xf>
    <xf numFmtId="0" fontId="101" fillId="45" borderId="86" xfId="8726" applyFont="1" applyFill="1" applyBorder="1" applyAlignment="1">
      <alignment horizontal="left" wrapText="1"/>
    </xf>
    <xf numFmtId="0" fontId="101" fillId="45" borderId="42" xfId="8726" applyFont="1" applyFill="1" applyBorder="1" applyAlignment="1">
      <alignment horizontal="left" wrapText="1"/>
    </xf>
    <xf numFmtId="0" fontId="101" fillId="45" borderId="44" xfId="8726" applyFont="1" applyFill="1" applyBorder="1" applyAlignment="1">
      <alignment horizontal="left" wrapText="1"/>
    </xf>
    <xf numFmtId="0" fontId="101" fillId="45" borderId="70" xfId="8726" applyFont="1" applyFill="1" applyBorder="1" applyAlignment="1">
      <alignment horizontal="center"/>
    </xf>
    <xf numFmtId="0" fontId="101" fillId="45" borderId="71" xfId="8726" applyFont="1" applyFill="1" applyBorder="1" applyAlignment="1">
      <alignment horizontal="center"/>
    </xf>
    <xf numFmtId="0" fontId="101" fillId="45" borderId="74" xfId="8726" applyFont="1" applyFill="1" applyBorder="1" applyAlignment="1">
      <alignment horizontal="center"/>
    </xf>
    <xf numFmtId="0" fontId="145" fillId="45" borderId="74" xfId="8726" applyFont="1" applyFill="1" applyBorder="1" applyAlignment="1">
      <alignment horizontal="left"/>
    </xf>
    <xf numFmtId="14" fontId="162" fillId="49" borderId="91" xfId="8726" applyNumberFormat="1" applyFont="1" applyFill="1" applyBorder="1" applyAlignment="1" applyProtection="1">
      <alignment horizontal="center"/>
      <protection locked="0"/>
    </xf>
    <xf numFmtId="168" fontId="162" fillId="44" borderId="11" xfId="700" applyNumberFormat="1" applyFont="1" applyFill="1" applyBorder="1" applyAlignment="1">
      <alignment horizontal="left"/>
    </xf>
    <xf numFmtId="168" fontId="164" fillId="44" borderId="11" xfId="700" applyNumberFormat="1" applyFont="1" applyFill="1" applyBorder="1" applyAlignment="1">
      <alignment horizontal="left"/>
    </xf>
    <xf numFmtId="0" fontId="148" fillId="47" borderId="11" xfId="8726" applyFont="1" applyFill="1" applyBorder="1" applyAlignment="1">
      <alignment horizontal="center"/>
    </xf>
    <xf numFmtId="0" fontId="148" fillId="47" borderId="91" xfId="8726" applyFont="1" applyFill="1" applyBorder="1" applyAlignment="1">
      <alignment horizontal="center"/>
    </xf>
    <xf numFmtId="0" fontId="164" fillId="45" borderId="80" xfId="8726" applyFont="1" applyFill="1" applyBorder="1" applyAlignment="1">
      <alignment horizontal="right"/>
    </xf>
    <xf numFmtId="0" fontId="164" fillId="45" borderId="11" xfId="8726" applyFont="1" applyFill="1" applyBorder="1" applyAlignment="1">
      <alignment horizontal="right"/>
    </xf>
    <xf numFmtId="44" fontId="3" fillId="49" borderId="11" xfId="700" applyFont="1" applyFill="1" applyBorder="1" applyAlignment="1" applyProtection="1">
      <alignment horizontal="center"/>
      <protection locked="0"/>
    </xf>
    <xf numFmtId="43" fontId="145" fillId="55" borderId="104" xfId="698" applyFont="1" applyFill="1" applyBorder="1" applyAlignment="1" applyProtection="1">
      <alignment horizontal="center"/>
      <protection hidden="1"/>
    </xf>
    <xf numFmtId="43" fontId="145" fillId="55" borderId="97" xfId="698" applyFont="1" applyFill="1" applyBorder="1" applyAlignment="1" applyProtection="1">
      <alignment horizontal="center"/>
      <protection hidden="1"/>
    </xf>
    <xf numFmtId="43" fontId="145" fillId="55" borderId="98" xfId="698" applyFont="1" applyFill="1" applyBorder="1" applyAlignment="1" applyProtection="1">
      <alignment horizontal="center"/>
      <protection hidden="1"/>
    </xf>
    <xf numFmtId="43" fontId="147" fillId="53" borderId="13" xfId="698" applyFont="1" applyFill="1" applyBorder="1" applyAlignment="1" applyProtection="1">
      <alignment horizontal="left"/>
      <protection hidden="1"/>
    </xf>
    <xf numFmtId="44" fontId="3" fillId="49" borderId="13" xfId="700" applyFont="1" applyFill="1" applyBorder="1" applyAlignment="1" applyProtection="1">
      <alignment horizontal="center"/>
      <protection locked="0"/>
    </xf>
    <xf numFmtId="0" fontId="162" fillId="48" borderId="9" xfId="8726" applyFont="1" applyFill="1" applyBorder="1" applyAlignment="1">
      <alignment horizontal="center"/>
    </xf>
    <xf numFmtId="0" fontId="162" fillId="48" borderId="6" xfId="8726" applyFont="1" applyFill="1" applyBorder="1" applyAlignment="1">
      <alignment horizontal="center"/>
    </xf>
    <xf numFmtId="0" fontId="162" fillId="48" borderId="10" xfId="8726" applyFont="1" applyFill="1" applyBorder="1" applyAlignment="1">
      <alignment horizontal="center"/>
    </xf>
    <xf numFmtId="168" fontId="162" fillId="49" borderId="11" xfId="700" applyNumberFormat="1" applyFont="1" applyFill="1" applyBorder="1" applyAlignment="1" applyProtection="1">
      <alignment horizontal="left"/>
      <protection locked="0"/>
    </xf>
    <xf numFmtId="44" fontId="3" fillId="49" borderId="97" xfId="700" applyFont="1" applyFill="1" applyBorder="1" applyAlignment="1" applyProtection="1">
      <alignment horizontal="center"/>
      <protection locked="0"/>
    </xf>
    <xf numFmtId="168" fontId="146" fillId="48" borderId="0" xfId="700" applyNumberFormat="1" applyFont="1" applyFill="1" applyBorder="1" applyAlignment="1" applyProtection="1">
      <alignment horizontal="left"/>
      <protection locked="0"/>
    </xf>
    <xf numFmtId="0" fontId="149" fillId="45" borderId="67" xfId="0" applyFont="1" applyFill="1" applyBorder="1" applyAlignment="1" applyProtection="1">
      <alignment horizontal="center" wrapText="1"/>
      <protection hidden="1"/>
    </xf>
    <xf numFmtId="0" fontId="149" fillId="45" borderId="68" xfId="0" applyFont="1" applyFill="1" applyBorder="1" applyAlignment="1" applyProtection="1">
      <alignment horizontal="center" wrapText="1"/>
      <protection hidden="1"/>
    </xf>
    <xf numFmtId="0" fontId="149" fillId="45" borderId="69" xfId="0" applyFont="1" applyFill="1" applyBorder="1" applyAlignment="1" applyProtection="1">
      <alignment horizontal="center" wrapText="1"/>
      <protection hidden="1"/>
    </xf>
    <xf numFmtId="182" fontId="3" fillId="49" borderId="11" xfId="700" applyNumberFormat="1" applyFont="1" applyFill="1" applyBorder="1" applyAlignment="1" applyProtection="1">
      <alignment horizontal="center"/>
      <protection locked="0"/>
    </xf>
    <xf numFmtId="0" fontId="3" fillId="48" borderId="1" xfId="8726" applyFill="1" applyBorder="1" applyAlignment="1">
      <alignment horizontal="center"/>
    </xf>
    <xf numFmtId="0" fontId="3" fillId="48" borderId="2" xfId="8726" applyFill="1" applyBorder="1" applyAlignment="1">
      <alignment horizontal="center"/>
    </xf>
    <xf numFmtId="0" fontId="3" fillId="48" borderId="7" xfId="8726" applyFill="1" applyBorder="1" applyAlignment="1">
      <alignment horizontal="center"/>
    </xf>
    <xf numFmtId="0" fontId="164" fillId="45" borderId="70" xfId="8726" applyFont="1" applyFill="1" applyBorder="1" applyAlignment="1">
      <alignment horizontal="right"/>
    </xf>
    <xf numFmtId="0" fontId="164" fillId="45" borderId="71" xfId="8726" applyFont="1" applyFill="1" applyBorder="1" applyAlignment="1">
      <alignment horizontal="right"/>
    </xf>
    <xf numFmtId="168" fontId="147" fillId="44" borderId="71" xfId="700" applyNumberFormat="1" applyFont="1" applyFill="1" applyBorder="1" applyAlignment="1">
      <alignment horizontal="left"/>
    </xf>
    <xf numFmtId="168" fontId="147" fillId="44" borderId="74" xfId="700" applyNumberFormat="1" applyFont="1" applyFill="1" applyBorder="1" applyAlignment="1">
      <alignment horizontal="left"/>
    </xf>
    <xf numFmtId="0" fontId="162" fillId="49" borderId="81" xfId="8726" applyFont="1" applyFill="1" applyBorder="1" applyAlignment="1" applyProtection="1">
      <alignment horizontal="center"/>
      <protection locked="0"/>
    </xf>
    <xf numFmtId="0" fontId="162" fillId="49" borderId="82" xfId="8726" applyFont="1" applyFill="1" applyBorder="1" applyAlignment="1" applyProtection="1">
      <alignment horizontal="center"/>
      <protection locked="0"/>
    </xf>
    <xf numFmtId="0" fontId="164" fillId="49" borderId="73" xfId="8726" applyFont="1" applyFill="1" applyBorder="1" applyAlignment="1" applyProtection="1">
      <alignment horizontal="left"/>
      <protection locked="0"/>
    </xf>
    <xf numFmtId="0" fontId="164" fillId="49" borderId="93" xfId="8726" applyFont="1" applyFill="1" applyBorder="1" applyAlignment="1" applyProtection="1">
      <alignment horizontal="left"/>
      <protection locked="0"/>
    </xf>
    <xf numFmtId="168" fontId="162" fillId="49" borderId="82" xfId="700" applyNumberFormat="1" applyFont="1" applyFill="1" applyBorder="1" applyAlignment="1" applyProtection="1">
      <alignment horizontal="left"/>
      <protection locked="0"/>
    </xf>
    <xf numFmtId="168" fontId="162" fillId="49" borderId="85" xfId="700" applyNumberFormat="1" applyFont="1" applyFill="1" applyBorder="1" applyAlignment="1" applyProtection="1">
      <alignment horizontal="left"/>
      <protection locked="0"/>
    </xf>
    <xf numFmtId="0" fontId="162" fillId="49" borderId="81" xfId="8726" applyFont="1" applyFill="1" applyBorder="1" applyAlignment="1" applyProtection="1">
      <alignment horizontal="left"/>
      <protection locked="0"/>
    </xf>
    <xf numFmtId="0" fontId="162" fillId="49" borderId="82" xfId="8726" applyFont="1" applyFill="1" applyBorder="1" applyAlignment="1" applyProtection="1">
      <alignment horizontal="left"/>
      <protection locked="0"/>
    </xf>
    <xf numFmtId="0" fontId="162" fillId="49" borderId="85" xfId="8726" applyFont="1" applyFill="1" applyBorder="1" applyAlignment="1" applyProtection="1">
      <alignment horizontal="left"/>
      <protection locked="0"/>
    </xf>
    <xf numFmtId="0" fontId="172" fillId="48" borderId="0" xfId="8726" applyFont="1" applyFill="1" applyAlignment="1">
      <alignment horizontal="left" wrapText="1"/>
    </xf>
    <xf numFmtId="0" fontId="172" fillId="48" borderId="41" xfId="8726" applyFont="1" applyFill="1" applyBorder="1" applyAlignment="1">
      <alignment horizontal="left" wrapText="1"/>
    </xf>
    <xf numFmtId="0" fontId="164" fillId="49" borderId="11" xfId="8726" applyFont="1" applyFill="1" applyBorder="1" applyAlignment="1" applyProtection="1">
      <alignment horizontal="left"/>
      <protection locked="0"/>
    </xf>
    <xf numFmtId="0" fontId="164" fillId="49" borderId="80" xfId="8726" applyFont="1" applyFill="1" applyBorder="1" applyAlignment="1" applyProtection="1">
      <alignment horizontal="center"/>
      <protection locked="0"/>
    </xf>
    <xf numFmtId="10" fontId="162" fillId="49" borderId="11" xfId="1022" applyNumberFormat="1" applyFont="1" applyFill="1" applyBorder="1" applyAlignment="1" applyProtection="1">
      <alignment horizontal="center"/>
      <protection locked="0"/>
    </xf>
    <xf numFmtId="43" fontId="145" fillId="45" borderId="67" xfId="698" applyFont="1" applyFill="1" applyBorder="1" applyAlignment="1" applyProtection="1">
      <alignment horizontal="center"/>
      <protection hidden="1"/>
    </xf>
    <xf numFmtId="43" fontId="145" fillId="45" borderId="68" xfId="698" applyFont="1" applyFill="1" applyBorder="1" applyAlignment="1" applyProtection="1">
      <alignment horizontal="center"/>
      <protection hidden="1"/>
    </xf>
    <xf numFmtId="43" fontId="145" fillId="45" borderId="69" xfId="698" applyFont="1" applyFill="1" applyBorder="1" applyAlignment="1" applyProtection="1">
      <alignment horizontal="center"/>
      <protection hidden="1"/>
    </xf>
    <xf numFmtId="43" fontId="146" fillId="53" borderId="66" xfId="698" applyFont="1" applyFill="1" applyBorder="1" applyAlignment="1" applyProtection="1">
      <alignment horizontal="center" wrapText="1"/>
      <protection hidden="1"/>
    </xf>
    <xf numFmtId="43" fontId="146" fillId="53" borderId="0" xfId="698" applyFont="1" applyFill="1" applyBorder="1" applyAlignment="1" applyProtection="1">
      <alignment horizontal="center" wrapText="1"/>
      <protection hidden="1"/>
    </xf>
    <xf numFmtId="43" fontId="146" fillId="53" borderId="12" xfId="698" applyFont="1" applyFill="1" applyBorder="1" applyAlignment="1" applyProtection="1">
      <alignment horizontal="center" wrapText="1"/>
      <protection hidden="1"/>
    </xf>
    <xf numFmtId="43" fontId="146" fillId="53" borderId="102" xfId="698" applyFont="1" applyFill="1" applyBorder="1" applyAlignment="1" applyProtection="1">
      <alignment horizontal="center" wrapText="1"/>
      <protection hidden="1"/>
    </xf>
    <xf numFmtId="43" fontId="146" fillId="53" borderId="6" xfId="698" applyFont="1" applyFill="1" applyBorder="1" applyAlignment="1" applyProtection="1">
      <alignment horizontal="center" wrapText="1"/>
      <protection hidden="1"/>
    </xf>
    <xf numFmtId="43" fontId="146" fillId="53" borderId="10" xfId="698" applyFont="1" applyFill="1" applyBorder="1" applyAlignment="1" applyProtection="1">
      <alignment horizontal="center" wrapText="1"/>
      <protection hidden="1"/>
    </xf>
    <xf numFmtId="43" fontId="146" fillId="53" borderId="8" xfId="698" applyFont="1" applyFill="1" applyBorder="1" applyAlignment="1" applyProtection="1">
      <alignment horizontal="center" wrapText="1"/>
      <protection hidden="1"/>
    </xf>
    <xf numFmtId="43" fontId="146" fillId="53" borderId="9" xfId="698" applyFont="1" applyFill="1" applyBorder="1" applyAlignment="1" applyProtection="1">
      <alignment horizontal="center" wrapText="1"/>
      <protection hidden="1"/>
    </xf>
    <xf numFmtId="14" fontId="146" fillId="0" borderId="8" xfId="700" applyNumberFormat="1" applyFont="1" applyFill="1" applyBorder="1" applyAlignment="1" applyProtection="1">
      <alignment horizontal="center" wrapText="1"/>
      <protection hidden="1"/>
    </xf>
    <xf numFmtId="14" fontId="146" fillId="0" borderId="0" xfId="700" applyNumberFormat="1" applyFont="1" applyFill="1" applyBorder="1" applyAlignment="1" applyProtection="1">
      <alignment horizontal="center" wrapText="1"/>
      <protection hidden="1"/>
    </xf>
    <xf numFmtId="14" fontId="146" fillId="0" borderId="12" xfId="700" applyNumberFormat="1" applyFont="1" applyFill="1" applyBorder="1" applyAlignment="1" applyProtection="1">
      <alignment horizontal="center" wrapText="1"/>
      <protection hidden="1"/>
    </xf>
    <xf numFmtId="14" fontId="146" fillId="0" borderId="9" xfId="700" applyNumberFormat="1" applyFont="1" applyFill="1" applyBorder="1" applyAlignment="1" applyProtection="1">
      <alignment horizontal="center" wrapText="1"/>
      <protection hidden="1"/>
    </xf>
    <xf numFmtId="14" fontId="146" fillId="0" borderId="6" xfId="700" applyNumberFormat="1" applyFont="1" applyFill="1" applyBorder="1" applyAlignment="1" applyProtection="1">
      <alignment horizontal="center" wrapText="1"/>
      <protection hidden="1"/>
    </xf>
    <xf numFmtId="14" fontId="146" fillId="0" borderId="10" xfId="700" applyNumberFormat="1" applyFont="1" applyFill="1" applyBorder="1" applyAlignment="1" applyProtection="1">
      <alignment horizontal="center" wrapText="1"/>
      <protection hidden="1"/>
    </xf>
    <xf numFmtId="44" fontId="146" fillId="0" borderId="8" xfId="700" applyFont="1" applyBorder="1" applyAlignment="1" applyProtection="1">
      <alignment horizontal="center" wrapText="1"/>
      <protection hidden="1"/>
    </xf>
    <xf numFmtId="44" fontId="146" fillId="0" borderId="0" xfId="700" applyFont="1" applyBorder="1" applyAlignment="1" applyProtection="1">
      <alignment horizontal="center" wrapText="1"/>
      <protection hidden="1"/>
    </xf>
    <xf numFmtId="44" fontId="146" fillId="0" borderId="12" xfId="700" applyFont="1" applyBorder="1" applyAlignment="1" applyProtection="1">
      <alignment horizontal="center" wrapText="1"/>
      <protection hidden="1"/>
    </xf>
    <xf numFmtId="44" fontId="146" fillId="0" borderId="9" xfId="700" applyFont="1" applyBorder="1" applyAlignment="1" applyProtection="1">
      <alignment horizontal="center" wrapText="1"/>
      <protection hidden="1"/>
    </xf>
    <xf numFmtId="44" fontId="146" fillId="0" borderId="6" xfId="700" applyFont="1" applyBorder="1" applyAlignment="1" applyProtection="1">
      <alignment horizontal="center" wrapText="1"/>
      <protection hidden="1"/>
    </xf>
    <xf numFmtId="44" fontId="146" fillId="0" borderId="10" xfId="700" applyFont="1" applyBorder="1" applyAlignment="1" applyProtection="1">
      <alignment horizontal="center" wrapText="1"/>
      <protection hidden="1"/>
    </xf>
    <xf numFmtId="0" fontId="101" fillId="0" borderId="67" xfId="8726" applyFont="1" applyBorder="1" applyAlignment="1">
      <alignment horizontal="left"/>
    </xf>
    <xf numFmtId="0" fontId="101" fillId="0" borderId="68" xfId="8726" applyFont="1" applyBorder="1" applyAlignment="1">
      <alignment horizontal="left"/>
    </xf>
    <xf numFmtId="0" fontId="148" fillId="45" borderId="72" xfId="8726" applyFont="1" applyFill="1" applyBorder="1" applyAlignment="1">
      <alignment horizontal="right"/>
    </xf>
    <xf numFmtId="0" fontId="148" fillId="45" borderId="73" xfId="8726" applyFont="1" applyFill="1" applyBorder="1" applyAlignment="1">
      <alignment horizontal="right"/>
    </xf>
    <xf numFmtId="0" fontId="149" fillId="44" borderId="73" xfId="700" applyNumberFormat="1" applyFont="1" applyFill="1" applyBorder="1" applyAlignment="1">
      <alignment horizontal="left"/>
    </xf>
    <xf numFmtId="168" fontId="149" fillId="44" borderId="73" xfId="700" applyNumberFormat="1" applyFont="1" applyFill="1" applyBorder="1" applyAlignment="1">
      <alignment horizontal="left"/>
    </xf>
    <xf numFmtId="168" fontId="149" fillId="44" borderId="93" xfId="700" applyNumberFormat="1" applyFont="1" applyFill="1" applyBorder="1" applyAlignment="1">
      <alignment horizontal="left"/>
    </xf>
    <xf numFmtId="0" fontId="145" fillId="48" borderId="0" xfId="8726" applyFont="1" applyFill="1" applyAlignment="1">
      <alignment horizontal="right"/>
    </xf>
    <xf numFmtId="0" fontId="147" fillId="49" borderId="3" xfId="8726" applyFont="1" applyFill="1" applyBorder="1" applyAlignment="1" applyProtection="1">
      <alignment horizontal="center"/>
      <protection locked="0"/>
    </xf>
    <xf numFmtId="0" fontId="147" fillId="49" borderId="4" xfId="8726" applyFont="1" applyFill="1" applyBorder="1" applyAlignment="1" applyProtection="1">
      <alignment horizontal="center"/>
      <protection locked="0"/>
    </xf>
    <xf numFmtId="0" fontId="147" fillId="49" borderId="79" xfId="8726" applyFont="1" applyFill="1" applyBorder="1" applyAlignment="1" applyProtection="1">
      <alignment horizontal="center"/>
      <protection locked="0"/>
    </xf>
    <xf numFmtId="0" fontId="101" fillId="44" borderId="0" xfId="8726" applyFont="1" applyFill="1" applyAlignment="1">
      <alignment horizontal="left"/>
    </xf>
    <xf numFmtId="0" fontId="149" fillId="44" borderId="0" xfId="8726" applyFont="1" applyFill="1" applyAlignment="1">
      <alignment horizontal="left" vertical="top"/>
    </xf>
    <xf numFmtId="0" fontId="101" fillId="44" borderId="0" xfId="4503" applyFont="1" applyFill="1" applyBorder="1" applyAlignment="1">
      <alignment horizontal="left" vertical="top"/>
    </xf>
    <xf numFmtId="0" fontId="173" fillId="48" borderId="65" xfId="8726" applyFont="1" applyFill="1" applyBorder="1" applyAlignment="1">
      <alignment horizontal="center"/>
    </xf>
    <xf numFmtId="0" fontId="173" fillId="48" borderId="29" xfId="8726" applyFont="1" applyFill="1" applyBorder="1" applyAlignment="1">
      <alignment horizontal="center"/>
    </xf>
    <xf numFmtId="0" fontId="173" fillId="48" borderId="31" xfId="8726" applyFont="1" applyFill="1" applyBorder="1" applyAlignment="1">
      <alignment horizontal="center"/>
    </xf>
    <xf numFmtId="0" fontId="3" fillId="48" borderId="66" xfId="8726" applyFill="1" applyBorder="1" applyAlignment="1">
      <alignment horizontal="center"/>
    </xf>
    <xf numFmtId="0" fontId="3" fillId="48" borderId="0" xfId="8726" applyFill="1" applyAlignment="1">
      <alignment horizontal="center"/>
    </xf>
    <xf numFmtId="0" fontId="3" fillId="48" borderId="41" xfId="8726" applyFill="1" applyBorder="1" applyAlignment="1">
      <alignment horizontal="center"/>
    </xf>
    <xf numFmtId="0" fontId="145" fillId="48" borderId="66" xfId="8726" applyFont="1" applyFill="1" applyBorder="1" applyAlignment="1">
      <alignment horizontal="center"/>
    </xf>
    <xf numFmtId="0" fontId="145" fillId="48" borderId="0" xfId="8726" applyFont="1" applyFill="1" applyAlignment="1">
      <alignment horizontal="center"/>
    </xf>
    <xf numFmtId="0" fontId="145" fillId="48" borderId="41" xfId="8726" applyFont="1" applyFill="1" applyBorder="1" applyAlignment="1">
      <alignment horizontal="center"/>
    </xf>
    <xf numFmtId="0" fontId="101" fillId="48" borderId="66" xfId="8726" applyFont="1" applyFill="1" applyBorder="1" applyAlignment="1">
      <alignment horizontal="center"/>
    </xf>
    <xf numFmtId="0" fontId="101" fillId="48" borderId="0" xfId="8726" applyFont="1" applyFill="1" applyAlignment="1">
      <alignment horizontal="center"/>
    </xf>
    <xf numFmtId="0" fontId="101" fillId="48" borderId="41" xfId="8726" applyFont="1" applyFill="1" applyBorder="1" applyAlignment="1">
      <alignment horizontal="center"/>
    </xf>
    <xf numFmtId="14" fontId="3" fillId="49" borderId="67" xfId="8726" applyNumberFormat="1" applyFill="1" applyBorder="1" applyAlignment="1" applyProtection="1">
      <alignment horizontal="center"/>
      <protection locked="0"/>
    </xf>
    <xf numFmtId="14" fontId="3" fillId="49" borderId="68" xfId="8726" applyNumberFormat="1" applyFill="1" applyBorder="1" applyAlignment="1" applyProtection="1">
      <alignment horizontal="center"/>
      <protection locked="0"/>
    </xf>
    <xf numFmtId="14" fontId="3" fillId="49" borderId="69" xfId="8726" applyNumberFormat="1" applyFill="1" applyBorder="1" applyAlignment="1" applyProtection="1">
      <alignment horizontal="center"/>
      <protection locked="0"/>
    </xf>
    <xf numFmtId="0" fontId="3" fillId="49" borderId="67" xfId="8726" applyFill="1" applyBorder="1" applyAlignment="1" applyProtection="1">
      <alignment horizontal="left"/>
      <protection locked="0"/>
    </xf>
    <xf numFmtId="0" fontId="3" fillId="49" borderId="68" xfId="8726" applyFill="1" applyBorder="1" applyAlignment="1" applyProtection="1">
      <alignment horizontal="left"/>
      <protection locked="0"/>
    </xf>
    <xf numFmtId="0" fontId="3" fillId="49" borderId="69" xfId="8726" applyFill="1" applyBorder="1" applyAlignment="1" applyProtection="1">
      <alignment horizontal="left"/>
      <protection locked="0"/>
    </xf>
    <xf numFmtId="0" fontId="3" fillId="49" borderId="67" xfId="8726" applyFill="1" applyBorder="1" applyAlignment="1" applyProtection="1">
      <alignment horizontal="center"/>
      <protection locked="0"/>
    </xf>
    <xf numFmtId="0" fontId="3" fillId="49" borderId="68" xfId="8726" applyFill="1" applyBorder="1" applyAlignment="1" applyProtection="1">
      <alignment horizontal="center"/>
      <protection locked="0"/>
    </xf>
    <xf numFmtId="0" fontId="3" fillId="49" borderId="69" xfId="8726" applyFill="1" applyBorder="1" applyAlignment="1" applyProtection="1">
      <alignment horizontal="center"/>
      <protection locked="0"/>
    </xf>
    <xf numFmtId="0" fontId="101" fillId="48" borderId="42" xfId="8726" applyFont="1" applyFill="1" applyBorder="1" applyAlignment="1">
      <alignment horizontal="center"/>
    </xf>
    <xf numFmtId="0" fontId="145" fillId="48" borderId="0" xfId="8726" applyFont="1" applyFill="1" applyAlignment="1">
      <alignment horizontal="left" vertical="top" wrapText="1"/>
    </xf>
    <xf numFmtId="0" fontId="101" fillId="48" borderId="0" xfId="8726" applyFont="1" applyFill="1" applyAlignment="1">
      <alignment horizontal="left"/>
    </xf>
    <xf numFmtId="0" fontId="177" fillId="54" borderId="3" xfId="698" applyNumberFormat="1" applyFont="1" applyFill="1" applyBorder="1" applyAlignment="1" applyProtection="1">
      <alignment horizontal="center"/>
      <protection locked="0"/>
    </xf>
    <xf numFmtId="0" fontId="177" fillId="54" borderId="4" xfId="698" applyNumberFormat="1" applyFont="1" applyFill="1" applyBorder="1" applyAlignment="1" applyProtection="1">
      <alignment horizontal="center"/>
      <protection locked="0"/>
    </xf>
    <xf numFmtId="0" fontId="177" fillId="54" borderId="79" xfId="698" applyNumberFormat="1" applyFont="1" applyFill="1" applyBorder="1" applyAlignment="1" applyProtection="1">
      <alignment horizontal="center"/>
      <protection locked="0"/>
    </xf>
    <xf numFmtId="43" fontId="145" fillId="53" borderId="3" xfId="698" applyFont="1" applyFill="1" applyBorder="1" applyAlignment="1" applyProtection="1">
      <alignment horizontal="center"/>
      <protection hidden="1"/>
    </xf>
    <xf numFmtId="43" fontId="145" fillId="53" borderId="4" xfId="698" applyFont="1" applyFill="1" applyBorder="1" applyAlignment="1" applyProtection="1">
      <alignment horizontal="center"/>
      <protection hidden="1"/>
    </xf>
    <xf numFmtId="43" fontId="145" fillId="53" borderId="79" xfId="698" applyFont="1" applyFill="1" applyBorder="1" applyAlignment="1" applyProtection="1">
      <alignment horizontal="center"/>
      <protection hidden="1"/>
    </xf>
    <xf numFmtId="43" fontId="146" fillId="53" borderId="41" xfId="698" applyFont="1" applyFill="1" applyBorder="1" applyAlignment="1" applyProtection="1">
      <alignment horizontal="center" wrapText="1"/>
      <protection hidden="1"/>
    </xf>
    <xf numFmtId="43" fontId="146" fillId="53" borderId="103" xfId="698" applyFont="1" applyFill="1" applyBorder="1" applyAlignment="1" applyProtection="1">
      <alignment horizontal="center" wrapText="1"/>
      <protection hidden="1"/>
    </xf>
    <xf numFmtId="44" fontId="177" fillId="49" borderId="11" xfId="700" applyFont="1" applyFill="1" applyBorder="1" applyAlignment="1" applyProtection="1">
      <alignment horizontal="center"/>
      <protection locked="0"/>
    </xf>
    <xf numFmtId="168" fontId="145" fillId="45" borderId="43" xfId="8726" applyNumberFormat="1" applyFont="1" applyFill="1" applyBorder="1" applyAlignment="1">
      <alignment horizontal="left"/>
    </xf>
    <xf numFmtId="168" fontId="145" fillId="45" borderId="96" xfId="8726" applyNumberFormat="1" applyFont="1" applyFill="1" applyBorder="1" applyAlignment="1">
      <alignment horizontal="left"/>
    </xf>
    <xf numFmtId="0" fontId="3" fillId="49" borderId="1" xfId="8726" applyFill="1" applyBorder="1" applyAlignment="1" applyProtection="1">
      <alignment horizontal="center"/>
      <protection locked="0"/>
    </xf>
    <xf numFmtId="0" fontId="3" fillId="49" borderId="2" xfId="8726" applyFill="1" applyBorder="1" applyAlignment="1" applyProtection="1">
      <alignment horizontal="center"/>
      <protection locked="0"/>
    </xf>
    <xf numFmtId="0" fontId="3" fillId="49" borderId="4" xfId="8726" applyFill="1" applyBorder="1" applyAlignment="1" applyProtection="1">
      <alignment horizontal="center"/>
      <protection locked="0"/>
    </xf>
    <xf numFmtId="0" fontId="3" fillId="49" borderId="79" xfId="8726" applyFill="1" applyBorder="1" applyAlignment="1" applyProtection="1">
      <alignment horizontal="center"/>
      <protection locked="0"/>
    </xf>
    <xf numFmtId="10" fontId="3" fillId="0" borderId="84" xfId="8726" applyNumberFormat="1" applyBorder="1" applyAlignment="1">
      <alignment horizontal="center"/>
    </xf>
    <xf numFmtId="10" fontId="3" fillId="0" borderId="82" xfId="8726" applyNumberFormat="1" applyBorder="1" applyAlignment="1">
      <alignment horizontal="center"/>
    </xf>
    <xf numFmtId="10" fontId="3" fillId="0" borderId="85" xfId="8726" applyNumberFormat="1" applyBorder="1" applyAlignment="1">
      <alignment horizontal="center"/>
    </xf>
    <xf numFmtId="0" fontId="147" fillId="49" borderId="89" xfId="8726" applyFont="1" applyFill="1" applyBorder="1" applyAlignment="1" applyProtection="1">
      <alignment horizontal="left"/>
      <protection locked="0"/>
    </xf>
    <xf numFmtId="0" fontId="145" fillId="45" borderId="80" xfId="8726" applyFont="1" applyFill="1" applyBorder="1" applyAlignment="1">
      <alignment horizontal="center"/>
    </xf>
    <xf numFmtId="0" fontId="145" fillId="45" borderId="11" xfId="8726" applyFont="1" applyFill="1" applyBorder="1" applyAlignment="1">
      <alignment horizontal="center"/>
    </xf>
    <xf numFmtId="0" fontId="145" fillId="45" borderId="3" xfId="8726" applyFont="1" applyFill="1" applyBorder="1" applyAlignment="1">
      <alignment horizontal="center"/>
    </xf>
    <xf numFmtId="0" fontId="145" fillId="45" borderId="4" xfId="8726" applyFont="1" applyFill="1" applyBorder="1" applyAlignment="1">
      <alignment horizontal="center"/>
    </xf>
    <xf numFmtId="0" fontId="145" fillId="45" borderId="79" xfId="8726" applyFont="1" applyFill="1" applyBorder="1" applyAlignment="1">
      <alignment horizontal="center"/>
    </xf>
    <xf numFmtId="0" fontId="101" fillId="45" borderId="72" xfId="8726" applyFont="1" applyFill="1" applyBorder="1" applyAlignment="1">
      <alignment horizontal="center"/>
    </xf>
    <xf numFmtId="0" fontId="101" fillId="45" borderId="73" xfId="8726" applyFont="1" applyFill="1" applyBorder="1" applyAlignment="1">
      <alignment horizontal="center"/>
    </xf>
    <xf numFmtId="14" fontId="147" fillId="49" borderId="83" xfId="8726" applyNumberFormat="1" applyFont="1" applyFill="1" applyBorder="1" applyAlignment="1" applyProtection="1">
      <alignment horizontal="center"/>
      <protection locked="0"/>
    </xf>
    <xf numFmtId="0" fontId="147" fillId="49" borderId="73" xfId="8726" applyFont="1" applyFill="1" applyBorder="1" applyAlignment="1" applyProtection="1">
      <alignment horizontal="center"/>
      <protection locked="0"/>
    </xf>
    <xf numFmtId="0" fontId="147" fillId="49" borderId="93" xfId="8726" applyFont="1" applyFill="1" applyBorder="1" applyAlignment="1" applyProtection="1">
      <alignment horizontal="center"/>
      <protection locked="0"/>
    </xf>
    <xf numFmtId="10" fontId="3" fillId="49" borderId="84" xfId="8726" applyNumberFormat="1" applyFill="1" applyBorder="1" applyAlignment="1" applyProtection="1">
      <alignment horizontal="center"/>
      <protection locked="0"/>
    </xf>
    <xf numFmtId="10" fontId="3" fillId="49" borderId="82" xfId="8726" applyNumberFormat="1" applyFill="1" applyBorder="1" applyAlignment="1" applyProtection="1">
      <alignment horizontal="center"/>
      <protection locked="0"/>
    </xf>
    <xf numFmtId="10" fontId="3" fillId="49" borderId="85" xfId="8726" applyNumberFormat="1" applyFill="1" applyBorder="1" applyAlignment="1" applyProtection="1">
      <alignment horizontal="center"/>
      <protection locked="0"/>
    </xf>
    <xf numFmtId="0" fontId="3" fillId="49" borderId="3" xfId="8726" applyFill="1" applyBorder="1" applyAlignment="1" applyProtection="1">
      <alignment horizontal="center"/>
      <protection locked="0"/>
    </xf>
    <xf numFmtId="0" fontId="145" fillId="45" borderId="95" xfId="8726" applyFont="1" applyFill="1" applyBorder="1" applyAlignment="1">
      <alignment horizontal="center"/>
    </xf>
    <xf numFmtId="0" fontId="145" fillId="45" borderId="13" xfId="8726" applyFont="1" applyFill="1" applyBorder="1" applyAlignment="1">
      <alignment horizontal="center"/>
    </xf>
    <xf numFmtId="168" fontId="15" fillId="0" borderId="11" xfId="569" applyNumberFormat="1" applyBorder="1"/>
    <xf numFmtId="168" fontId="15" fillId="0" borderId="3" xfId="569" applyNumberFormat="1" applyBorder="1"/>
    <xf numFmtId="168" fontId="15" fillId="0" borderId="4" xfId="569" applyNumberFormat="1" applyBorder="1"/>
    <xf numFmtId="168" fontId="15" fillId="0" borderId="5" xfId="569" applyNumberFormat="1" applyBorder="1"/>
    <xf numFmtId="168" fontId="15" fillId="0" borderId="11" xfId="569" applyNumberFormat="1" applyBorder="1" applyAlignment="1">
      <alignment wrapText="1"/>
    </xf>
    <xf numFmtId="168" fontId="15" fillId="0" borderId="11" xfId="569" applyNumberFormat="1" applyBorder="1" applyAlignment="1">
      <alignment horizontal="right"/>
    </xf>
    <xf numFmtId="9" fontId="15" fillId="0" borderId="15" xfId="569" applyNumberFormat="1" applyBorder="1" applyAlignment="1">
      <alignment horizontal="center"/>
    </xf>
    <xf numFmtId="168" fontId="15" fillId="0" borderId="11" xfId="569" applyNumberFormat="1" applyBorder="1" applyAlignment="1">
      <alignment horizontal="center"/>
    </xf>
    <xf numFmtId="0" fontId="15" fillId="0" borderId="11" xfId="569" applyBorder="1" applyAlignment="1">
      <alignment horizontal="center"/>
    </xf>
    <xf numFmtId="176" fontId="15" fillId="5" borderId="3" xfId="569" applyNumberFormat="1" applyFill="1" applyBorder="1" applyAlignment="1" applyProtection="1">
      <alignment horizontal="right"/>
      <protection locked="0"/>
    </xf>
    <xf numFmtId="176" fontId="15" fillId="5" borderId="4" xfId="569" applyNumberFormat="1" applyFill="1" applyBorder="1" applyAlignment="1" applyProtection="1">
      <alignment horizontal="right"/>
      <protection locked="0"/>
    </xf>
    <xf numFmtId="176" fontId="15"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2" fillId="0" borderId="3" xfId="569" applyFont="1" applyBorder="1" applyAlignment="1">
      <alignment horizontal="right"/>
    </xf>
    <xf numFmtId="0" fontId="22" fillId="0" borderId="4" xfId="569" applyFont="1" applyBorder="1" applyAlignment="1">
      <alignment horizontal="right"/>
    </xf>
    <xf numFmtId="0" fontId="22" fillId="0" borderId="5" xfId="569" applyFont="1" applyBorder="1" applyAlignment="1">
      <alignment horizontal="right"/>
    </xf>
    <xf numFmtId="0" fontId="22" fillId="0" borderId="6" xfId="569" applyFont="1" applyBorder="1" applyAlignment="1">
      <alignment horizontal="center"/>
    </xf>
    <xf numFmtId="168" fontId="15" fillId="0" borderId="3" xfId="569" applyNumberFormat="1" applyBorder="1" applyAlignment="1">
      <alignment horizontal="center"/>
    </xf>
    <xf numFmtId="0" fontId="15" fillId="0" borderId="4" xfId="569" applyBorder="1" applyAlignment="1">
      <alignment horizontal="center"/>
    </xf>
    <xf numFmtId="0" fontId="15" fillId="0" borderId="5" xfId="569" applyBorder="1" applyAlignment="1">
      <alignment horizontal="center"/>
    </xf>
    <xf numFmtId="0" fontId="106" fillId="0" borderId="0" xfId="569" applyFont="1" applyAlignment="1">
      <alignment horizontal="left" wrapText="1"/>
    </xf>
    <xf numFmtId="168" fontId="15" fillId="0" borderId="3" xfId="569" applyNumberFormat="1" applyBorder="1" applyAlignment="1">
      <alignment horizontal="right"/>
    </xf>
    <xf numFmtId="168" fontId="15" fillId="0" borderId="4" xfId="569" applyNumberFormat="1" applyBorder="1" applyAlignment="1">
      <alignment horizontal="right"/>
    </xf>
    <xf numFmtId="168" fontId="15" fillId="0" borderId="5" xfId="569" applyNumberFormat="1" applyBorder="1" applyAlignment="1">
      <alignment horizontal="right"/>
    </xf>
    <xf numFmtId="168" fontId="15" fillId="0" borderId="3" xfId="569" applyNumberFormat="1" applyBorder="1" applyAlignment="1" applyProtection="1">
      <alignment horizontal="right"/>
      <protection locked="0"/>
    </xf>
    <xf numFmtId="168" fontId="15" fillId="0" borderId="4" xfId="569" applyNumberFormat="1" applyBorder="1" applyAlignment="1" applyProtection="1">
      <alignment horizontal="right"/>
      <protection locked="0"/>
    </xf>
    <xf numFmtId="168" fontId="15" fillId="0" borderId="5" xfId="569" applyNumberFormat="1" applyBorder="1" applyAlignment="1" applyProtection="1">
      <alignment horizontal="right"/>
      <protection locked="0"/>
    </xf>
    <xf numFmtId="0" fontId="22" fillId="0" borderId="16" xfId="271" applyFont="1" applyBorder="1" applyAlignment="1">
      <alignment horizontal="center"/>
    </xf>
    <xf numFmtId="168" fontId="15" fillId="0" borderId="4" xfId="569" applyNumberFormat="1" applyBorder="1" applyAlignment="1">
      <alignment horizontal="center"/>
    </xf>
    <xf numFmtId="168" fontId="15" fillId="0" borderId="5" xfId="569" applyNumberFormat="1" applyBorder="1" applyAlignment="1">
      <alignment horizontal="center"/>
    </xf>
    <xf numFmtId="0" fontId="22" fillId="0" borderId="11" xfId="569" applyFont="1" applyBorder="1" applyAlignment="1">
      <alignment horizontal="center" wrapText="1"/>
    </xf>
    <xf numFmtId="0" fontId="22" fillId="0" borderId="11" xfId="569" applyFont="1" applyBorder="1" applyAlignment="1">
      <alignment horizontal="center"/>
    </xf>
    <xf numFmtId="165" fontId="15" fillId="0" borderId="11" xfId="569" applyNumberFormat="1" applyBorder="1" applyAlignment="1" applyProtection="1">
      <alignment horizontal="center"/>
      <protection locked="0"/>
    </xf>
    <xf numFmtId="0" fontId="52" fillId="0" borderId="0" xfId="569" applyFont="1" applyAlignment="1">
      <alignment horizontal="left"/>
    </xf>
    <xf numFmtId="5" fontId="15" fillId="0" borderId="5" xfId="569" applyNumberFormat="1" applyBorder="1" applyAlignment="1">
      <alignment horizontal="center"/>
    </xf>
    <xf numFmtId="5" fontId="15" fillId="0" borderId="11" xfId="569" applyNumberFormat="1" applyBorder="1" applyAlignment="1">
      <alignment horizontal="center"/>
    </xf>
    <xf numFmtId="5" fontId="15" fillId="0" borderId="3" xfId="569" applyNumberFormat="1" applyBorder="1" applyAlignment="1">
      <alignment horizontal="center"/>
    </xf>
    <xf numFmtId="5" fontId="15" fillId="0" borderId="4" xfId="569" applyNumberFormat="1" applyBorder="1" applyAlignment="1">
      <alignment horizontal="center"/>
    </xf>
    <xf numFmtId="168" fontId="15" fillId="5" borderId="5" xfId="569" applyNumberFormat="1" applyFill="1" applyBorder="1" applyAlignment="1" applyProtection="1">
      <alignment horizontal="center"/>
      <protection locked="0"/>
    </xf>
    <xf numFmtId="168" fontId="15" fillId="5" borderId="11" xfId="569" applyNumberFormat="1" applyFill="1" applyBorder="1" applyAlignment="1" applyProtection="1">
      <alignment horizontal="center"/>
      <protection locked="0"/>
    </xf>
    <xf numFmtId="9" fontId="15" fillId="0" borderId="5" xfId="569" applyNumberFormat="1" applyBorder="1" applyAlignment="1">
      <alignment horizontal="center"/>
    </xf>
    <xf numFmtId="9" fontId="15" fillId="0" borderId="11" xfId="569" applyNumberFormat="1" applyBorder="1" applyAlignment="1">
      <alignment horizontal="center"/>
    </xf>
    <xf numFmtId="9" fontId="15" fillId="0" borderId="9" xfId="569" applyNumberFormat="1" applyBorder="1" applyAlignment="1">
      <alignment horizontal="center" vertical="center"/>
    </xf>
    <xf numFmtId="9" fontId="15" fillId="0" borderId="6" xfId="569" applyNumberFormat="1" applyBorder="1" applyAlignment="1">
      <alignment horizontal="center" vertical="center"/>
    </xf>
    <xf numFmtId="9" fontId="15" fillId="0" borderId="10" xfId="569" applyNumberFormat="1" applyBorder="1" applyAlignment="1">
      <alignment horizontal="center" vertical="center"/>
    </xf>
    <xf numFmtId="168" fontId="15" fillId="2" borderId="3" xfId="569" applyNumberFormat="1" applyFill="1" applyBorder="1" applyAlignment="1">
      <alignment horizontal="center"/>
    </xf>
    <xf numFmtId="168" fontId="15" fillId="2" borderId="4" xfId="569" applyNumberFormat="1" applyFill="1" applyBorder="1" applyAlignment="1">
      <alignment horizontal="center"/>
    </xf>
    <xf numFmtId="168" fontId="15" fillId="2" borderId="5" xfId="569" applyNumberFormat="1" applyFill="1" applyBorder="1" applyAlignment="1">
      <alignment horizontal="center"/>
    </xf>
    <xf numFmtId="168" fontId="15" fillId="5" borderId="10" xfId="569" applyNumberFormat="1" applyFill="1" applyBorder="1" applyAlignment="1" applyProtection="1">
      <alignment horizontal="center"/>
      <protection locked="0"/>
    </xf>
    <xf numFmtId="168" fontId="15" fillId="5" borderId="13" xfId="569" applyNumberFormat="1" applyFill="1" applyBorder="1" applyAlignment="1" applyProtection="1">
      <alignment horizontal="center"/>
      <protection locked="0"/>
    </xf>
    <xf numFmtId="0" fontId="21" fillId="3" borderId="2" xfId="569" applyFont="1" applyFill="1" applyBorder="1" applyAlignment="1">
      <alignment horizontal="center" vertical="center"/>
    </xf>
    <xf numFmtId="0" fontId="21" fillId="3" borderId="16" xfId="569" applyFont="1" applyFill="1" applyBorder="1" applyAlignment="1">
      <alignment horizontal="center" vertical="center"/>
    </xf>
    <xf numFmtId="168" fontId="15" fillId="0" borderId="7" xfId="569" applyNumberFormat="1" applyBorder="1" applyAlignment="1">
      <alignment horizontal="center"/>
    </xf>
    <xf numFmtId="168" fontId="15" fillId="0" borderId="15" xfId="569" applyNumberFormat="1" applyBorder="1" applyAlignment="1">
      <alignment horizontal="center"/>
    </xf>
    <xf numFmtId="0" fontId="22" fillId="0" borderId="3" xfId="569" applyFont="1" applyBorder="1" applyAlignment="1">
      <alignment horizontal="left"/>
    </xf>
    <xf numFmtId="0" fontId="22" fillId="0" borderId="5" xfId="569" applyFont="1" applyBorder="1" applyAlignment="1">
      <alignment horizontal="left"/>
    </xf>
    <xf numFmtId="0" fontId="23" fillId="0" borderId="4" xfId="569" applyFont="1" applyBorder="1" applyAlignment="1">
      <alignment horizontal="left"/>
    </xf>
    <xf numFmtId="0" fontId="23" fillId="0" borderId="5" xfId="569" applyFont="1" applyBorder="1" applyAlignment="1">
      <alignment horizontal="left"/>
    </xf>
    <xf numFmtId="179" fontId="22" fillId="0" borderId="0" xfId="569" applyNumberFormat="1" applyFont="1" applyAlignment="1">
      <alignment horizontal="center" wrapText="1"/>
    </xf>
    <xf numFmtId="164" fontId="22" fillId="0" borderId="0" xfId="569" applyNumberFormat="1" applyFont="1" applyAlignment="1">
      <alignment horizontal="center" wrapText="1"/>
    </xf>
    <xf numFmtId="0" fontId="15" fillId="0" borderId="3" xfId="569" applyBorder="1" applyAlignment="1">
      <alignment horizontal="right"/>
    </xf>
    <xf numFmtId="0" fontId="15" fillId="0" borderId="4" xfId="569" applyBorder="1" applyAlignment="1">
      <alignment horizontal="right"/>
    </xf>
    <xf numFmtId="0" fontId="15" fillId="0" borderId="5" xfId="569" applyBorder="1" applyAlignment="1">
      <alignment horizontal="right"/>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0" fillId="0" borderId="6" xfId="271" applyFont="1" applyBorder="1" applyAlignment="1">
      <alignment horizontal="center"/>
    </xf>
    <xf numFmtId="3" fontId="15" fillId="0" borderId="0" xfId="0" applyNumberFormat="1" applyFont="1" applyAlignment="1">
      <alignment horizontal="left" vertical="top" wrapText="1"/>
    </xf>
    <xf numFmtId="3" fontId="24" fillId="0" borderId="0" xfId="0" applyNumberFormat="1" applyFont="1" applyAlignment="1">
      <alignment horizontal="left" vertical="top" wrapText="1"/>
    </xf>
    <xf numFmtId="0" fontId="15" fillId="43" borderId="0" xfId="0" applyFont="1" applyFill="1" applyAlignment="1">
      <alignment horizontal="left"/>
    </xf>
  </cellXfs>
  <cellStyles count="25599">
    <cellStyle name="20% - Accent1" xfId="1" builtinId="30" customBuiltin="1"/>
    <cellStyle name="20% - Accent1 10" xfId="4505" xr:uid="{00000000-0005-0000-0000-000001000000}"/>
    <cellStyle name="20% - Accent1 10 2" xfId="12947" xr:uid="{37174B77-4A0D-4596-9D61-8E1CD0501EAE}"/>
    <cellStyle name="20% - Accent1 10 3" xfId="21382" xr:uid="{EBBB52AD-2788-4416-AFBB-0BA048110F3E}"/>
    <cellStyle name="20% - Accent1 11" xfId="8729" xr:uid="{9B91A737-6E6C-4E19-8E9A-DCE509AACBAB}"/>
    <cellStyle name="20% - Accent1 12" xfId="17165" xr:uid="{A2A5C845-D7A4-477C-98F2-8C6559DB852A}"/>
    <cellStyle name="20% - Accent1 2" xfId="2" xr:uid="{00000000-0005-0000-0000-000002000000}"/>
    <cellStyle name="20% - Accent1 2 10" xfId="8730" xr:uid="{524EA367-1A4B-4BAB-B098-5BDA465190F8}"/>
    <cellStyle name="20% - Accent1 2 11" xfId="17166" xr:uid="{78E5ACD8-7A48-462F-9D24-90C0101F245D}"/>
    <cellStyle name="20% - Accent1 2 2" xfId="3" xr:uid="{00000000-0005-0000-0000-000003000000}"/>
    <cellStyle name="20% - Accent1 2 2 10" xfId="17167" xr:uid="{7DEE8832-1BFC-4507-8239-9E0081861475}"/>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2 2 2" xfId="15509" xr:uid="{2E35719C-B96C-43BE-96FC-CCAE603110D2}"/>
    <cellStyle name="20% - Accent1 2 2 2 2 2 2 3" xfId="23944" xr:uid="{9F392414-62EC-49D9-873E-3222A40A80A3}"/>
    <cellStyle name="20% - Accent1 2 2 2 2 2 3" xfId="11291" xr:uid="{25D3C9F7-5863-402A-A2CD-8ADE663567FC}"/>
    <cellStyle name="20% - Accent1 2 2 2 2 2 4" xfId="19727" xr:uid="{49E8EB80-E77E-4443-9259-2308BDB20230}"/>
    <cellStyle name="20% - Accent1 2 2 2 2 3" xfId="4922" xr:uid="{00000000-0005-0000-0000-000008000000}"/>
    <cellStyle name="20% - Accent1 2 2 2 2 3 2" xfId="13364" xr:uid="{3291B006-9674-4F28-81E2-E483E358CF23}"/>
    <cellStyle name="20% - Accent1 2 2 2 2 3 3" xfId="21799" xr:uid="{3D8E5748-6648-42A0-8606-9466728D7C0E}"/>
    <cellStyle name="20% - Accent1 2 2 2 2 4" xfId="9146" xr:uid="{F6D66F6F-F703-4343-B04E-DE7FAA5F03B8}"/>
    <cellStyle name="20% - Accent1 2 2 2 2 5" xfId="17582" xr:uid="{51610F6F-C3C0-4799-8DD1-CA4FF048D001}"/>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2 2 2" xfId="15922" xr:uid="{59BE3F83-6DE7-4D81-8A55-A35EA1BEB6E2}"/>
    <cellStyle name="20% - Accent1 2 2 2 3 2 2 3" xfId="24357" xr:uid="{A1B1C718-0E12-4782-9A5B-68618E3F808C}"/>
    <cellStyle name="20% - Accent1 2 2 2 3 2 3" xfId="11704" xr:uid="{8EBED138-7ED7-4D75-9B7F-CE861488AAA0}"/>
    <cellStyle name="20% - Accent1 2 2 2 3 2 4" xfId="20140" xr:uid="{0FFBF6B1-5C20-4F14-8E2D-66C40DDF83CD}"/>
    <cellStyle name="20% - Accent1 2 2 2 3 3" xfId="5335" xr:uid="{00000000-0005-0000-0000-00000C000000}"/>
    <cellStyle name="20% - Accent1 2 2 2 3 3 2" xfId="13777" xr:uid="{38D0870C-33CE-4063-9CBF-8E3220CF3409}"/>
    <cellStyle name="20% - Accent1 2 2 2 3 3 3" xfId="22212" xr:uid="{E4C231D5-7306-439B-9E45-CF2CDF5A9322}"/>
    <cellStyle name="20% - Accent1 2 2 2 3 4" xfId="9559" xr:uid="{57D574DC-B9B9-41C8-8986-2B1F30D175EC}"/>
    <cellStyle name="20% - Accent1 2 2 2 3 5" xfId="17995" xr:uid="{B48A00ED-0A38-4B2F-9EC9-02616BFAFB79}"/>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2 2 2" xfId="16335" xr:uid="{FE5E6C56-C3D1-4126-A47B-1571AB1774D3}"/>
    <cellStyle name="20% - Accent1 2 2 2 4 2 2 3" xfId="24770" xr:uid="{8A5AD3CC-0517-45B2-AC6D-618228183470}"/>
    <cellStyle name="20% - Accent1 2 2 2 4 2 3" xfId="12117" xr:uid="{FCDAD994-C0C7-4A9B-97F9-CFAED35AE2D7}"/>
    <cellStyle name="20% - Accent1 2 2 2 4 2 4" xfId="20553" xr:uid="{28AB2BB9-40A2-495E-A09E-539F4BCCCE54}"/>
    <cellStyle name="20% - Accent1 2 2 2 4 3" xfId="5748" xr:uid="{00000000-0005-0000-0000-000010000000}"/>
    <cellStyle name="20% - Accent1 2 2 2 4 3 2" xfId="14190" xr:uid="{BB0F7389-8506-42EC-8CD9-88071C3334FE}"/>
    <cellStyle name="20% - Accent1 2 2 2 4 3 3" xfId="22625" xr:uid="{F8DCA084-3D33-4F64-BFB3-EEC65C72BCA7}"/>
    <cellStyle name="20% - Accent1 2 2 2 4 4" xfId="9972" xr:uid="{DE9BF9A9-8A73-4132-A2AD-42D36DB3EDCB}"/>
    <cellStyle name="20% - Accent1 2 2 2 4 5" xfId="18408" xr:uid="{9855CE94-B615-4DE4-B6C6-03551369753C}"/>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2 2 2" xfId="16748" xr:uid="{7A9C70F9-7F2A-4BC9-8986-5BFAC95FDF01}"/>
    <cellStyle name="20% - Accent1 2 2 2 5 2 2 3" xfId="25183" xr:uid="{D4035404-AE0F-469D-828B-ED7EFED6AD6E}"/>
    <cellStyle name="20% - Accent1 2 2 2 5 2 3" xfId="12530" xr:uid="{E1F7B5A8-D01E-43D1-A364-9DFB9B66A8B5}"/>
    <cellStyle name="20% - Accent1 2 2 2 5 2 4" xfId="20966" xr:uid="{46B2285D-6005-4F19-BABE-9294A59544D5}"/>
    <cellStyle name="20% - Accent1 2 2 2 5 3" xfId="6161" xr:uid="{00000000-0005-0000-0000-000014000000}"/>
    <cellStyle name="20% - Accent1 2 2 2 5 3 2" xfId="14603" xr:uid="{17341A51-6972-48A0-B0BE-89E638FC3552}"/>
    <cellStyle name="20% - Accent1 2 2 2 5 3 3" xfId="23038" xr:uid="{CBFDDFC4-DF5A-44CE-8078-804130FA6AE9}"/>
    <cellStyle name="20% - Accent1 2 2 2 5 4" xfId="10385" xr:uid="{01BA42F6-CD44-4A5B-8B09-F5C93DF2CA2E}"/>
    <cellStyle name="20% - Accent1 2 2 2 5 5" xfId="18821" xr:uid="{2C9B4006-D033-4149-8374-1ACCD44D34D7}"/>
    <cellStyle name="20% - Accent1 2 2 2 6" xfId="2267" xr:uid="{00000000-0005-0000-0000-000015000000}"/>
    <cellStyle name="20% - Accent1 2 2 2 6 2" xfId="6574" xr:uid="{00000000-0005-0000-0000-000016000000}"/>
    <cellStyle name="20% - Accent1 2 2 2 6 2 2" xfId="15016" xr:uid="{EA3D8AC0-1BB2-49EE-845F-51DBFCC0FAC9}"/>
    <cellStyle name="20% - Accent1 2 2 2 6 2 3" xfId="23451" xr:uid="{18ED3777-32D6-484C-8540-36196EFF7650}"/>
    <cellStyle name="20% - Accent1 2 2 2 6 3" xfId="10798" xr:uid="{D33CF6C8-B0DA-42A0-A33F-EDE4A7594AA9}"/>
    <cellStyle name="20% - Accent1 2 2 2 6 4" xfId="19234" xr:uid="{D713181E-7448-454E-9347-734EF7EBD6E6}"/>
    <cellStyle name="20% - Accent1 2 2 2 7" xfId="4508" xr:uid="{00000000-0005-0000-0000-000017000000}"/>
    <cellStyle name="20% - Accent1 2 2 2 7 2" xfId="12950" xr:uid="{96598505-CC3F-4C0B-9148-449B68330935}"/>
    <cellStyle name="20% - Accent1 2 2 2 7 3" xfId="21385" xr:uid="{D641BB1F-60D0-4AB5-B76F-B3CC12A94C0F}"/>
    <cellStyle name="20% - Accent1 2 2 2 8" xfId="8732" xr:uid="{D1D97273-0FFC-407A-8C4F-C2985ED32F6A}"/>
    <cellStyle name="20% - Accent1 2 2 2 9" xfId="17168" xr:uid="{4504ADC6-4FE7-407C-BC46-A88D3F414465}"/>
    <cellStyle name="20% - Accent1 2 2 3" xfId="572" xr:uid="{00000000-0005-0000-0000-000018000000}"/>
    <cellStyle name="20% - Accent1 2 2 3 2" xfId="2843" xr:uid="{00000000-0005-0000-0000-000019000000}"/>
    <cellStyle name="20% - Accent1 2 2 3 2 2" xfId="7066" xr:uid="{00000000-0005-0000-0000-00001A000000}"/>
    <cellStyle name="20% - Accent1 2 2 3 2 2 2" xfId="15508" xr:uid="{F81AA104-9521-4E83-AB05-BB9E439F4BD5}"/>
    <cellStyle name="20% - Accent1 2 2 3 2 2 3" xfId="23943" xr:uid="{4585366F-88AC-4975-A243-36743D0C3741}"/>
    <cellStyle name="20% - Accent1 2 2 3 2 3" xfId="11290" xr:uid="{6E2FD3E7-A247-45E2-916D-10880B4FB18F}"/>
    <cellStyle name="20% - Accent1 2 2 3 2 4" xfId="19726" xr:uid="{923A754B-08FA-4389-8E02-2F0095FBD4F3}"/>
    <cellStyle name="20% - Accent1 2 2 3 3" xfId="4921" xr:uid="{00000000-0005-0000-0000-00001B000000}"/>
    <cellStyle name="20% - Accent1 2 2 3 3 2" xfId="13363" xr:uid="{B0AB8BEB-F89E-4DE1-B22F-566EB20C18A1}"/>
    <cellStyle name="20% - Accent1 2 2 3 3 3" xfId="21798" xr:uid="{A4ADAE12-156F-4C4D-9C1A-C7AB75898827}"/>
    <cellStyle name="20% - Accent1 2 2 3 4" xfId="9145" xr:uid="{E81AC8C3-3577-474D-8B75-088004B3D537}"/>
    <cellStyle name="20% - Accent1 2 2 3 5" xfId="17581" xr:uid="{7B786D61-79E1-4D08-87D4-3B023F6287C4}"/>
    <cellStyle name="20% - Accent1 2 2 4" xfId="1025" xr:uid="{00000000-0005-0000-0000-00001C000000}"/>
    <cellStyle name="20% - Accent1 2 2 4 2" xfId="3256" xr:uid="{00000000-0005-0000-0000-00001D000000}"/>
    <cellStyle name="20% - Accent1 2 2 4 2 2" xfId="7479" xr:uid="{00000000-0005-0000-0000-00001E000000}"/>
    <cellStyle name="20% - Accent1 2 2 4 2 2 2" xfId="15921" xr:uid="{E746F416-978C-4277-95A7-39C60BB24880}"/>
    <cellStyle name="20% - Accent1 2 2 4 2 2 3" xfId="24356" xr:uid="{5CC046EC-D520-436C-9976-67BEA5FB9D58}"/>
    <cellStyle name="20% - Accent1 2 2 4 2 3" xfId="11703" xr:uid="{F6DC976E-E4DD-4EB2-BE53-FCD0AC040411}"/>
    <cellStyle name="20% - Accent1 2 2 4 2 4" xfId="20139" xr:uid="{66B4A447-DE36-4C00-8CEC-E958EB81E3C5}"/>
    <cellStyle name="20% - Accent1 2 2 4 3" xfId="5334" xr:uid="{00000000-0005-0000-0000-00001F000000}"/>
    <cellStyle name="20% - Accent1 2 2 4 3 2" xfId="13776" xr:uid="{704C098A-EE96-4572-89B7-8BE3C72F2F02}"/>
    <cellStyle name="20% - Accent1 2 2 4 3 3" xfId="22211" xr:uid="{CCDA67C4-F9E5-40C5-8F5C-0EAE3AB288F4}"/>
    <cellStyle name="20% - Accent1 2 2 4 4" xfId="9558" xr:uid="{9267968C-4570-4AAB-8028-62A3EE76CD29}"/>
    <cellStyle name="20% - Accent1 2 2 4 5" xfId="17994" xr:uid="{327A0E9E-1A02-42D3-9A32-B51CFB809A1E}"/>
    <cellStyle name="20% - Accent1 2 2 5" xfId="1439" xr:uid="{00000000-0005-0000-0000-000020000000}"/>
    <cellStyle name="20% - Accent1 2 2 5 2" xfId="3669" xr:uid="{00000000-0005-0000-0000-000021000000}"/>
    <cellStyle name="20% - Accent1 2 2 5 2 2" xfId="7892" xr:uid="{00000000-0005-0000-0000-000022000000}"/>
    <cellStyle name="20% - Accent1 2 2 5 2 2 2" xfId="16334" xr:uid="{05709859-679A-4105-86A2-44565CEF8333}"/>
    <cellStyle name="20% - Accent1 2 2 5 2 2 3" xfId="24769" xr:uid="{E1CBF710-E0BF-43E8-9E67-A7AE9ACDAA98}"/>
    <cellStyle name="20% - Accent1 2 2 5 2 3" xfId="12116" xr:uid="{5B5C377E-9AC4-4074-926E-2D70CC58777E}"/>
    <cellStyle name="20% - Accent1 2 2 5 2 4" xfId="20552" xr:uid="{1815204B-896E-4038-A0AD-D8FD087A3E93}"/>
    <cellStyle name="20% - Accent1 2 2 5 3" xfId="5747" xr:uid="{00000000-0005-0000-0000-000023000000}"/>
    <cellStyle name="20% - Accent1 2 2 5 3 2" xfId="14189" xr:uid="{395F5887-EB06-4EBD-94D0-03DD8FD4C7A6}"/>
    <cellStyle name="20% - Accent1 2 2 5 3 3" xfId="22624" xr:uid="{C812F3F7-C668-477F-B281-3DC1E7941289}"/>
    <cellStyle name="20% - Accent1 2 2 5 4" xfId="9971" xr:uid="{D5B05DCF-789C-4E90-B317-8E75F0BA9CE2}"/>
    <cellStyle name="20% - Accent1 2 2 5 5" xfId="18407" xr:uid="{E0A65576-39BD-4E1C-9524-D175825C5B86}"/>
    <cellStyle name="20% - Accent1 2 2 6" xfId="1853" xr:uid="{00000000-0005-0000-0000-000024000000}"/>
    <cellStyle name="20% - Accent1 2 2 6 2" xfId="4082" xr:uid="{00000000-0005-0000-0000-000025000000}"/>
    <cellStyle name="20% - Accent1 2 2 6 2 2" xfId="8305" xr:uid="{00000000-0005-0000-0000-000026000000}"/>
    <cellStyle name="20% - Accent1 2 2 6 2 2 2" xfId="16747" xr:uid="{9D0FA82A-C235-45A4-B74A-5C13284D9D26}"/>
    <cellStyle name="20% - Accent1 2 2 6 2 2 3" xfId="25182" xr:uid="{FEBC3C63-4BEA-41D5-B965-5339DFE4E677}"/>
    <cellStyle name="20% - Accent1 2 2 6 2 3" xfId="12529" xr:uid="{1423E808-4529-49FD-8AB1-F5073B4DF8FC}"/>
    <cellStyle name="20% - Accent1 2 2 6 2 4" xfId="20965" xr:uid="{2A055EAB-F730-4C09-B23D-2BC61262E4E7}"/>
    <cellStyle name="20% - Accent1 2 2 6 3" xfId="6160" xr:uid="{00000000-0005-0000-0000-000027000000}"/>
    <cellStyle name="20% - Accent1 2 2 6 3 2" xfId="14602" xr:uid="{CE67C280-9617-487A-B447-9F46140C520C}"/>
    <cellStyle name="20% - Accent1 2 2 6 3 3" xfId="23037" xr:uid="{763F15F4-4C30-4EE6-9F51-4FFF717D43BB}"/>
    <cellStyle name="20% - Accent1 2 2 6 4" xfId="10384" xr:uid="{EB6245C4-E3DB-4B65-8A02-7C93B7F748E0}"/>
    <cellStyle name="20% - Accent1 2 2 6 5" xfId="18820" xr:uid="{71E914A5-39E5-4111-B917-E678A6A7941E}"/>
    <cellStyle name="20% - Accent1 2 2 7" xfId="2266" xr:uid="{00000000-0005-0000-0000-000028000000}"/>
    <cellStyle name="20% - Accent1 2 2 7 2" xfId="6573" xr:uid="{00000000-0005-0000-0000-000029000000}"/>
    <cellStyle name="20% - Accent1 2 2 7 2 2" xfId="15015" xr:uid="{8A6CA0B9-10B8-4181-8517-3AFFB2E7CEC8}"/>
    <cellStyle name="20% - Accent1 2 2 7 2 3" xfId="23450" xr:uid="{A2607FE4-F8C1-4D5D-9BB2-91CCD00BD3EC}"/>
    <cellStyle name="20% - Accent1 2 2 7 3" xfId="10797" xr:uid="{FD795A66-5889-4B4B-9682-077A10922FE3}"/>
    <cellStyle name="20% - Accent1 2 2 7 4" xfId="19233" xr:uid="{6492CD99-3B46-4F93-B918-93E39252C360}"/>
    <cellStyle name="20% - Accent1 2 2 8" xfId="4507" xr:uid="{00000000-0005-0000-0000-00002A000000}"/>
    <cellStyle name="20% - Accent1 2 2 8 2" xfId="12949" xr:uid="{802CC742-0827-49D8-9218-3F7307E1962C}"/>
    <cellStyle name="20% - Accent1 2 2 8 3" xfId="21384" xr:uid="{29BD053A-C764-48D1-B5DE-4D3285D3FEB4}"/>
    <cellStyle name="20% - Accent1 2 2 9" xfId="8731" xr:uid="{F84BBED7-A690-410F-A2DC-69CBBF64C628}"/>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2 2 2" xfId="15510" xr:uid="{5899C39E-A0C2-4344-B372-5E323288D6C9}"/>
    <cellStyle name="20% - Accent1 2 3 2 2 2 3" xfId="23945" xr:uid="{2DD8C176-C7D4-4800-9DD0-0F74ABA31294}"/>
    <cellStyle name="20% - Accent1 2 3 2 2 3" xfId="11292" xr:uid="{867BF48B-7B32-4ACD-9BBB-9372E79A31A4}"/>
    <cellStyle name="20% - Accent1 2 3 2 2 4" xfId="19728" xr:uid="{BB0C9D39-32CC-4239-B5D6-2031246EB0D3}"/>
    <cellStyle name="20% - Accent1 2 3 2 3" xfId="4923" xr:uid="{00000000-0005-0000-0000-00002F000000}"/>
    <cellStyle name="20% - Accent1 2 3 2 3 2" xfId="13365" xr:uid="{45F7DA49-A4BD-482F-8C53-361E95E39331}"/>
    <cellStyle name="20% - Accent1 2 3 2 3 3" xfId="21800" xr:uid="{34D5E058-3A26-4AC1-B3B4-9FD9D033C309}"/>
    <cellStyle name="20% - Accent1 2 3 2 4" xfId="9147" xr:uid="{F1FCD7C2-37DD-4264-9256-AACD2E5D7474}"/>
    <cellStyle name="20% - Accent1 2 3 2 5" xfId="17583" xr:uid="{141A081C-9302-4C37-BE20-36C44436AAB9}"/>
    <cellStyle name="20% - Accent1 2 3 3" xfId="1027" xr:uid="{00000000-0005-0000-0000-000030000000}"/>
    <cellStyle name="20% - Accent1 2 3 3 2" xfId="3258" xr:uid="{00000000-0005-0000-0000-000031000000}"/>
    <cellStyle name="20% - Accent1 2 3 3 2 2" xfId="7481" xr:uid="{00000000-0005-0000-0000-000032000000}"/>
    <cellStyle name="20% - Accent1 2 3 3 2 2 2" xfId="15923" xr:uid="{8F338BE3-A89B-4297-90BC-7976EB188872}"/>
    <cellStyle name="20% - Accent1 2 3 3 2 2 3" xfId="24358" xr:uid="{97635398-4ED2-4123-839D-048727DE8B71}"/>
    <cellStyle name="20% - Accent1 2 3 3 2 3" xfId="11705" xr:uid="{02FE7213-4B0A-47E1-B9A5-0E9AFED5AF69}"/>
    <cellStyle name="20% - Accent1 2 3 3 2 4" xfId="20141" xr:uid="{1AAA3A5F-1306-4641-9B30-608C327714F6}"/>
    <cellStyle name="20% - Accent1 2 3 3 3" xfId="5336" xr:uid="{00000000-0005-0000-0000-000033000000}"/>
    <cellStyle name="20% - Accent1 2 3 3 3 2" xfId="13778" xr:uid="{68CBE574-4A8D-4423-88D8-6E541B4FCD40}"/>
    <cellStyle name="20% - Accent1 2 3 3 3 3" xfId="22213" xr:uid="{4ECECF18-2561-479A-A30C-F667FA716DC2}"/>
    <cellStyle name="20% - Accent1 2 3 3 4" xfId="9560" xr:uid="{FB9304AA-BD4F-46BA-B1DF-A654A4468B3E}"/>
    <cellStyle name="20% - Accent1 2 3 3 5" xfId="17996" xr:uid="{74460AF6-1550-47EA-87E6-BA4E54AD69DA}"/>
    <cellStyle name="20% - Accent1 2 3 4" xfId="1441" xr:uid="{00000000-0005-0000-0000-000034000000}"/>
    <cellStyle name="20% - Accent1 2 3 4 2" xfId="3671" xr:uid="{00000000-0005-0000-0000-000035000000}"/>
    <cellStyle name="20% - Accent1 2 3 4 2 2" xfId="7894" xr:uid="{00000000-0005-0000-0000-000036000000}"/>
    <cellStyle name="20% - Accent1 2 3 4 2 2 2" xfId="16336" xr:uid="{0D562980-B6B7-4457-A471-A07CC0CDFAE8}"/>
    <cellStyle name="20% - Accent1 2 3 4 2 2 3" xfId="24771" xr:uid="{0AC272BB-3387-41DB-AD3C-5BDC2D114F40}"/>
    <cellStyle name="20% - Accent1 2 3 4 2 3" xfId="12118" xr:uid="{6FEFAA6B-B27E-4D0A-BA3B-3033CE7FADBF}"/>
    <cellStyle name="20% - Accent1 2 3 4 2 4" xfId="20554" xr:uid="{CEA2E1AC-0E5F-46E6-B8FE-F122DC0965E8}"/>
    <cellStyle name="20% - Accent1 2 3 4 3" xfId="5749" xr:uid="{00000000-0005-0000-0000-000037000000}"/>
    <cellStyle name="20% - Accent1 2 3 4 3 2" xfId="14191" xr:uid="{E4D65F18-BC57-4238-B0BA-40D7ABF8C25B}"/>
    <cellStyle name="20% - Accent1 2 3 4 3 3" xfId="22626" xr:uid="{9569D499-6C68-4D1F-BA22-B5B5759F6E82}"/>
    <cellStyle name="20% - Accent1 2 3 4 4" xfId="9973" xr:uid="{F11A2711-3788-47DA-9F6C-0EA64BCB91BC}"/>
    <cellStyle name="20% - Accent1 2 3 4 5" xfId="18409" xr:uid="{7892C7C4-A044-4EB2-8A89-A18575E4E642}"/>
    <cellStyle name="20% - Accent1 2 3 5" xfId="1855" xr:uid="{00000000-0005-0000-0000-000038000000}"/>
    <cellStyle name="20% - Accent1 2 3 5 2" xfId="4084" xr:uid="{00000000-0005-0000-0000-000039000000}"/>
    <cellStyle name="20% - Accent1 2 3 5 2 2" xfId="8307" xr:uid="{00000000-0005-0000-0000-00003A000000}"/>
    <cellStyle name="20% - Accent1 2 3 5 2 2 2" xfId="16749" xr:uid="{F699804B-F448-468C-BDD6-5609BC16196A}"/>
    <cellStyle name="20% - Accent1 2 3 5 2 2 3" xfId="25184" xr:uid="{98702D9E-6B1B-4353-8345-0C9DA4F935C3}"/>
    <cellStyle name="20% - Accent1 2 3 5 2 3" xfId="12531" xr:uid="{43ED3628-5615-47B4-AFFB-D3B369863E67}"/>
    <cellStyle name="20% - Accent1 2 3 5 2 4" xfId="20967" xr:uid="{D2BE1E6F-6808-48A7-B77E-2D11601B3C0A}"/>
    <cellStyle name="20% - Accent1 2 3 5 3" xfId="6162" xr:uid="{00000000-0005-0000-0000-00003B000000}"/>
    <cellStyle name="20% - Accent1 2 3 5 3 2" xfId="14604" xr:uid="{4D2E3195-3A4C-4A02-8C2C-2AF635F45432}"/>
    <cellStyle name="20% - Accent1 2 3 5 3 3" xfId="23039" xr:uid="{B9C1E4FE-3557-4A21-B37E-732A411EA7F4}"/>
    <cellStyle name="20% - Accent1 2 3 5 4" xfId="10386" xr:uid="{A19567F3-AB62-4EC0-8C02-1DCA756889A2}"/>
    <cellStyle name="20% - Accent1 2 3 5 5" xfId="18822" xr:uid="{EFB0F0FB-0762-4F0C-872C-71125F387ABF}"/>
    <cellStyle name="20% - Accent1 2 3 6" xfId="2268" xr:uid="{00000000-0005-0000-0000-00003C000000}"/>
    <cellStyle name="20% - Accent1 2 3 6 2" xfId="6575" xr:uid="{00000000-0005-0000-0000-00003D000000}"/>
    <cellStyle name="20% - Accent1 2 3 6 2 2" xfId="15017" xr:uid="{4C429A41-642D-4E3E-848F-CA4A37EC39DE}"/>
    <cellStyle name="20% - Accent1 2 3 6 2 3" xfId="23452" xr:uid="{A73B7111-116A-43F9-A3C0-84BA352BD8A5}"/>
    <cellStyle name="20% - Accent1 2 3 6 3" xfId="10799" xr:uid="{2271B097-D981-4FA3-9A67-34976B8C0AAA}"/>
    <cellStyle name="20% - Accent1 2 3 6 4" xfId="19235" xr:uid="{08D436A0-D340-4FD7-A909-11A9A9FE2609}"/>
    <cellStyle name="20% - Accent1 2 3 7" xfId="4509" xr:uid="{00000000-0005-0000-0000-00003E000000}"/>
    <cellStyle name="20% - Accent1 2 3 7 2" xfId="12951" xr:uid="{49EF5F1D-2474-4559-86A6-7398B044BF17}"/>
    <cellStyle name="20% - Accent1 2 3 7 3" xfId="21386" xr:uid="{0DD739DE-D601-4649-8E2E-D3787BBF3DC2}"/>
    <cellStyle name="20% - Accent1 2 3 8" xfId="8733" xr:uid="{D2C3D3DA-A60E-4814-AD2D-7CD4BD6D9140}"/>
    <cellStyle name="20% - Accent1 2 3 9" xfId="17169" xr:uid="{7B2830D0-1C27-4CF0-880E-E6E7B7810361}"/>
    <cellStyle name="20% - Accent1 2 4" xfId="571" xr:uid="{00000000-0005-0000-0000-00003F000000}"/>
    <cellStyle name="20% - Accent1 2 4 2" xfId="2842" xr:uid="{00000000-0005-0000-0000-000040000000}"/>
    <cellStyle name="20% - Accent1 2 4 2 2" xfId="7065" xr:uid="{00000000-0005-0000-0000-000041000000}"/>
    <cellStyle name="20% - Accent1 2 4 2 2 2" xfId="15507" xr:uid="{B8802EA1-008F-440C-A686-ACBC3A158638}"/>
    <cellStyle name="20% - Accent1 2 4 2 2 3" xfId="23942" xr:uid="{E14CBF4A-DCEA-47A4-8BEC-D68F0C9AF0DC}"/>
    <cellStyle name="20% - Accent1 2 4 2 3" xfId="11289" xr:uid="{E0960C5A-FF96-4D4F-A61C-74B80F3EA7FC}"/>
    <cellStyle name="20% - Accent1 2 4 2 4" xfId="19725" xr:uid="{77CC5DD3-129A-4392-AC1B-30DDD5D8424F}"/>
    <cellStyle name="20% - Accent1 2 4 3" xfId="4920" xr:uid="{00000000-0005-0000-0000-000042000000}"/>
    <cellStyle name="20% - Accent1 2 4 3 2" xfId="13362" xr:uid="{018E35D5-B93B-4786-915A-9935D6E077C8}"/>
    <cellStyle name="20% - Accent1 2 4 3 3" xfId="21797" xr:uid="{A8F8F7F1-1810-4040-BC97-8707AA02AD55}"/>
    <cellStyle name="20% - Accent1 2 4 4" xfId="9144" xr:uid="{CEBCB0CC-604F-4F02-B711-ED42DDC1F09E}"/>
    <cellStyle name="20% - Accent1 2 4 5" xfId="17580" xr:uid="{FC8B01B5-82FF-4A55-8886-FA30DF83E092}"/>
    <cellStyle name="20% - Accent1 2 5" xfId="1024" xr:uid="{00000000-0005-0000-0000-000043000000}"/>
    <cellStyle name="20% - Accent1 2 5 2" xfId="3255" xr:uid="{00000000-0005-0000-0000-000044000000}"/>
    <cellStyle name="20% - Accent1 2 5 2 2" xfId="7478" xr:uid="{00000000-0005-0000-0000-000045000000}"/>
    <cellStyle name="20% - Accent1 2 5 2 2 2" xfId="15920" xr:uid="{72DCD3B6-9858-46DD-933C-76D7DE7F047C}"/>
    <cellStyle name="20% - Accent1 2 5 2 2 3" xfId="24355" xr:uid="{EB1ADC8E-8F9E-45F1-BDFA-13728C0B4F2D}"/>
    <cellStyle name="20% - Accent1 2 5 2 3" xfId="11702" xr:uid="{8C6D5190-0B37-4956-BF4E-F48557449344}"/>
    <cellStyle name="20% - Accent1 2 5 2 4" xfId="20138" xr:uid="{E1AFB248-FD92-43F4-9A32-FCF359929F1A}"/>
    <cellStyle name="20% - Accent1 2 5 3" xfId="5333" xr:uid="{00000000-0005-0000-0000-000046000000}"/>
    <cellStyle name="20% - Accent1 2 5 3 2" xfId="13775" xr:uid="{F2E8E0FB-03D2-4F1B-8503-B136BA6791E2}"/>
    <cellStyle name="20% - Accent1 2 5 3 3" xfId="22210" xr:uid="{85F220EF-9051-4FC9-91D5-93D152ECCADE}"/>
    <cellStyle name="20% - Accent1 2 5 4" xfId="9557" xr:uid="{D166661D-EEC7-431F-9FB8-A679B8D40A03}"/>
    <cellStyle name="20% - Accent1 2 5 5" xfId="17993" xr:uid="{EA746266-AE50-484C-8662-A8F5FE808258}"/>
    <cellStyle name="20% - Accent1 2 6" xfId="1438" xr:uid="{00000000-0005-0000-0000-000047000000}"/>
    <cellStyle name="20% - Accent1 2 6 2" xfId="3668" xr:uid="{00000000-0005-0000-0000-000048000000}"/>
    <cellStyle name="20% - Accent1 2 6 2 2" xfId="7891" xr:uid="{00000000-0005-0000-0000-000049000000}"/>
    <cellStyle name="20% - Accent1 2 6 2 2 2" xfId="16333" xr:uid="{EDEB9F7C-961E-48BD-98B9-43C6A44FD65D}"/>
    <cellStyle name="20% - Accent1 2 6 2 2 3" xfId="24768" xr:uid="{48687EA4-93A4-46F3-A62E-86EA7420987E}"/>
    <cellStyle name="20% - Accent1 2 6 2 3" xfId="12115" xr:uid="{4F86EB8A-8BA4-4B1A-93EB-BAD0C03BACA3}"/>
    <cellStyle name="20% - Accent1 2 6 2 4" xfId="20551" xr:uid="{297B1BFD-0054-4FC7-8A9C-F82D69AEC87C}"/>
    <cellStyle name="20% - Accent1 2 6 3" xfId="5746" xr:uid="{00000000-0005-0000-0000-00004A000000}"/>
    <cellStyle name="20% - Accent1 2 6 3 2" xfId="14188" xr:uid="{A8F9CD32-31AC-488D-8D27-5382355119CF}"/>
    <cellStyle name="20% - Accent1 2 6 3 3" xfId="22623" xr:uid="{CE1F1CD4-77F4-49C0-BDB3-4C9C3FA2300D}"/>
    <cellStyle name="20% - Accent1 2 6 4" xfId="9970" xr:uid="{0F0906DF-78D6-42FA-B554-9F0553EC6A3D}"/>
    <cellStyle name="20% - Accent1 2 6 5" xfId="18406" xr:uid="{B4F05BB2-C145-45DE-BBB1-34F91228FC0A}"/>
    <cellStyle name="20% - Accent1 2 7" xfId="1852" xr:uid="{00000000-0005-0000-0000-00004B000000}"/>
    <cellStyle name="20% - Accent1 2 7 2" xfId="4081" xr:uid="{00000000-0005-0000-0000-00004C000000}"/>
    <cellStyle name="20% - Accent1 2 7 2 2" xfId="8304" xr:uid="{00000000-0005-0000-0000-00004D000000}"/>
    <cellStyle name="20% - Accent1 2 7 2 2 2" xfId="16746" xr:uid="{303D511A-13C5-4104-BBC9-94635D34B29B}"/>
    <cellStyle name="20% - Accent1 2 7 2 2 3" xfId="25181" xr:uid="{DDA8E1F5-F685-4754-A08C-C4A79D66E92F}"/>
    <cellStyle name="20% - Accent1 2 7 2 3" xfId="12528" xr:uid="{2244D20B-F7B9-4DB3-928C-AA44C298FF8B}"/>
    <cellStyle name="20% - Accent1 2 7 2 4" xfId="20964" xr:uid="{97BDF453-91D1-4EBE-BF8C-505DFD0314BA}"/>
    <cellStyle name="20% - Accent1 2 7 3" xfId="6159" xr:uid="{00000000-0005-0000-0000-00004E000000}"/>
    <cellStyle name="20% - Accent1 2 7 3 2" xfId="14601" xr:uid="{9EF59C30-B976-45AF-B3E4-3722A3247FC1}"/>
    <cellStyle name="20% - Accent1 2 7 3 3" xfId="23036" xr:uid="{4F77F940-271C-4A48-8D41-48CFEED9A641}"/>
    <cellStyle name="20% - Accent1 2 7 4" xfId="10383" xr:uid="{3ECCA34C-3CBC-4E74-89FE-900CD5C5EA01}"/>
    <cellStyle name="20% - Accent1 2 7 5" xfId="18819" xr:uid="{61DFED07-88FB-4270-9B79-C18E0457DC69}"/>
    <cellStyle name="20% - Accent1 2 8" xfId="2265" xr:uid="{00000000-0005-0000-0000-00004F000000}"/>
    <cellStyle name="20% - Accent1 2 8 2" xfId="6572" xr:uid="{00000000-0005-0000-0000-000050000000}"/>
    <cellStyle name="20% - Accent1 2 8 2 2" xfId="15014" xr:uid="{B13C6386-71AD-4347-BC54-7CA92F066518}"/>
    <cellStyle name="20% - Accent1 2 8 2 3" xfId="23449" xr:uid="{962E57C3-3801-401E-9C53-F85EDF6FA1FF}"/>
    <cellStyle name="20% - Accent1 2 8 3" xfId="10796" xr:uid="{5F37657B-7B51-473A-896C-D83B5D9ECC27}"/>
    <cellStyle name="20% - Accent1 2 8 4" xfId="19232" xr:uid="{E80426F6-C9FC-4CB3-B2BF-0445C46FB5E0}"/>
    <cellStyle name="20% - Accent1 2 9" xfId="4506" xr:uid="{00000000-0005-0000-0000-000051000000}"/>
    <cellStyle name="20% - Accent1 2 9 2" xfId="12948" xr:uid="{D018B728-B7FA-4F6F-AC0C-62277AAA8F5B}"/>
    <cellStyle name="20% - Accent1 2 9 3" xfId="21383" xr:uid="{7980F3ED-F4E2-4C9E-9ECC-6D6A18BD8AAF}"/>
    <cellStyle name="20% - Accent1 3" xfId="6" xr:uid="{00000000-0005-0000-0000-000052000000}"/>
    <cellStyle name="20% - Accent1 3 10" xfId="17170" xr:uid="{DE5627DF-39F1-404A-BD0B-5C30236D8628}"/>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2 2 2" xfId="15512" xr:uid="{080A4653-5653-4989-B065-95BB09168FDD}"/>
    <cellStyle name="20% - Accent1 3 2 2 2 2 3" xfId="23947" xr:uid="{F2706F35-CF8E-4536-A09F-2D551686531A}"/>
    <cellStyle name="20% - Accent1 3 2 2 2 3" xfId="11294" xr:uid="{63C42829-A37B-4F6F-BAD2-BD5E11B91AF8}"/>
    <cellStyle name="20% - Accent1 3 2 2 2 4" xfId="19730" xr:uid="{58161BD0-6E77-4BEB-BFBE-3C181E679D45}"/>
    <cellStyle name="20% - Accent1 3 2 2 3" xfId="4925" xr:uid="{00000000-0005-0000-0000-000057000000}"/>
    <cellStyle name="20% - Accent1 3 2 2 3 2" xfId="13367" xr:uid="{E6C43A63-CE8A-4A39-9AC9-45D6A621D0C9}"/>
    <cellStyle name="20% - Accent1 3 2 2 3 3" xfId="21802" xr:uid="{9204ECCA-139A-4047-83C0-E24E61334E51}"/>
    <cellStyle name="20% - Accent1 3 2 2 4" xfId="9149" xr:uid="{D2DDC516-55B8-4477-AE98-52F2402116C0}"/>
    <cellStyle name="20% - Accent1 3 2 2 5" xfId="17585" xr:uid="{9B11DDBF-39B6-4FB3-A2C8-2A1157153609}"/>
    <cellStyle name="20% - Accent1 3 2 3" xfId="1029" xr:uid="{00000000-0005-0000-0000-000058000000}"/>
    <cellStyle name="20% - Accent1 3 2 3 2" xfId="3260" xr:uid="{00000000-0005-0000-0000-000059000000}"/>
    <cellStyle name="20% - Accent1 3 2 3 2 2" xfId="7483" xr:uid="{00000000-0005-0000-0000-00005A000000}"/>
    <cellStyle name="20% - Accent1 3 2 3 2 2 2" xfId="15925" xr:uid="{3132B1D7-701A-400D-B199-2692B98F93B6}"/>
    <cellStyle name="20% - Accent1 3 2 3 2 2 3" xfId="24360" xr:uid="{FE07062D-B38B-4BB2-9952-201E7D0DBBD1}"/>
    <cellStyle name="20% - Accent1 3 2 3 2 3" xfId="11707" xr:uid="{06BF6A90-D85D-4652-9A68-00A58267BC92}"/>
    <cellStyle name="20% - Accent1 3 2 3 2 4" xfId="20143" xr:uid="{D2D2235F-175C-49EB-B441-AED50FAE882F}"/>
    <cellStyle name="20% - Accent1 3 2 3 3" xfId="5338" xr:uid="{00000000-0005-0000-0000-00005B000000}"/>
    <cellStyle name="20% - Accent1 3 2 3 3 2" xfId="13780" xr:uid="{0BAAC5DA-90C3-42F8-8D36-3F761DC1883B}"/>
    <cellStyle name="20% - Accent1 3 2 3 3 3" xfId="22215" xr:uid="{7551BF96-37A7-4F84-9E33-F6D2BBE4A19C}"/>
    <cellStyle name="20% - Accent1 3 2 3 4" xfId="9562" xr:uid="{E5710308-9522-40B4-B9E2-E741A2459C75}"/>
    <cellStyle name="20% - Accent1 3 2 3 5" xfId="17998" xr:uid="{21FFC7FA-9302-437A-A215-4494479ACD04}"/>
    <cellStyle name="20% - Accent1 3 2 4" xfId="1443" xr:uid="{00000000-0005-0000-0000-00005C000000}"/>
    <cellStyle name="20% - Accent1 3 2 4 2" xfId="3673" xr:uid="{00000000-0005-0000-0000-00005D000000}"/>
    <cellStyle name="20% - Accent1 3 2 4 2 2" xfId="7896" xr:uid="{00000000-0005-0000-0000-00005E000000}"/>
    <cellStyle name="20% - Accent1 3 2 4 2 2 2" xfId="16338" xr:uid="{A994B8D8-1F2F-4B41-B337-D5C1474A3A54}"/>
    <cellStyle name="20% - Accent1 3 2 4 2 2 3" xfId="24773" xr:uid="{6D554BDB-6FA3-4470-99A7-1F0E8E8EA570}"/>
    <cellStyle name="20% - Accent1 3 2 4 2 3" xfId="12120" xr:uid="{C84D5F22-10FD-45B5-9084-8FFE3CA53063}"/>
    <cellStyle name="20% - Accent1 3 2 4 2 4" xfId="20556" xr:uid="{113D81C2-4F59-41A3-A186-FA4998B436C8}"/>
    <cellStyle name="20% - Accent1 3 2 4 3" xfId="5751" xr:uid="{00000000-0005-0000-0000-00005F000000}"/>
    <cellStyle name="20% - Accent1 3 2 4 3 2" xfId="14193" xr:uid="{34807953-CA12-4288-AF64-BDFDBD2842F6}"/>
    <cellStyle name="20% - Accent1 3 2 4 3 3" xfId="22628" xr:uid="{447BF28C-E6E7-410F-AA31-F7B39B409E9E}"/>
    <cellStyle name="20% - Accent1 3 2 4 4" xfId="9975" xr:uid="{F32B60C8-76D4-42A9-8ABC-94272EE6DE4F}"/>
    <cellStyle name="20% - Accent1 3 2 4 5" xfId="18411" xr:uid="{C49E8ABC-7C38-4D0A-A11D-7E428A729035}"/>
    <cellStyle name="20% - Accent1 3 2 5" xfId="1857" xr:uid="{00000000-0005-0000-0000-000060000000}"/>
    <cellStyle name="20% - Accent1 3 2 5 2" xfId="4086" xr:uid="{00000000-0005-0000-0000-000061000000}"/>
    <cellStyle name="20% - Accent1 3 2 5 2 2" xfId="8309" xr:uid="{00000000-0005-0000-0000-000062000000}"/>
    <cellStyle name="20% - Accent1 3 2 5 2 2 2" xfId="16751" xr:uid="{8055DC8C-62A2-4872-84BC-8DF96DEF1E51}"/>
    <cellStyle name="20% - Accent1 3 2 5 2 2 3" xfId="25186" xr:uid="{CAD0EED6-FC55-414B-954C-D8149D624F0A}"/>
    <cellStyle name="20% - Accent1 3 2 5 2 3" xfId="12533" xr:uid="{514FEDBD-1F8E-4275-B7D3-FDB699F8A18A}"/>
    <cellStyle name="20% - Accent1 3 2 5 2 4" xfId="20969" xr:uid="{F44A7FD1-216D-45CA-8287-56E8E8B1197F}"/>
    <cellStyle name="20% - Accent1 3 2 5 3" xfId="6164" xr:uid="{00000000-0005-0000-0000-000063000000}"/>
    <cellStyle name="20% - Accent1 3 2 5 3 2" xfId="14606" xr:uid="{E5177B47-A7F1-4FD1-B7DB-BDC68A2E9188}"/>
    <cellStyle name="20% - Accent1 3 2 5 3 3" xfId="23041" xr:uid="{1D68F221-C1D1-451A-A44A-09F752FC29E9}"/>
    <cellStyle name="20% - Accent1 3 2 5 4" xfId="10388" xr:uid="{23D4F4CD-7E7F-49F6-AAC3-1C706827D67E}"/>
    <cellStyle name="20% - Accent1 3 2 5 5" xfId="18824" xr:uid="{18B4FBF9-6D9D-40B5-8018-93E90018317B}"/>
    <cellStyle name="20% - Accent1 3 2 6" xfId="2270" xr:uid="{00000000-0005-0000-0000-000064000000}"/>
    <cellStyle name="20% - Accent1 3 2 6 2" xfId="6577" xr:uid="{00000000-0005-0000-0000-000065000000}"/>
    <cellStyle name="20% - Accent1 3 2 6 2 2" xfId="15019" xr:uid="{E3FFF20E-C637-44EF-9FA4-A9E5479E4553}"/>
    <cellStyle name="20% - Accent1 3 2 6 2 3" xfId="23454" xr:uid="{B14BAEDA-1390-41DE-ADA9-3BD5D0A4BE62}"/>
    <cellStyle name="20% - Accent1 3 2 6 3" xfId="10801" xr:uid="{7A9AF418-C580-4C4C-8867-32CAF193AF76}"/>
    <cellStyle name="20% - Accent1 3 2 6 4" xfId="19237" xr:uid="{CB0C9B9E-80F1-4791-9799-E62D1586F337}"/>
    <cellStyle name="20% - Accent1 3 2 7" xfId="4511" xr:uid="{00000000-0005-0000-0000-000066000000}"/>
    <cellStyle name="20% - Accent1 3 2 7 2" xfId="12953" xr:uid="{55609794-E5A9-4824-838E-97982719793B}"/>
    <cellStyle name="20% - Accent1 3 2 7 3" xfId="21388" xr:uid="{645D2BC0-1FD3-423C-948F-DEDBE4194EDA}"/>
    <cellStyle name="20% - Accent1 3 2 8" xfId="8735" xr:uid="{74FD5BF8-CC77-4DAA-9D1F-BEF2CDA33C84}"/>
    <cellStyle name="20% - Accent1 3 2 9" xfId="17171" xr:uid="{92B3BF97-41F0-4720-AFE8-251C6EAC4C29}"/>
    <cellStyle name="20% - Accent1 3 3" xfId="575" xr:uid="{00000000-0005-0000-0000-000067000000}"/>
    <cellStyle name="20% - Accent1 3 3 2" xfId="2846" xr:uid="{00000000-0005-0000-0000-000068000000}"/>
    <cellStyle name="20% - Accent1 3 3 2 2" xfId="7069" xr:uid="{00000000-0005-0000-0000-000069000000}"/>
    <cellStyle name="20% - Accent1 3 3 2 2 2" xfId="15511" xr:uid="{B6BE4435-ADE3-4E0C-835C-3F23CAEEAAE9}"/>
    <cellStyle name="20% - Accent1 3 3 2 2 3" xfId="23946" xr:uid="{CAD69591-CDA0-439D-A62D-5239C90297D2}"/>
    <cellStyle name="20% - Accent1 3 3 2 3" xfId="11293" xr:uid="{F0DBCDA9-4FF9-49B5-AF3A-FA6066CAEA9F}"/>
    <cellStyle name="20% - Accent1 3 3 2 4" xfId="19729" xr:uid="{75B387DD-2239-46EF-9785-B0F8E0E87C73}"/>
    <cellStyle name="20% - Accent1 3 3 3" xfId="4924" xr:uid="{00000000-0005-0000-0000-00006A000000}"/>
    <cellStyle name="20% - Accent1 3 3 3 2" xfId="13366" xr:uid="{B867DE35-4AD8-42B3-BC6A-32E3DFC383D6}"/>
    <cellStyle name="20% - Accent1 3 3 3 3" xfId="21801" xr:uid="{60FD295D-47A4-43E2-A011-11FF4E16A09F}"/>
    <cellStyle name="20% - Accent1 3 3 4" xfId="9148" xr:uid="{27B20DCA-8580-44E6-9118-254124729742}"/>
    <cellStyle name="20% - Accent1 3 3 5" xfId="17584" xr:uid="{E16A207C-1AED-462F-A8D3-54D93116CFC9}"/>
    <cellStyle name="20% - Accent1 3 4" xfId="1028" xr:uid="{00000000-0005-0000-0000-00006B000000}"/>
    <cellStyle name="20% - Accent1 3 4 2" xfId="3259" xr:uid="{00000000-0005-0000-0000-00006C000000}"/>
    <cellStyle name="20% - Accent1 3 4 2 2" xfId="7482" xr:uid="{00000000-0005-0000-0000-00006D000000}"/>
    <cellStyle name="20% - Accent1 3 4 2 2 2" xfId="15924" xr:uid="{60658D2D-5B4A-4EAD-BDF0-CFFD889A63B3}"/>
    <cellStyle name="20% - Accent1 3 4 2 2 3" xfId="24359" xr:uid="{5B429CA0-3C2D-4DCE-AFC2-4CF57B03D205}"/>
    <cellStyle name="20% - Accent1 3 4 2 3" xfId="11706" xr:uid="{6A609821-C627-421F-80CF-620D488ED07E}"/>
    <cellStyle name="20% - Accent1 3 4 2 4" xfId="20142" xr:uid="{5BB3167A-386E-4E50-B83E-0ED1CDA35F27}"/>
    <cellStyle name="20% - Accent1 3 4 3" xfId="5337" xr:uid="{00000000-0005-0000-0000-00006E000000}"/>
    <cellStyle name="20% - Accent1 3 4 3 2" xfId="13779" xr:uid="{C0792E29-4BDA-40E0-881A-1D5FE8A42695}"/>
    <cellStyle name="20% - Accent1 3 4 3 3" xfId="22214" xr:uid="{8C426B8D-952C-424E-B53C-75EB734A4B6B}"/>
    <cellStyle name="20% - Accent1 3 4 4" xfId="9561" xr:uid="{58517585-CCE6-4D3C-9B2E-A00CEEF256E2}"/>
    <cellStyle name="20% - Accent1 3 4 5" xfId="17997" xr:uid="{7D0B7264-E7A0-4F08-85D8-DE0219B8C0BE}"/>
    <cellStyle name="20% - Accent1 3 5" xfId="1442" xr:uid="{00000000-0005-0000-0000-00006F000000}"/>
    <cellStyle name="20% - Accent1 3 5 2" xfId="3672" xr:uid="{00000000-0005-0000-0000-000070000000}"/>
    <cellStyle name="20% - Accent1 3 5 2 2" xfId="7895" xr:uid="{00000000-0005-0000-0000-000071000000}"/>
    <cellStyle name="20% - Accent1 3 5 2 2 2" xfId="16337" xr:uid="{E54BA154-D199-43DD-B830-1888CF442623}"/>
    <cellStyle name="20% - Accent1 3 5 2 2 3" xfId="24772" xr:uid="{FA2FFD64-9345-4E30-A3F4-B17E5B8BD575}"/>
    <cellStyle name="20% - Accent1 3 5 2 3" xfId="12119" xr:uid="{D20090EA-09F6-43FF-A473-4C476386B4A2}"/>
    <cellStyle name="20% - Accent1 3 5 2 4" xfId="20555" xr:uid="{946DC303-5A23-4CDC-BBDF-0E9A3035B185}"/>
    <cellStyle name="20% - Accent1 3 5 3" xfId="5750" xr:uid="{00000000-0005-0000-0000-000072000000}"/>
    <cellStyle name="20% - Accent1 3 5 3 2" xfId="14192" xr:uid="{401EFE85-3054-42B9-93E2-EA5A7E44CF57}"/>
    <cellStyle name="20% - Accent1 3 5 3 3" xfId="22627" xr:uid="{EB862068-C3E4-49B0-BA5D-64861CFBA3AA}"/>
    <cellStyle name="20% - Accent1 3 5 4" xfId="9974" xr:uid="{416E665B-F98E-4FBD-BF08-1BFA6D119B41}"/>
    <cellStyle name="20% - Accent1 3 5 5" xfId="18410" xr:uid="{07EF028F-73CD-4A93-BA8D-13B585C702E9}"/>
    <cellStyle name="20% - Accent1 3 6" xfId="1856" xr:uid="{00000000-0005-0000-0000-000073000000}"/>
    <cellStyle name="20% - Accent1 3 6 2" xfId="4085" xr:uid="{00000000-0005-0000-0000-000074000000}"/>
    <cellStyle name="20% - Accent1 3 6 2 2" xfId="8308" xr:uid="{00000000-0005-0000-0000-000075000000}"/>
    <cellStyle name="20% - Accent1 3 6 2 2 2" xfId="16750" xr:uid="{DB13ACFB-831F-44D3-8A5B-B6EF73A8712C}"/>
    <cellStyle name="20% - Accent1 3 6 2 2 3" xfId="25185" xr:uid="{21142893-E1DF-4A90-8865-8016AF6AA906}"/>
    <cellStyle name="20% - Accent1 3 6 2 3" xfId="12532" xr:uid="{E26EAFEE-403E-4ADB-A5D8-3B38561C2932}"/>
    <cellStyle name="20% - Accent1 3 6 2 4" xfId="20968" xr:uid="{65BA5116-689E-40A7-836A-2686725A139E}"/>
    <cellStyle name="20% - Accent1 3 6 3" xfId="6163" xr:uid="{00000000-0005-0000-0000-000076000000}"/>
    <cellStyle name="20% - Accent1 3 6 3 2" xfId="14605" xr:uid="{7930C3E8-590F-40CA-B35E-0F8A07B0C2A8}"/>
    <cellStyle name="20% - Accent1 3 6 3 3" xfId="23040" xr:uid="{1797D5BF-778D-442A-AAB8-B1619D1131D6}"/>
    <cellStyle name="20% - Accent1 3 6 4" xfId="10387" xr:uid="{DA9044E6-1B48-4F6A-8269-FB727976F70D}"/>
    <cellStyle name="20% - Accent1 3 6 5" xfId="18823" xr:uid="{67847746-076B-4985-B738-C1D9F4655350}"/>
    <cellStyle name="20% - Accent1 3 7" xfId="2269" xr:uid="{00000000-0005-0000-0000-000077000000}"/>
    <cellStyle name="20% - Accent1 3 7 2" xfId="6576" xr:uid="{00000000-0005-0000-0000-000078000000}"/>
    <cellStyle name="20% - Accent1 3 7 2 2" xfId="15018" xr:uid="{55A79780-A350-4973-B8B3-51C066AAC2D7}"/>
    <cellStyle name="20% - Accent1 3 7 2 3" xfId="23453" xr:uid="{96E0B58E-38A8-49AE-A6B0-C432E7736030}"/>
    <cellStyle name="20% - Accent1 3 7 3" xfId="10800" xr:uid="{34CD03FA-9D60-450B-95E5-6A81EC726E0E}"/>
    <cellStyle name="20% - Accent1 3 7 4" xfId="19236" xr:uid="{2D99A8A5-B471-432D-8EF0-4BE1F42E824D}"/>
    <cellStyle name="20% - Accent1 3 8" xfId="4510" xr:uid="{00000000-0005-0000-0000-000079000000}"/>
    <cellStyle name="20% - Accent1 3 8 2" xfId="12952" xr:uid="{B141F1A8-531C-489F-8434-A4D5E309163F}"/>
    <cellStyle name="20% - Accent1 3 8 3" xfId="21387" xr:uid="{048DE29E-A8FA-45AA-9B87-523D8574DC4E}"/>
    <cellStyle name="20% - Accent1 3 9" xfId="8734" xr:uid="{DF828038-7823-4035-AF02-0EACDAF4B27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2 2 2" xfId="15513" xr:uid="{F498C0AA-1CD9-45A0-9401-43F9D9679159}"/>
    <cellStyle name="20% - Accent1 4 2 2 2 3" xfId="23948" xr:uid="{A4E4E443-DEC4-4C2A-A0E9-6A85043A8131}"/>
    <cellStyle name="20% - Accent1 4 2 2 3" xfId="11295" xr:uid="{41578023-C40C-421A-B732-2715AC6B1038}"/>
    <cellStyle name="20% - Accent1 4 2 2 4" xfId="19731" xr:uid="{B4CF2F95-4F05-42DB-AD6B-25BBE406BADB}"/>
    <cellStyle name="20% - Accent1 4 2 3" xfId="4926" xr:uid="{00000000-0005-0000-0000-00007E000000}"/>
    <cellStyle name="20% - Accent1 4 2 3 2" xfId="13368" xr:uid="{4096CAF3-6365-4557-A46E-13F44E958438}"/>
    <cellStyle name="20% - Accent1 4 2 3 3" xfId="21803" xr:uid="{C979FBBE-6116-4437-A81C-2856554FE76A}"/>
    <cellStyle name="20% - Accent1 4 2 4" xfId="9150" xr:uid="{2076F8EB-C49E-4013-B708-FAF339BC0B7D}"/>
    <cellStyle name="20% - Accent1 4 2 5" xfId="17586" xr:uid="{2F5996F9-9ABE-4283-8E7D-4599FC70C1B9}"/>
    <cellStyle name="20% - Accent1 4 3" xfId="1030" xr:uid="{00000000-0005-0000-0000-00007F000000}"/>
    <cellStyle name="20% - Accent1 4 3 2" xfId="3261" xr:uid="{00000000-0005-0000-0000-000080000000}"/>
    <cellStyle name="20% - Accent1 4 3 2 2" xfId="7484" xr:uid="{00000000-0005-0000-0000-000081000000}"/>
    <cellStyle name="20% - Accent1 4 3 2 2 2" xfId="15926" xr:uid="{5AAFC305-98CE-4282-93CB-AD351121F8EC}"/>
    <cellStyle name="20% - Accent1 4 3 2 2 3" xfId="24361" xr:uid="{E5A0722C-E1B5-4DF9-ACF7-A7AABAE04887}"/>
    <cellStyle name="20% - Accent1 4 3 2 3" xfId="11708" xr:uid="{8078473E-9EAB-46D5-9BBF-0BF676D2AD43}"/>
    <cellStyle name="20% - Accent1 4 3 2 4" xfId="20144" xr:uid="{EB01843A-8E1B-4201-A072-2E9FD19B4F26}"/>
    <cellStyle name="20% - Accent1 4 3 3" xfId="5339" xr:uid="{00000000-0005-0000-0000-000082000000}"/>
    <cellStyle name="20% - Accent1 4 3 3 2" xfId="13781" xr:uid="{B101F3CD-0300-4249-A432-6A70002DF196}"/>
    <cellStyle name="20% - Accent1 4 3 3 3" xfId="22216" xr:uid="{FF8A3FF5-D32F-4025-8D95-240D106DEE51}"/>
    <cellStyle name="20% - Accent1 4 3 4" xfId="9563" xr:uid="{4488A297-B5A3-461B-9180-7567D1AD48A0}"/>
    <cellStyle name="20% - Accent1 4 3 5" xfId="17999" xr:uid="{82959220-E1D9-4F42-9497-7191ACF6BD4D}"/>
    <cellStyle name="20% - Accent1 4 4" xfId="1444" xr:uid="{00000000-0005-0000-0000-000083000000}"/>
    <cellStyle name="20% - Accent1 4 4 2" xfId="3674" xr:uid="{00000000-0005-0000-0000-000084000000}"/>
    <cellStyle name="20% - Accent1 4 4 2 2" xfId="7897" xr:uid="{00000000-0005-0000-0000-000085000000}"/>
    <cellStyle name="20% - Accent1 4 4 2 2 2" xfId="16339" xr:uid="{53A684F1-76AE-40B4-9A51-044157ED92BC}"/>
    <cellStyle name="20% - Accent1 4 4 2 2 3" xfId="24774" xr:uid="{C2C169BE-136D-4BB8-9C98-3DC0AD938337}"/>
    <cellStyle name="20% - Accent1 4 4 2 3" xfId="12121" xr:uid="{D6012973-E87A-4E80-B9CD-8F3EE327A413}"/>
    <cellStyle name="20% - Accent1 4 4 2 4" xfId="20557" xr:uid="{4344411B-E883-4338-88BE-8F3BADC9DE3A}"/>
    <cellStyle name="20% - Accent1 4 4 3" xfId="5752" xr:uid="{00000000-0005-0000-0000-000086000000}"/>
    <cellStyle name="20% - Accent1 4 4 3 2" xfId="14194" xr:uid="{4A594B93-7A21-478B-A4FD-35A64E49EAE4}"/>
    <cellStyle name="20% - Accent1 4 4 3 3" xfId="22629" xr:uid="{9E4E3E86-3BDF-46F4-927C-EEC9B7FC0973}"/>
    <cellStyle name="20% - Accent1 4 4 4" xfId="9976" xr:uid="{86980109-E7BB-4F95-8C59-7EF19C26EDDD}"/>
    <cellStyle name="20% - Accent1 4 4 5" xfId="18412" xr:uid="{3F06F4E1-141F-4F95-BAAC-705108C9FAF0}"/>
    <cellStyle name="20% - Accent1 4 5" xfId="1858" xr:uid="{00000000-0005-0000-0000-000087000000}"/>
    <cellStyle name="20% - Accent1 4 5 2" xfId="4087" xr:uid="{00000000-0005-0000-0000-000088000000}"/>
    <cellStyle name="20% - Accent1 4 5 2 2" xfId="8310" xr:uid="{00000000-0005-0000-0000-000089000000}"/>
    <cellStyle name="20% - Accent1 4 5 2 2 2" xfId="16752" xr:uid="{548AE99B-208C-4851-9542-340AC1D9BC8C}"/>
    <cellStyle name="20% - Accent1 4 5 2 2 3" xfId="25187" xr:uid="{278DFC6C-FE2D-4EA4-BD9D-AAB7FBA11EB8}"/>
    <cellStyle name="20% - Accent1 4 5 2 3" xfId="12534" xr:uid="{702D8D2B-7297-40E6-A131-2393C1EA319C}"/>
    <cellStyle name="20% - Accent1 4 5 2 4" xfId="20970" xr:uid="{3DF7E40D-C247-4102-B371-07C5C1FC7537}"/>
    <cellStyle name="20% - Accent1 4 5 3" xfId="6165" xr:uid="{00000000-0005-0000-0000-00008A000000}"/>
    <cellStyle name="20% - Accent1 4 5 3 2" xfId="14607" xr:uid="{1B6A4CF5-ADAB-49CF-8E50-1FB8103F03BE}"/>
    <cellStyle name="20% - Accent1 4 5 3 3" xfId="23042" xr:uid="{48C9D237-9C2A-47DD-9AEE-066E029127A5}"/>
    <cellStyle name="20% - Accent1 4 5 4" xfId="10389" xr:uid="{3610E001-DB9E-411B-819F-50AE5C313E36}"/>
    <cellStyle name="20% - Accent1 4 5 5" xfId="18825" xr:uid="{37F3927E-9DFF-4F13-AF0E-9B5F067ECC4B}"/>
    <cellStyle name="20% - Accent1 4 6" xfId="2271" xr:uid="{00000000-0005-0000-0000-00008B000000}"/>
    <cellStyle name="20% - Accent1 4 6 2" xfId="6578" xr:uid="{00000000-0005-0000-0000-00008C000000}"/>
    <cellStyle name="20% - Accent1 4 6 2 2" xfId="15020" xr:uid="{7EC0FAD0-406E-4657-A6A2-A5AB894D8C91}"/>
    <cellStyle name="20% - Accent1 4 6 2 3" xfId="23455" xr:uid="{54BB8D85-95B8-452E-8776-52232E8DD3B4}"/>
    <cellStyle name="20% - Accent1 4 6 3" xfId="10802" xr:uid="{7994D5EF-506C-4DA5-A510-4F268A428488}"/>
    <cellStyle name="20% - Accent1 4 6 4" xfId="19238" xr:uid="{659B98C9-020A-41D7-99C3-AC3B9C24438C}"/>
    <cellStyle name="20% - Accent1 4 7" xfId="4512" xr:uid="{00000000-0005-0000-0000-00008D000000}"/>
    <cellStyle name="20% - Accent1 4 7 2" xfId="12954" xr:uid="{CD386ABE-D025-4BC6-944C-3AB7EAC8B5C9}"/>
    <cellStyle name="20% - Accent1 4 7 3" xfId="21389" xr:uid="{366E2CA9-AF55-49F4-9161-6BBA19EA97E6}"/>
    <cellStyle name="20% - Accent1 4 8" xfId="8736" xr:uid="{41646E28-2E15-4A83-BB20-503B6E56E2BC}"/>
    <cellStyle name="20% - Accent1 4 9" xfId="17172" xr:uid="{34E52C1C-AB63-47CC-AE1F-39F5B90D7E1E}"/>
    <cellStyle name="20% - Accent1 5" xfId="570" xr:uid="{00000000-0005-0000-0000-00008E000000}"/>
    <cellStyle name="20% - Accent1 5 2" xfId="2841" xr:uid="{00000000-0005-0000-0000-00008F000000}"/>
    <cellStyle name="20% - Accent1 5 2 2" xfId="7064" xr:uid="{00000000-0005-0000-0000-000090000000}"/>
    <cellStyle name="20% - Accent1 5 2 2 2" xfId="15506" xr:uid="{21A65489-D73A-4C8E-BF95-6BCD748591A1}"/>
    <cellStyle name="20% - Accent1 5 2 2 3" xfId="23941" xr:uid="{9B97C3DC-8429-4340-AFC8-F99ACA52CA03}"/>
    <cellStyle name="20% - Accent1 5 2 3" xfId="11288" xr:uid="{06751926-BFFB-4148-A983-DF5B67A0272A}"/>
    <cellStyle name="20% - Accent1 5 2 4" xfId="19724" xr:uid="{B93CC039-F934-400D-8E02-4BF4CF28AFAE}"/>
    <cellStyle name="20% - Accent1 5 3" xfId="4919" xr:uid="{00000000-0005-0000-0000-000091000000}"/>
    <cellStyle name="20% - Accent1 5 3 2" xfId="13361" xr:uid="{699A1663-A3D1-4D69-B9C8-34D7DDD996BC}"/>
    <cellStyle name="20% - Accent1 5 3 3" xfId="21796" xr:uid="{8AEC8751-C9EC-4162-8D65-7DDF5791927D}"/>
    <cellStyle name="20% - Accent1 5 4" xfId="9143" xr:uid="{097215C5-D434-4FE2-80F7-220579C5943D}"/>
    <cellStyle name="20% - Accent1 5 5" xfId="17579" xr:uid="{CC3B9D77-226A-4E10-AFC5-C603406539A5}"/>
    <cellStyle name="20% - Accent1 6" xfId="1023" xr:uid="{00000000-0005-0000-0000-000092000000}"/>
    <cellStyle name="20% - Accent1 6 2" xfId="3254" xr:uid="{00000000-0005-0000-0000-000093000000}"/>
    <cellStyle name="20% - Accent1 6 2 2" xfId="7477" xr:uid="{00000000-0005-0000-0000-000094000000}"/>
    <cellStyle name="20% - Accent1 6 2 2 2" xfId="15919" xr:uid="{949B82C4-5B64-4675-8969-CC7FBB2A7186}"/>
    <cellStyle name="20% - Accent1 6 2 2 3" xfId="24354" xr:uid="{8620B279-CDB2-4466-9798-C8D80ADED8DB}"/>
    <cellStyle name="20% - Accent1 6 2 3" xfId="11701" xr:uid="{1B05791C-9C10-40AB-A541-B0A00F839EC2}"/>
    <cellStyle name="20% - Accent1 6 2 4" xfId="20137" xr:uid="{B132954D-DE50-40AF-9757-F539C0C52101}"/>
    <cellStyle name="20% - Accent1 6 3" xfId="5332" xr:uid="{00000000-0005-0000-0000-000095000000}"/>
    <cellStyle name="20% - Accent1 6 3 2" xfId="13774" xr:uid="{C5016872-B0F2-4487-8120-59026324D2B4}"/>
    <cellStyle name="20% - Accent1 6 3 3" xfId="22209" xr:uid="{AB622B7D-A9BD-47AE-81DD-7264B50EB965}"/>
    <cellStyle name="20% - Accent1 6 4" xfId="9556" xr:uid="{CBF702F1-74B7-4B8E-A7DC-A2374D111E86}"/>
    <cellStyle name="20% - Accent1 6 5" xfId="17992" xr:uid="{95A10882-2D07-44CB-BBC7-1DFA418357EF}"/>
    <cellStyle name="20% - Accent1 7" xfId="1437" xr:uid="{00000000-0005-0000-0000-000096000000}"/>
    <cellStyle name="20% - Accent1 7 2" xfId="3667" xr:uid="{00000000-0005-0000-0000-000097000000}"/>
    <cellStyle name="20% - Accent1 7 2 2" xfId="7890" xr:uid="{00000000-0005-0000-0000-000098000000}"/>
    <cellStyle name="20% - Accent1 7 2 2 2" xfId="16332" xr:uid="{1DB105D6-4962-429D-B6FB-5CFB35463276}"/>
    <cellStyle name="20% - Accent1 7 2 2 3" xfId="24767" xr:uid="{7B0166EA-51AE-4F0B-B652-7467ABC4F4A8}"/>
    <cellStyle name="20% - Accent1 7 2 3" xfId="12114" xr:uid="{6C20A67E-27F3-4E7E-9F26-BC30E836E35E}"/>
    <cellStyle name="20% - Accent1 7 2 4" xfId="20550" xr:uid="{2DC036E1-9005-4C21-AFF9-2DF460F77863}"/>
    <cellStyle name="20% - Accent1 7 3" xfId="5745" xr:uid="{00000000-0005-0000-0000-000099000000}"/>
    <cellStyle name="20% - Accent1 7 3 2" xfId="14187" xr:uid="{7F46D718-376C-489B-8E74-71B7FF1083E6}"/>
    <cellStyle name="20% - Accent1 7 3 3" xfId="22622" xr:uid="{6BB63D52-5EEC-48BF-8F72-1F046A7C8C7F}"/>
    <cellStyle name="20% - Accent1 7 4" xfId="9969" xr:uid="{41912B9E-FF6B-4076-8A73-85B5CB0CC3B1}"/>
    <cellStyle name="20% - Accent1 7 5" xfId="18405" xr:uid="{65EE6F84-726D-4375-9393-29D6857CB862}"/>
    <cellStyle name="20% - Accent1 8" xfId="1851" xr:uid="{00000000-0005-0000-0000-00009A000000}"/>
    <cellStyle name="20% - Accent1 8 2" xfId="4080" xr:uid="{00000000-0005-0000-0000-00009B000000}"/>
    <cellStyle name="20% - Accent1 8 2 2" xfId="8303" xr:uid="{00000000-0005-0000-0000-00009C000000}"/>
    <cellStyle name="20% - Accent1 8 2 2 2" xfId="16745" xr:uid="{9C0A0F92-C87F-4EE5-A3EA-935251E78CE4}"/>
    <cellStyle name="20% - Accent1 8 2 2 3" xfId="25180" xr:uid="{F2ABACE2-654A-4079-A11A-9F5BEABBFD74}"/>
    <cellStyle name="20% - Accent1 8 2 3" xfId="12527" xr:uid="{3E79F7CB-330A-47B2-BFDD-303F8EA2B318}"/>
    <cellStyle name="20% - Accent1 8 2 4" xfId="20963" xr:uid="{945CFDD2-E81A-450A-9EC8-0E940736A578}"/>
    <cellStyle name="20% - Accent1 8 3" xfId="6158" xr:uid="{00000000-0005-0000-0000-00009D000000}"/>
    <cellStyle name="20% - Accent1 8 3 2" xfId="14600" xr:uid="{1D895E75-7FE4-46A7-94A5-56FCA8FAB337}"/>
    <cellStyle name="20% - Accent1 8 3 3" xfId="23035" xr:uid="{4FFE3738-B0CA-47C2-8E7B-BCC4475E2018}"/>
    <cellStyle name="20% - Accent1 8 4" xfId="10382" xr:uid="{640D1611-C893-4BFA-9AE6-7A582F48346B}"/>
    <cellStyle name="20% - Accent1 8 5" xfId="18818" xr:uid="{E930BB38-1EE7-464C-A5D7-3E08CBD0A0F7}"/>
    <cellStyle name="20% - Accent1 9" xfId="2264" xr:uid="{00000000-0005-0000-0000-00009E000000}"/>
    <cellStyle name="20% - Accent1 9 2" xfId="6571" xr:uid="{00000000-0005-0000-0000-00009F000000}"/>
    <cellStyle name="20% - Accent1 9 2 2" xfId="15013" xr:uid="{2D018825-5418-4F3C-85EC-93F298D05A85}"/>
    <cellStyle name="20% - Accent1 9 2 3" xfId="23448" xr:uid="{E6E7A0B1-836D-4D45-829D-EE035DC27C13}"/>
    <cellStyle name="20% - Accent1 9 3" xfId="10795" xr:uid="{C8A86674-2E41-4224-B577-5F8A2B54DD5E}"/>
    <cellStyle name="20% - Accent1 9 4" xfId="19231" xr:uid="{1231B1FD-46DE-4FA8-8F64-135EB9D4464A}"/>
    <cellStyle name="20% - Accent2" xfId="9" builtinId="34" customBuiltin="1"/>
    <cellStyle name="20% - Accent2 10" xfId="4513" xr:uid="{00000000-0005-0000-0000-0000A1000000}"/>
    <cellStyle name="20% - Accent2 10 2" xfId="12955" xr:uid="{4481D999-0F11-4614-9B11-ACD2C9D61122}"/>
    <cellStyle name="20% - Accent2 10 3" xfId="21390" xr:uid="{0AA3482F-5607-4167-BC68-3985D6FC2F00}"/>
    <cellStyle name="20% - Accent2 11" xfId="8737" xr:uid="{5CAD251E-7C25-47EC-B724-3FFC47FBDCDC}"/>
    <cellStyle name="20% - Accent2 12" xfId="17173" xr:uid="{A2ABB432-AA73-4837-97E2-756183BBADD3}"/>
    <cellStyle name="20% - Accent2 2" xfId="10" xr:uid="{00000000-0005-0000-0000-0000A2000000}"/>
    <cellStyle name="20% - Accent2 2 10" xfId="8738" xr:uid="{F944A89B-D4C3-4CF1-9E49-34273C84136C}"/>
    <cellStyle name="20% - Accent2 2 11" xfId="17174" xr:uid="{F516F6A0-3775-4F7A-A580-32C468E85E9F}"/>
    <cellStyle name="20% - Accent2 2 2" xfId="11" xr:uid="{00000000-0005-0000-0000-0000A3000000}"/>
    <cellStyle name="20% - Accent2 2 2 10" xfId="17175" xr:uid="{89767654-4DE7-4B1C-9325-8324029FE877}"/>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2 2 2" xfId="15517" xr:uid="{38799586-637C-4A6E-96DE-53C1B4450AAA}"/>
    <cellStyle name="20% - Accent2 2 2 2 2 2 2 3" xfId="23952" xr:uid="{FC32F047-F45B-4A53-AE7E-491F84D7ED05}"/>
    <cellStyle name="20% - Accent2 2 2 2 2 2 3" xfId="11299" xr:uid="{F9477FD7-2F25-4491-8E2B-502EA9A2F0C1}"/>
    <cellStyle name="20% - Accent2 2 2 2 2 2 4" xfId="19735" xr:uid="{63F7D373-597A-4117-9A7D-48B370540110}"/>
    <cellStyle name="20% - Accent2 2 2 2 2 3" xfId="4930" xr:uid="{00000000-0005-0000-0000-0000A8000000}"/>
    <cellStyle name="20% - Accent2 2 2 2 2 3 2" xfId="13372" xr:uid="{3355DA4D-DD49-4A7B-9A78-29B33F7A10AD}"/>
    <cellStyle name="20% - Accent2 2 2 2 2 3 3" xfId="21807" xr:uid="{6276A7EC-A4F2-488A-AD62-F6475A59A55C}"/>
    <cellStyle name="20% - Accent2 2 2 2 2 4" xfId="9154" xr:uid="{FEE96474-909E-44BF-A5B4-B727E41C6846}"/>
    <cellStyle name="20% - Accent2 2 2 2 2 5" xfId="17590" xr:uid="{353D57DF-F5ED-4FF7-9EE7-E8F38110BE7B}"/>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2 2 2" xfId="15930" xr:uid="{E465F62F-4B3C-4F9E-BE5A-24A7C540F7B0}"/>
    <cellStyle name="20% - Accent2 2 2 2 3 2 2 3" xfId="24365" xr:uid="{E5E3017D-26FA-456A-AAB4-EEC5ED584011}"/>
    <cellStyle name="20% - Accent2 2 2 2 3 2 3" xfId="11712" xr:uid="{B1521877-B688-4D38-A915-40D837E722EB}"/>
    <cellStyle name="20% - Accent2 2 2 2 3 2 4" xfId="20148" xr:uid="{27913217-488E-4BC3-AF2D-E6D8C085F9EF}"/>
    <cellStyle name="20% - Accent2 2 2 2 3 3" xfId="5343" xr:uid="{00000000-0005-0000-0000-0000AC000000}"/>
    <cellStyle name="20% - Accent2 2 2 2 3 3 2" xfId="13785" xr:uid="{282824BA-539B-4C53-8BC4-C766275C9FB9}"/>
    <cellStyle name="20% - Accent2 2 2 2 3 3 3" xfId="22220" xr:uid="{06A50EFE-5261-445E-ACDB-565FCF42B583}"/>
    <cellStyle name="20% - Accent2 2 2 2 3 4" xfId="9567" xr:uid="{C2432ABF-2B83-41CA-BC1D-4FD8BDB268F1}"/>
    <cellStyle name="20% - Accent2 2 2 2 3 5" xfId="18003" xr:uid="{C1F30776-8B70-4268-B0E7-33667BFDD3A9}"/>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2 2 2" xfId="16343" xr:uid="{B4971169-6E17-4F40-9B28-28553A344C43}"/>
    <cellStyle name="20% - Accent2 2 2 2 4 2 2 3" xfId="24778" xr:uid="{3B86FEA0-62F8-4BFA-886E-9FB1D11EE944}"/>
    <cellStyle name="20% - Accent2 2 2 2 4 2 3" xfId="12125" xr:uid="{6EB1E211-4D97-455C-A5D5-1F9CCD459ED1}"/>
    <cellStyle name="20% - Accent2 2 2 2 4 2 4" xfId="20561" xr:uid="{A1DE36BF-4046-4FE1-A4D0-9B3ADEEDD183}"/>
    <cellStyle name="20% - Accent2 2 2 2 4 3" xfId="5756" xr:uid="{00000000-0005-0000-0000-0000B0000000}"/>
    <cellStyle name="20% - Accent2 2 2 2 4 3 2" xfId="14198" xr:uid="{11F1013D-61E8-4CC5-A8C0-90B134E0D4F6}"/>
    <cellStyle name="20% - Accent2 2 2 2 4 3 3" xfId="22633" xr:uid="{85DC9A2A-40F3-4C33-9946-60CD2252D3F8}"/>
    <cellStyle name="20% - Accent2 2 2 2 4 4" xfId="9980" xr:uid="{DC7E9452-4B0D-449C-A847-F3FD30896A59}"/>
    <cellStyle name="20% - Accent2 2 2 2 4 5" xfId="18416" xr:uid="{0CF7F1AC-669A-4DF1-AFA7-E63636A80114}"/>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2 2 2" xfId="16756" xr:uid="{50D969DB-57B7-4A3B-B788-C561D586DBA9}"/>
    <cellStyle name="20% - Accent2 2 2 2 5 2 2 3" xfId="25191" xr:uid="{F310B3F5-1FF3-441E-9116-C0949E6BD683}"/>
    <cellStyle name="20% - Accent2 2 2 2 5 2 3" xfId="12538" xr:uid="{B689DE44-006C-49CF-8211-0BE6165E42DC}"/>
    <cellStyle name="20% - Accent2 2 2 2 5 2 4" xfId="20974" xr:uid="{5F6FE154-C226-4F4A-8FCB-5258F200C6C4}"/>
    <cellStyle name="20% - Accent2 2 2 2 5 3" xfId="6169" xr:uid="{00000000-0005-0000-0000-0000B4000000}"/>
    <cellStyle name="20% - Accent2 2 2 2 5 3 2" xfId="14611" xr:uid="{3BB9EC97-8F7B-4EA5-BAC0-8C0ACE11BE31}"/>
    <cellStyle name="20% - Accent2 2 2 2 5 3 3" xfId="23046" xr:uid="{4C99FA5F-74BF-4F93-87CF-12D15C512235}"/>
    <cellStyle name="20% - Accent2 2 2 2 5 4" xfId="10393" xr:uid="{BF64AEDF-9CF5-422E-9C46-7133E8C425FB}"/>
    <cellStyle name="20% - Accent2 2 2 2 5 5" xfId="18829" xr:uid="{2CA54312-8BB1-4E7A-8F27-F4228498C1BA}"/>
    <cellStyle name="20% - Accent2 2 2 2 6" xfId="2275" xr:uid="{00000000-0005-0000-0000-0000B5000000}"/>
    <cellStyle name="20% - Accent2 2 2 2 6 2" xfId="6582" xr:uid="{00000000-0005-0000-0000-0000B6000000}"/>
    <cellStyle name="20% - Accent2 2 2 2 6 2 2" xfId="15024" xr:uid="{C4E8C9E3-D26D-4FA1-B574-5710F0B20D8E}"/>
    <cellStyle name="20% - Accent2 2 2 2 6 2 3" xfId="23459" xr:uid="{02A94924-C4B9-43F4-9307-B0C49854CEF9}"/>
    <cellStyle name="20% - Accent2 2 2 2 6 3" xfId="10806" xr:uid="{77DDA9A1-98AF-44CE-A1FB-EC0289820818}"/>
    <cellStyle name="20% - Accent2 2 2 2 6 4" xfId="19242" xr:uid="{9D3AB34F-4419-47C9-A47C-AEF2C99993BB}"/>
    <cellStyle name="20% - Accent2 2 2 2 7" xfId="4516" xr:uid="{00000000-0005-0000-0000-0000B7000000}"/>
    <cellStyle name="20% - Accent2 2 2 2 7 2" xfId="12958" xr:uid="{91B40566-11F7-4D0A-837B-AECD425AFAF7}"/>
    <cellStyle name="20% - Accent2 2 2 2 7 3" xfId="21393" xr:uid="{E4CC6451-C978-4D0F-BE0A-AA26EFF30119}"/>
    <cellStyle name="20% - Accent2 2 2 2 8" xfId="8740" xr:uid="{1BC5C71C-645A-4E01-99ED-393A192004B0}"/>
    <cellStyle name="20% - Accent2 2 2 2 9" xfId="17176" xr:uid="{1CA5A39D-F95B-4408-AAB4-369BAE2BB995}"/>
    <cellStyle name="20% - Accent2 2 2 3" xfId="580" xr:uid="{00000000-0005-0000-0000-0000B8000000}"/>
    <cellStyle name="20% - Accent2 2 2 3 2" xfId="2851" xr:uid="{00000000-0005-0000-0000-0000B9000000}"/>
    <cellStyle name="20% - Accent2 2 2 3 2 2" xfId="7074" xr:uid="{00000000-0005-0000-0000-0000BA000000}"/>
    <cellStyle name="20% - Accent2 2 2 3 2 2 2" xfId="15516" xr:uid="{70B6DE73-3C68-4677-91BF-2CDAEDDC171B}"/>
    <cellStyle name="20% - Accent2 2 2 3 2 2 3" xfId="23951" xr:uid="{75B92E82-1DBA-4B77-BB7F-5AE9045672B4}"/>
    <cellStyle name="20% - Accent2 2 2 3 2 3" xfId="11298" xr:uid="{4D0AC795-7FAF-4AC3-A585-4A1E13D2E000}"/>
    <cellStyle name="20% - Accent2 2 2 3 2 4" xfId="19734" xr:uid="{68E4C5F3-4A8D-4D31-BEE5-BA5DAB306164}"/>
    <cellStyle name="20% - Accent2 2 2 3 3" xfId="4929" xr:uid="{00000000-0005-0000-0000-0000BB000000}"/>
    <cellStyle name="20% - Accent2 2 2 3 3 2" xfId="13371" xr:uid="{6F5F9B30-6434-42BE-BE00-943C26862B61}"/>
    <cellStyle name="20% - Accent2 2 2 3 3 3" xfId="21806" xr:uid="{5FE33D07-B8CA-4A89-A17F-58C2416E0733}"/>
    <cellStyle name="20% - Accent2 2 2 3 4" xfId="9153" xr:uid="{1C96DDE5-6369-42BE-8E47-0D5AE8028998}"/>
    <cellStyle name="20% - Accent2 2 2 3 5" xfId="17589" xr:uid="{4155D2DD-462D-4183-8C2F-A9B51580B6AD}"/>
    <cellStyle name="20% - Accent2 2 2 4" xfId="1033" xr:uid="{00000000-0005-0000-0000-0000BC000000}"/>
    <cellStyle name="20% - Accent2 2 2 4 2" xfId="3264" xr:uid="{00000000-0005-0000-0000-0000BD000000}"/>
    <cellStyle name="20% - Accent2 2 2 4 2 2" xfId="7487" xr:uid="{00000000-0005-0000-0000-0000BE000000}"/>
    <cellStyle name="20% - Accent2 2 2 4 2 2 2" xfId="15929" xr:uid="{F95CA6BD-194A-49F7-A4A9-DE61A9723783}"/>
    <cellStyle name="20% - Accent2 2 2 4 2 2 3" xfId="24364" xr:uid="{48DB79A0-A024-4F7F-9777-25B401B24288}"/>
    <cellStyle name="20% - Accent2 2 2 4 2 3" xfId="11711" xr:uid="{F372666F-3132-49C8-ACB9-CB898F5040B5}"/>
    <cellStyle name="20% - Accent2 2 2 4 2 4" xfId="20147" xr:uid="{93EC61C6-840C-4678-8E08-FC13885FAF8C}"/>
    <cellStyle name="20% - Accent2 2 2 4 3" xfId="5342" xr:uid="{00000000-0005-0000-0000-0000BF000000}"/>
    <cellStyle name="20% - Accent2 2 2 4 3 2" xfId="13784" xr:uid="{7D36908B-3A2A-4E5C-85F5-AB1DB290AA6F}"/>
    <cellStyle name="20% - Accent2 2 2 4 3 3" xfId="22219" xr:uid="{9CCD0CC1-B977-4411-806C-060C11169334}"/>
    <cellStyle name="20% - Accent2 2 2 4 4" xfId="9566" xr:uid="{A5F13C0F-995A-46FB-9044-9469BCAD4621}"/>
    <cellStyle name="20% - Accent2 2 2 4 5" xfId="18002" xr:uid="{90AEF8D3-9867-43AC-9916-3FE2779B9D85}"/>
    <cellStyle name="20% - Accent2 2 2 5" xfId="1447" xr:uid="{00000000-0005-0000-0000-0000C0000000}"/>
    <cellStyle name="20% - Accent2 2 2 5 2" xfId="3677" xr:uid="{00000000-0005-0000-0000-0000C1000000}"/>
    <cellStyle name="20% - Accent2 2 2 5 2 2" xfId="7900" xr:uid="{00000000-0005-0000-0000-0000C2000000}"/>
    <cellStyle name="20% - Accent2 2 2 5 2 2 2" xfId="16342" xr:uid="{2A6CBB72-F199-4E84-B432-A8AC5634575A}"/>
    <cellStyle name="20% - Accent2 2 2 5 2 2 3" xfId="24777" xr:uid="{DF676C90-B9FA-4B89-90CD-F9F7E3CF7072}"/>
    <cellStyle name="20% - Accent2 2 2 5 2 3" xfId="12124" xr:uid="{C39954A3-B83B-4AA3-8E9C-31985ABCED11}"/>
    <cellStyle name="20% - Accent2 2 2 5 2 4" xfId="20560" xr:uid="{3BC60449-AC22-4EA2-8458-24827A51B9C0}"/>
    <cellStyle name="20% - Accent2 2 2 5 3" xfId="5755" xr:uid="{00000000-0005-0000-0000-0000C3000000}"/>
    <cellStyle name="20% - Accent2 2 2 5 3 2" xfId="14197" xr:uid="{CC1BD8B6-D6C7-4667-9F41-84B14E2EECA9}"/>
    <cellStyle name="20% - Accent2 2 2 5 3 3" xfId="22632" xr:uid="{66EBBAA5-5B0B-4531-AA3C-695108D4CA2E}"/>
    <cellStyle name="20% - Accent2 2 2 5 4" xfId="9979" xr:uid="{5FA10819-C99B-4342-9836-EC5C2484BCAF}"/>
    <cellStyle name="20% - Accent2 2 2 5 5" xfId="18415" xr:uid="{3E9CA4A7-649F-410C-8C31-DD77D8914922}"/>
    <cellStyle name="20% - Accent2 2 2 6" xfId="1861" xr:uid="{00000000-0005-0000-0000-0000C4000000}"/>
    <cellStyle name="20% - Accent2 2 2 6 2" xfId="4090" xr:uid="{00000000-0005-0000-0000-0000C5000000}"/>
    <cellStyle name="20% - Accent2 2 2 6 2 2" xfId="8313" xr:uid="{00000000-0005-0000-0000-0000C6000000}"/>
    <cellStyle name="20% - Accent2 2 2 6 2 2 2" xfId="16755" xr:uid="{2659BBE5-37E3-4E50-A724-ABDB12F1E3D8}"/>
    <cellStyle name="20% - Accent2 2 2 6 2 2 3" xfId="25190" xr:uid="{8A5584BC-43F4-4135-B95C-42BE8CC15D8A}"/>
    <cellStyle name="20% - Accent2 2 2 6 2 3" xfId="12537" xr:uid="{A1FF2E21-0A67-46F7-97F3-DC31ADB477AC}"/>
    <cellStyle name="20% - Accent2 2 2 6 2 4" xfId="20973" xr:uid="{FC61A13A-AB64-43FC-8E13-41578E795830}"/>
    <cellStyle name="20% - Accent2 2 2 6 3" xfId="6168" xr:uid="{00000000-0005-0000-0000-0000C7000000}"/>
    <cellStyle name="20% - Accent2 2 2 6 3 2" xfId="14610" xr:uid="{55C3FCA8-8B89-43E6-B498-0E70BB04D75D}"/>
    <cellStyle name="20% - Accent2 2 2 6 3 3" xfId="23045" xr:uid="{91D03708-3B71-4B49-A395-F8C4A0AFC656}"/>
    <cellStyle name="20% - Accent2 2 2 6 4" xfId="10392" xr:uid="{A798DE16-91F6-4909-AFC6-5BCAB7014417}"/>
    <cellStyle name="20% - Accent2 2 2 6 5" xfId="18828" xr:uid="{6FB2A4F2-9DA8-47A0-B866-DBD98E1DDE96}"/>
    <cellStyle name="20% - Accent2 2 2 7" xfId="2274" xr:uid="{00000000-0005-0000-0000-0000C8000000}"/>
    <cellStyle name="20% - Accent2 2 2 7 2" xfId="6581" xr:uid="{00000000-0005-0000-0000-0000C9000000}"/>
    <cellStyle name="20% - Accent2 2 2 7 2 2" xfId="15023" xr:uid="{96326802-3FE5-417A-BC91-B7957A6BE99E}"/>
    <cellStyle name="20% - Accent2 2 2 7 2 3" xfId="23458" xr:uid="{9FCAC75F-DE01-4A1D-81DF-6F5732D63801}"/>
    <cellStyle name="20% - Accent2 2 2 7 3" xfId="10805" xr:uid="{6E94D199-6A16-4D50-95FF-D3C00CBE4AD5}"/>
    <cellStyle name="20% - Accent2 2 2 7 4" xfId="19241" xr:uid="{CDF5C6A9-9492-4C83-A0E0-FD88E6B6CAA1}"/>
    <cellStyle name="20% - Accent2 2 2 8" xfId="4515" xr:uid="{00000000-0005-0000-0000-0000CA000000}"/>
    <cellStyle name="20% - Accent2 2 2 8 2" xfId="12957" xr:uid="{52549260-EF0A-493F-8DA2-48B1958C8286}"/>
    <cellStyle name="20% - Accent2 2 2 8 3" xfId="21392" xr:uid="{B8478F13-B5FE-4E4E-B429-D50A1C90CC2E}"/>
    <cellStyle name="20% - Accent2 2 2 9" xfId="8739" xr:uid="{C7E1C5FC-0167-430F-90E5-AF23C39A4799}"/>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2 2 2" xfId="15518" xr:uid="{12E13C63-A01C-4783-A18B-71C2865C8314}"/>
    <cellStyle name="20% - Accent2 2 3 2 2 2 3" xfId="23953" xr:uid="{C81306C8-8CAA-4403-B330-C449F8C17AC0}"/>
    <cellStyle name="20% - Accent2 2 3 2 2 3" xfId="11300" xr:uid="{A406B7D8-CCF7-4FCB-B043-2761B90AA88C}"/>
    <cellStyle name="20% - Accent2 2 3 2 2 4" xfId="19736" xr:uid="{7BBC9513-E82B-4098-9285-10598589FCF4}"/>
    <cellStyle name="20% - Accent2 2 3 2 3" xfId="4931" xr:uid="{00000000-0005-0000-0000-0000CF000000}"/>
    <cellStyle name="20% - Accent2 2 3 2 3 2" xfId="13373" xr:uid="{C11A28D3-3E07-4CA2-9F06-AD32B80FE23B}"/>
    <cellStyle name="20% - Accent2 2 3 2 3 3" xfId="21808" xr:uid="{E98ED017-C586-4C77-858A-945D8ACCBF20}"/>
    <cellStyle name="20% - Accent2 2 3 2 4" xfId="9155" xr:uid="{108821C5-5D1A-4132-9732-4E120F980F66}"/>
    <cellStyle name="20% - Accent2 2 3 2 5" xfId="17591" xr:uid="{A14D38A6-84AB-44DA-914A-2212F98D7CBD}"/>
    <cellStyle name="20% - Accent2 2 3 3" xfId="1035" xr:uid="{00000000-0005-0000-0000-0000D0000000}"/>
    <cellStyle name="20% - Accent2 2 3 3 2" xfId="3266" xr:uid="{00000000-0005-0000-0000-0000D1000000}"/>
    <cellStyle name="20% - Accent2 2 3 3 2 2" xfId="7489" xr:uid="{00000000-0005-0000-0000-0000D2000000}"/>
    <cellStyle name="20% - Accent2 2 3 3 2 2 2" xfId="15931" xr:uid="{464D4F43-7C94-43BA-8507-F9A64122DEAF}"/>
    <cellStyle name="20% - Accent2 2 3 3 2 2 3" xfId="24366" xr:uid="{0F5FE65A-1C5B-472F-85BC-8BAA7E77FDA1}"/>
    <cellStyle name="20% - Accent2 2 3 3 2 3" xfId="11713" xr:uid="{988C18E5-BB50-4AAA-A334-A1F7FAA48AF0}"/>
    <cellStyle name="20% - Accent2 2 3 3 2 4" xfId="20149" xr:uid="{BFED6B2C-2757-49CE-B323-91F94BF58DCF}"/>
    <cellStyle name="20% - Accent2 2 3 3 3" xfId="5344" xr:uid="{00000000-0005-0000-0000-0000D3000000}"/>
    <cellStyle name="20% - Accent2 2 3 3 3 2" xfId="13786" xr:uid="{50B57F07-AB9F-47E8-BC86-BD5E4AFCBD95}"/>
    <cellStyle name="20% - Accent2 2 3 3 3 3" xfId="22221" xr:uid="{5ED66120-A3BA-4E20-9E34-36BD2BAE0077}"/>
    <cellStyle name="20% - Accent2 2 3 3 4" xfId="9568" xr:uid="{1B8061A9-2284-4586-A19B-5301D5EB03BD}"/>
    <cellStyle name="20% - Accent2 2 3 3 5" xfId="18004" xr:uid="{8A5BF396-5F9C-44BF-8598-1B16F71B46A8}"/>
    <cellStyle name="20% - Accent2 2 3 4" xfId="1449" xr:uid="{00000000-0005-0000-0000-0000D4000000}"/>
    <cellStyle name="20% - Accent2 2 3 4 2" xfId="3679" xr:uid="{00000000-0005-0000-0000-0000D5000000}"/>
    <cellStyle name="20% - Accent2 2 3 4 2 2" xfId="7902" xr:uid="{00000000-0005-0000-0000-0000D6000000}"/>
    <cellStyle name="20% - Accent2 2 3 4 2 2 2" xfId="16344" xr:uid="{2870772C-AFF8-43D6-950D-DEDB4F0B2751}"/>
    <cellStyle name="20% - Accent2 2 3 4 2 2 3" xfId="24779" xr:uid="{F8BF69F2-DDFF-4F07-A6DA-BF5070A0AF01}"/>
    <cellStyle name="20% - Accent2 2 3 4 2 3" xfId="12126" xr:uid="{4D10972B-BDBA-469A-89AB-847D730EAF8A}"/>
    <cellStyle name="20% - Accent2 2 3 4 2 4" xfId="20562" xr:uid="{6D1574D6-8FA6-47EF-8220-C49417F5076B}"/>
    <cellStyle name="20% - Accent2 2 3 4 3" xfId="5757" xr:uid="{00000000-0005-0000-0000-0000D7000000}"/>
    <cellStyle name="20% - Accent2 2 3 4 3 2" xfId="14199" xr:uid="{BCB23DAC-B1CE-44B9-B662-0F99BC048A0C}"/>
    <cellStyle name="20% - Accent2 2 3 4 3 3" xfId="22634" xr:uid="{21D7A57A-59C4-4283-8D8E-414E435F4E4B}"/>
    <cellStyle name="20% - Accent2 2 3 4 4" xfId="9981" xr:uid="{A3B78745-AE71-458D-A9FF-B0F6FD500E73}"/>
    <cellStyle name="20% - Accent2 2 3 4 5" xfId="18417" xr:uid="{FFCD1E03-833D-4AD9-AE8E-2D4D567F2C4F}"/>
    <cellStyle name="20% - Accent2 2 3 5" xfId="1863" xr:uid="{00000000-0005-0000-0000-0000D8000000}"/>
    <cellStyle name="20% - Accent2 2 3 5 2" xfId="4092" xr:uid="{00000000-0005-0000-0000-0000D9000000}"/>
    <cellStyle name="20% - Accent2 2 3 5 2 2" xfId="8315" xr:uid="{00000000-0005-0000-0000-0000DA000000}"/>
    <cellStyle name="20% - Accent2 2 3 5 2 2 2" xfId="16757" xr:uid="{837C3027-4AA4-4CBA-BD73-91F2354ABB37}"/>
    <cellStyle name="20% - Accent2 2 3 5 2 2 3" xfId="25192" xr:uid="{ED1C23D2-0984-4A11-9BE0-2D9BBD24A3BD}"/>
    <cellStyle name="20% - Accent2 2 3 5 2 3" xfId="12539" xr:uid="{F301AAC6-52C1-44F4-AAC8-65B5C8C4CEF2}"/>
    <cellStyle name="20% - Accent2 2 3 5 2 4" xfId="20975" xr:uid="{96F2B972-7426-4E4C-B433-7656E257E7C4}"/>
    <cellStyle name="20% - Accent2 2 3 5 3" xfId="6170" xr:uid="{00000000-0005-0000-0000-0000DB000000}"/>
    <cellStyle name="20% - Accent2 2 3 5 3 2" xfId="14612" xr:uid="{457EF32F-BEC1-4EF6-8AB7-BFD9843F8222}"/>
    <cellStyle name="20% - Accent2 2 3 5 3 3" xfId="23047" xr:uid="{A05C4076-85E1-4136-8716-52906EBE545E}"/>
    <cellStyle name="20% - Accent2 2 3 5 4" xfId="10394" xr:uid="{64BB2667-C03A-45A5-9222-D0964EF0BE9D}"/>
    <cellStyle name="20% - Accent2 2 3 5 5" xfId="18830" xr:uid="{CC85B6E7-D97B-4096-BC6C-36F4E527FAC3}"/>
    <cellStyle name="20% - Accent2 2 3 6" xfId="2276" xr:uid="{00000000-0005-0000-0000-0000DC000000}"/>
    <cellStyle name="20% - Accent2 2 3 6 2" xfId="6583" xr:uid="{00000000-0005-0000-0000-0000DD000000}"/>
    <cellStyle name="20% - Accent2 2 3 6 2 2" xfId="15025" xr:uid="{5DA32741-CD78-47B8-AAF4-291D07EAF933}"/>
    <cellStyle name="20% - Accent2 2 3 6 2 3" xfId="23460" xr:uid="{E29B6F03-05F7-4F84-85AC-32D827032E80}"/>
    <cellStyle name="20% - Accent2 2 3 6 3" xfId="10807" xr:uid="{F9471725-EFCA-4071-98DB-234FA72A6024}"/>
    <cellStyle name="20% - Accent2 2 3 6 4" xfId="19243" xr:uid="{4FFD9878-6B8F-43B5-A80C-37B5FC6F6063}"/>
    <cellStyle name="20% - Accent2 2 3 7" xfId="4517" xr:uid="{00000000-0005-0000-0000-0000DE000000}"/>
    <cellStyle name="20% - Accent2 2 3 7 2" xfId="12959" xr:uid="{526FFC15-C4F2-4653-A13E-EADDFB01B475}"/>
    <cellStyle name="20% - Accent2 2 3 7 3" xfId="21394" xr:uid="{2A6A88A0-F437-4551-BF7E-9A3E1EA52B79}"/>
    <cellStyle name="20% - Accent2 2 3 8" xfId="8741" xr:uid="{CBFD934E-FE7C-4EFC-BD7F-ABEC2198EFBE}"/>
    <cellStyle name="20% - Accent2 2 3 9" xfId="17177" xr:uid="{861843B8-1AEF-4EDA-B771-8D6B3357C629}"/>
    <cellStyle name="20% - Accent2 2 4" xfId="579" xr:uid="{00000000-0005-0000-0000-0000DF000000}"/>
    <cellStyle name="20% - Accent2 2 4 2" xfId="2850" xr:uid="{00000000-0005-0000-0000-0000E0000000}"/>
    <cellStyle name="20% - Accent2 2 4 2 2" xfId="7073" xr:uid="{00000000-0005-0000-0000-0000E1000000}"/>
    <cellStyle name="20% - Accent2 2 4 2 2 2" xfId="15515" xr:uid="{FA510C87-8A96-4840-AADA-86CF7544F68D}"/>
    <cellStyle name="20% - Accent2 2 4 2 2 3" xfId="23950" xr:uid="{1835C069-6151-4806-BCDD-FC5BCC1D8EB1}"/>
    <cellStyle name="20% - Accent2 2 4 2 3" xfId="11297" xr:uid="{1C917EEA-230B-4763-AAF3-58F416390B22}"/>
    <cellStyle name="20% - Accent2 2 4 2 4" xfId="19733" xr:uid="{4F7A52E7-1B38-4F6A-B57E-C8708704AE46}"/>
    <cellStyle name="20% - Accent2 2 4 3" xfId="4928" xr:uid="{00000000-0005-0000-0000-0000E2000000}"/>
    <cellStyle name="20% - Accent2 2 4 3 2" xfId="13370" xr:uid="{74344C44-2BDC-42D2-9381-01A595C58464}"/>
    <cellStyle name="20% - Accent2 2 4 3 3" xfId="21805" xr:uid="{D1C61D83-9360-4B31-8C76-92617453AC77}"/>
    <cellStyle name="20% - Accent2 2 4 4" xfId="9152" xr:uid="{D536290C-2B11-4B20-B880-7E1F3FB53AC1}"/>
    <cellStyle name="20% - Accent2 2 4 5" xfId="17588" xr:uid="{E48DD8C4-C819-4D23-AD4C-3FC22FA393EA}"/>
    <cellStyle name="20% - Accent2 2 5" xfId="1032" xr:uid="{00000000-0005-0000-0000-0000E3000000}"/>
    <cellStyle name="20% - Accent2 2 5 2" xfId="3263" xr:uid="{00000000-0005-0000-0000-0000E4000000}"/>
    <cellStyle name="20% - Accent2 2 5 2 2" xfId="7486" xr:uid="{00000000-0005-0000-0000-0000E5000000}"/>
    <cellStyle name="20% - Accent2 2 5 2 2 2" xfId="15928" xr:uid="{DEC15D75-58E4-4947-9997-766692C4BD89}"/>
    <cellStyle name="20% - Accent2 2 5 2 2 3" xfId="24363" xr:uid="{046C6ADB-E8DB-4970-B714-22D526408035}"/>
    <cellStyle name="20% - Accent2 2 5 2 3" xfId="11710" xr:uid="{D2C8E22F-A9B0-4623-9869-641B7BFF739A}"/>
    <cellStyle name="20% - Accent2 2 5 2 4" xfId="20146" xr:uid="{32835453-FEAD-45A0-AE23-0CEF1B38006B}"/>
    <cellStyle name="20% - Accent2 2 5 3" xfId="5341" xr:uid="{00000000-0005-0000-0000-0000E6000000}"/>
    <cellStyle name="20% - Accent2 2 5 3 2" xfId="13783" xr:uid="{0ABBB8EF-06CE-44E8-8607-84308DD2CFB0}"/>
    <cellStyle name="20% - Accent2 2 5 3 3" xfId="22218" xr:uid="{42B6CF59-4409-42BA-8718-0A86D3BFE9AE}"/>
    <cellStyle name="20% - Accent2 2 5 4" xfId="9565" xr:uid="{66FD4E52-85EA-493F-A5E0-1D692CAE63D7}"/>
    <cellStyle name="20% - Accent2 2 5 5" xfId="18001" xr:uid="{A55D7591-1D24-462B-9362-7456D31DBA7D}"/>
    <cellStyle name="20% - Accent2 2 6" xfId="1446" xr:uid="{00000000-0005-0000-0000-0000E7000000}"/>
    <cellStyle name="20% - Accent2 2 6 2" xfId="3676" xr:uid="{00000000-0005-0000-0000-0000E8000000}"/>
    <cellStyle name="20% - Accent2 2 6 2 2" xfId="7899" xr:uid="{00000000-0005-0000-0000-0000E9000000}"/>
    <cellStyle name="20% - Accent2 2 6 2 2 2" xfId="16341" xr:uid="{C53579C8-1DC1-400C-A409-FCB61D885AAA}"/>
    <cellStyle name="20% - Accent2 2 6 2 2 3" xfId="24776" xr:uid="{D13AEB8B-9C23-4F85-B8C0-3760CDA67A26}"/>
    <cellStyle name="20% - Accent2 2 6 2 3" xfId="12123" xr:uid="{C754F6A7-5819-467D-A33F-D1579230F19D}"/>
    <cellStyle name="20% - Accent2 2 6 2 4" xfId="20559" xr:uid="{54D8B610-0148-411F-817C-88CC0D1CD26B}"/>
    <cellStyle name="20% - Accent2 2 6 3" xfId="5754" xr:uid="{00000000-0005-0000-0000-0000EA000000}"/>
    <cellStyle name="20% - Accent2 2 6 3 2" xfId="14196" xr:uid="{82779122-F344-4FC3-90E1-A0DCBC11AFDB}"/>
    <cellStyle name="20% - Accent2 2 6 3 3" xfId="22631" xr:uid="{21C9BEC3-E1B3-4467-81C5-D4E149EB3534}"/>
    <cellStyle name="20% - Accent2 2 6 4" xfId="9978" xr:uid="{EB12379E-54FF-461A-801F-27F5C961A775}"/>
    <cellStyle name="20% - Accent2 2 6 5" xfId="18414" xr:uid="{F140506A-EDF7-4683-A861-EAC4C36F06B4}"/>
    <cellStyle name="20% - Accent2 2 7" xfId="1860" xr:uid="{00000000-0005-0000-0000-0000EB000000}"/>
    <cellStyle name="20% - Accent2 2 7 2" xfId="4089" xr:uid="{00000000-0005-0000-0000-0000EC000000}"/>
    <cellStyle name="20% - Accent2 2 7 2 2" xfId="8312" xr:uid="{00000000-0005-0000-0000-0000ED000000}"/>
    <cellStyle name="20% - Accent2 2 7 2 2 2" xfId="16754" xr:uid="{BBEB5ECD-56BE-4B7D-AA16-416CD6FAA9E6}"/>
    <cellStyle name="20% - Accent2 2 7 2 2 3" xfId="25189" xr:uid="{18941FBF-E5EB-4649-81FB-82C8C5CC2925}"/>
    <cellStyle name="20% - Accent2 2 7 2 3" xfId="12536" xr:uid="{F03A7BAC-9123-4F19-B4B7-8B3A71A566B3}"/>
    <cellStyle name="20% - Accent2 2 7 2 4" xfId="20972" xr:uid="{BD3D92AB-17B8-4362-A8DA-4A937B0F282A}"/>
    <cellStyle name="20% - Accent2 2 7 3" xfId="6167" xr:uid="{00000000-0005-0000-0000-0000EE000000}"/>
    <cellStyle name="20% - Accent2 2 7 3 2" xfId="14609" xr:uid="{1539C503-7CE4-4E54-B3DA-0D2A2E8B7834}"/>
    <cellStyle name="20% - Accent2 2 7 3 3" xfId="23044" xr:uid="{6FB02CD9-F0E4-4B64-BE83-0D106658A5C0}"/>
    <cellStyle name="20% - Accent2 2 7 4" xfId="10391" xr:uid="{9BE2EEBC-A3B0-4224-9DDC-106527FD43D0}"/>
    <cellStyle name="20% - Accent2 2 7 5" xfId="18827" xr:uid="{7253C7F8-6B88-42F1-95A1-572A412C66A0}"/>
    <cellStyle name="20% - Accent2 2 8" xfId="2273" xr:uid="{00000000-0005-0000-0000-0000EF000000}"/>
    <cellStyle name="20% - Accent2 2 8 2" xfId="6580" xr:uid="{00000000-0005-0000-0000-0000F0000000}"/>
    <cellStyle name="20% - Accent2 2 8 2 2" xfId="15022" xr:uid="{9C52D3DE-972C-455D-8852-217FC57A7E69}"/>
    <cellStyle name="20% - Accent2 2 8 2 3" xfId="23457" xr:uid="{3BA376F6-EC10-4211-8DF0-A21F820FB5A0}"/>
    <cellStyle name="20% - Accent2 2 8 3" xfId="10804" xr:uid="{BECA23D5-3961-4748-8525-9DF0E141D2A8}"/>
    <cellStyle name="20% - Accent2 2 8 4" xfId="19240" xr:uid="{43AAD937-252A-4A95-8D42-2A2E121DA294}"/>
    <cellStyle name="20% - Accent2 2 9" xfId="4514" xr:uid="{00000000-0005-0000-0000-0000F1000000}"/>
    <cellStyle name="20% - Accent2 2 9 2" xfId="12956" xr:uid="{F15E3E90-18B2-4728-BC58-882166E55463}"/>
    <cellStyle name="20% - Accent2 2 9 3" xfId="21391" xr:uid="{4EC3518F-00AE-4063-B464-A51849C3E58D}"/>
    <cellStyle name="20% - Accent2 3" xfId="14" xr:uid="{00000000-0005-0000-0000-0000F2000000}"/>
    <cellStyle name="20% - Accent2 3 10" xfId="17178" xr:uid="{C4B45415-225E-46E5-853F-3D757470E42B}"/>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2 2 2" xfId="15520" xr:uid="{8D5EB1A6-7D9B-4BB4-9890-F3FB6A846C77}"/>
    <cellStyle name="20% - Accent2 3 2 2 2 2 3" xfId="23955" xr:uid="{500C5BA5-D819-44AB-AE10-98EE5AD39480}"/>
    <cellStyle name="20% - Accent2 3 2 2 2 3" xfId="11302" xr:uid="{A3B72F7D-6A50-4C03-9D99-34441D075003}"/>
    <cellStyle name="20% - Accent2 3 2 2 2 4" xfId="19738" xr:uid="{DC725F69-01CB-440F-9501-368B19A0FD84}"/>
    <cellStyle name="20% - Accent2 3 2 2 3" xfId="4933" xr:uid="{00000000-0005-0000-0000-0000F7000000}"/>
    <cellStyle name="20% - Accent2 3 2 2 3 2" xfId="13375" xr:uid="{0A1AFA3C-5E13-40AE-90B5-082410AF092F}"/>
    <cellStyle name="20% - Accent2 3 2 2 3 3" xfId="21810" xr:uid="{A852EA67-4A99-4C6D-A036-2A50B382C86A}"/>
    <cellStyle name="20% - Accent2 3 2 2 4" xfId="9157" xr:uid="{E0CFCE5E-D22B-4A2C-9568-A8497453818A}"/>
    <cellStyle name="20% - Accent2 3 2 2 5" xfId="17593" xr:uid="{53182646-7DCC-4E51-8EE7-E11DC2145E37}"/>
    <cellStyle name="20% - Accent2 3 2 3" xfId="1037" xr:uid="{00000000-0005-0000-0000-0000F8000000}"/>
    <cellStyle name="20% - Accent2 3 2 3 2" xfId="3268" xr:uid="{00000000-0005-0000-0000-0000F9000000}"/>
    <cellStyle name="20% - Accent2 3 2 3 2 2" xfId="7491" xr:uid="{00000000-0005-0000-0000-0000FA000000}"/>
    <cellStyle name="20% - Accent2 3 2 3 2 2 2" xfId="15933" xr:uid="{BB10B6BA-568C-443B-9EF1-03F72A69732C}"/>
    <cellStyle name="20% - Accent2 3 2 3 2 2 3" xfId="24368" xr:uid="{B30ECEC0-A75F-42D1-800C-5CB7BD3D8908}"/>
    <cellStyle name="20% - Accent2 3 2 3 2 3" xfId="11715" xr:uid="{7FD21D3C-F3C4-437C-9F2A-68D707643D86}"/>
    <cellStyle name="20% - Accent2 3 2 3 2 4" xfId="20151" xr:uid="{32CB2875-765E-4D0A-88E6-077CD03773AF}"/>
    <cellStyle name="20% - Accent2 3 2 3 3" xfId="5346" xr:uid="{00000000-0005-0000-0000-0000FB000000}"/>
    <cellStyle name="20% - Accent2 3 2 3 3 2" xfId="13788" xr:uid="{AA622443-19E0-4E95-9DD5-1F655723F11E}"/>
    <cellStyle name="20% - Accent2 3 2 3 3 3" xfId="22223" xr:uid="{31462BA2-F39A-4249-B982-7AA9A0859D58}"/>
    <cellStyle name="20% - Accent2 3 2 3 4" xfId="9570" xr:uid="{CB044551-A13F-44BA-A4F0-70B0EF17C112}"/>
    <cellStyle name="20% - Accent2 3 2 3 5" xfId="18006" xr:uid="{71F25A4D-B88B-48B9-82B0-AAFD5038E21D}"/>
    <cellStyle name="20% - Accent2 3 2 4" xfId="1451" xr:uid="{00000000-0005-0000-0000-0000FC000000}"/>
    <cellStyle name="20% - Accent2 3 2 4 2" xfId="3681" xr:uid="{00000000-0005-0000-0000-0000FD000000}"/>
    <cellStyle name="20% - Accent2 3 2 4 2 2" xfId="7904" xr:uid="{00000000-0005-0000-0000-0000FE000000}"/>
    <cellStyle name="20% - Accent2 3 2 4 2 2 2" xfId="16346" xr:uid="{86549B1A-0496-4295-B63D-D53FF47B5D83}"/>
    <cellStyle name="20% - Accent2 3 2 4 2 2 3" xfId="24781" xr:uid="{8FA8D776-A160-4F18-B358-879D107D27EF}"/>
    <cellStyle name="20% - Accent2 3 2 4 2 3" xfId="12128" xr:uid="{1D52E61E-9A40-45CD-98DF-F8F8B7321EE6}"/>
    <cellStyle name="20% - Accent2 3 2 4 2 4" xfId="20564" xr:uid="{AD947EFB-B3DA-46C1-B033-7484F4C8CB51}"/>
    <cellStyle name="20% - Accent2 3 2 4 3" xfId="5759" xr:uid="{00000000-0005-0000-0000-0000FF000000}"/>
    <cellStyle name="20% - Accent2 3 2 4 3 2" xfId="14201" xr:uid="{CD8BF275-DAE9-48CD-AD45-3DC6FAB7A511}"/>
    <cellStyle name="20% - Accent2 3 2 4 3 3" xfId="22636" xr:uid="{27E3064E-8937-412A-BEEE-A3DF48434DD2}"/>
    <cellStyle name="20% - Accent2 3 2 4 4" xfId="9983" xr:uid="{6402E152-0E7E-415D-88BC-75945EA114B8}"/>
    <cellStyle name="20% - Accent2 3 2 4 5" xfId="18419" xr:uid="{B9DFE806-B364-4CFA-9CFA-78093682BA04}"/>
    <cellStyle name="20% - Accent2 3 2 5" xfId="1865" xr:uid="{00000000-0005-0000-0000-000000010000}"/>
    <cellStyle name="20% - Accent2 3 2 5 2" xfId="4094" xr:uid="{00000000-0005-0000-0000-000001010000}"/>
    <cellStyle name="20% - Accent2 3 2 5 2 2" xfId="8317" xr:uid="{00000000-0005-0000-0000-000002010000}"/>
    <cellStyle name="20% - Accent2 3 2 5 2 2 2" xfId="16759" xr:uid="{0BAD238E-5863-4C7E-B5DC-801AB6CC5261}"/>
    <cellStyle name="20% - Accent2 3 2 5 2 2 3" xfId="25194" xr:uid="{85E17011-EADC-4517-9652-E6E788A0507D}"/>
    <cellStyle name="20% - Accent2 3 2 5 2 3" xfId="12541" xr:uid="{4F8FB9A7-D8A5-4DC2-A533-3E216A54848B}"/>
    <cellStyle name="20% - Accent2 3 2 5 2 4" xfId="20977" xr:uid="{76EF1706-B96B-43B2-9946-63EEABEF9504}"/>
    <cellStyle name="20% - Accent2 3 2 5 3" xfId="6172" xr:uid="{00000000-0005-0000-0000-000003010000}"/>
    <cellStyle name="20% - Accent2 3 2 5 3 2" xfId="14614" xr:uid="{FC8E77D4-C7D6-40A7-B460-FEF12CF7D885}"/>
    <cellStyle name="20% - Accent2 3 2 5 3 3" xfId="23049" xr:uid="{5C7B42C9-ED98-4F47-88CB-E3EEFF10D4AB}"/>
    <cellStyle name="20% - Accent2 3 2 5 4" xfId="10396" xr:uid="{F8B96B4B-2E8F-4535-92C4-4E8ABB566D92}"/>
    <cellStyle name="20% - Accent2 3 2 5 5" xfId="18832" xr:uid="{5EC9BD93-9410-4ECD-9C7A-C5DCAD812EA3}"/>
    <cellStyle name="20% - Accent2 3 2 6" xfId="2278" xr:uid="{00000000-0005-0000-0000-000004010000}"/>
    <cellStyle name="20% - Accent2 3 2 6 2" xfId="6585" xr:uid="{00000000-0005-0000-0000-000005010000}"/>
    <cellStyle name="20% - Accent2 3 2 6 2 2" xfId="15027" xr:uid="{B2B3B03C-08DB-4EEB-9A45-22BAC8BAD688}"/>
    <cellStyle name="20% - Accent2 3 2 6 2 3" xfId="23462" xr:uid="{2A9FE525-21B8-479F-859C-C1801CECC167}"/>
    <cellStyle name="20% - Accent2 3 2 6 3" xfId="10809" xr:uid="{611FBCE2-A3ED-4A9B-B26E-12A0515538DC}"/>
    <cellStyle name="20% - Accent2 3 2 6 4" xfId="19245" xr:uid="{F71646B3-002C-47E9-AD8F-CF9A7EF0DE82}"/>
    <cellStyle name="20% - Accent2 3 2 7" xfId="4519" xr:uid="{00000000-0005-0000-0000-000006010000}"/>
    <cellStyle name="20% - Accent2 3 2 7 2" xfId="12961" xr:uid="{52CC1439-5F42-444C-B9FF-BCCE235EEB1C}"/>
    <cellStyle name="20% - Accent2 3 2 7 3" xfId="21396" xr:uid="{C973F648-184A-47E2-8BEC-E6DF536B745B}"/>
    <cellStyle name="20% - Accent2 3 2 8" xfId="8743" xr:uid="{4AE89EE4-2B88-4DE4-935E-C7C8C6495E55}"/>
    <cellStyle name="20% - Accent2 3 2 9" xfId="17179" xr:uid="{9ADAEA64-4C09-4993-8CE0-4A0878162353}"/>
    <cellStyle name="20% - Accent2 3 3" xfId="583" xr:uid="{00000000-0005-0000-0000-000007010000}"/>
    <cellStyle name="20% - Accent2 3 3 2" xfId="2854" xr:uid="{00000000-0005-0000-0000-000008010000}"/>
    <cellStyle name="20% - Accent2 3 3 2 2" xfId="7077" xr:uid="{00000000-0005-0000-0000-000009010000}"/>
    <cellStyle name="20% - Accent2 3 3 2 2 2" xfId="15519" xr:uid="{15D64BE8-21DD-4616-9647-82C42B93395C}"/>
    <cellStyle name="20% - Accent2 3 3 2 2 3" xfId="23954" xr:uid="{D24990CD-8B9A-4ACD-961F-08F788E73152}"/>
    <cellStyle name="20% - Accent2 3 3 2 3" xfId="11301" xr:uid="{2B777E06-491A-4127-B8E6-D6D052F08449}"/>
    <cellStyle name="20% - Accent2 3 3 2 4" xfId="19737" xr:uid="{E8CCD851-E804-43E1-97AE-ECB8E2DD9868}"/>
    <cellStyle name="20% - Accent2 3 3 3" xfId="4932" xr:uid="{00000000-0005-0000-0000-00000A010000}"/>
    <cellStyle name="20% - Accent2 3 3 3 2" xfId="13374" xr:uid="{215A4A23-A66A-4E78-8655-A064E23FF63F}"/>
    <cellStyle name="20% - Accent2 3 3 3 3" xfId="21809" xr:uid="{FF0D5895-A7FE-4CDD-BDF0-67F785A9273F}"/>
    <cellStyle name="20% - Accent2 3 3 4" xfId="9156" xr:uid="{FCD63D3A-02D9-4375-8863-6CF48093928E}"/>
    <cellStyle name="20% - Accent2 3 3 5" xfId="17592" xr:uid="{C3B506ED-5A3C-483B-9E49-F439613ECA05}"/>
    <cellStyle name="20% - Accent2 3 4" xfId="1036" xr:uid="{00000000-0005-0000-0000-00000B010000}"/>
    <cellStyle name="20% - Accent2 3 4 2" xfId="3267" xr:uid="{00000000-0005-0000-0000-00000C010000}"/>
    <cellStyle name="20% - Accent2 3 4 2 2" xfId="7490" xr:uid="{00000000-0005-0000-0000-00000D010000}"/>
    <cellStyle name="20% - Accent2 3 4 2 2 2" xfId="15932" xr:uid="{AB8D4018-A63C-4D76-BA33-4F41B92FCDF4}"/>
    <cellStyle name="20% - Accent2 3 4 2 2 3" xfId="24367" xr:uid="{A26F8774-50AE-4D1A-8DD6-0FA2DB12EC55}"/>
    <cellStyle name="20% - Accent2 3 4 2 3" xfId="11714" xr:uid="{BF99931A-B5CF-4760-BAED-310CD8C3F2DB}"/>
    <cellStyle name="20% - Accent2 3 4 2 4" xfId="20150" xr:uid="{17B0EA54-DF54-4597-AADA-4A1A7922C032}"/>
    <cellStyle name="20% - Accent2 3 4 3" xfId="5345" xr:uid="{00000000-0005-0000-0000-00000E010000}"/>
    <cellStyle name="20% - Accent2 3 4 3 2" xfId="13787" xr:uid="{9F6A479C-D7DD-4E95-81FE-555128C0A9AB}"/>
    <cellStyle name="20% - Accent2 3 4 3 3" xfId="22222" xr:uid="{00EE767A-9A2B-46EA-A357-E5CC53583622}"/>
    <cellStyle name="20% - Accent2 3 4 4" xfId="9569" xr:uid="{E4FE691D-1334-464B-86DB-13308CC037F4}"/>
    <cellStyle name="20% - Accent2 3 4 5" xfId="18005" xr:uid="{38167383-558D-41E7-9A94-1494E2F02997}"/>
    <cellStyle name="20% - Accent2 3 5" xfId="1450" xr:uid="{00000000-0005-0000-0000-00000F010000}"/>
    <cellStyle name="20% - Accent2 3 5 2" xfId="3680" xr:uid="{00000000-0005-0000-0000-000010010000}"/>
    <cellStyle name="20% - Accent2 3 5 2 2" xfId="7903" xr:uid="{00000000-0005-0000-0000-000011010000}"/>
    <cellStyle name="20% - Accent2 3 5 2 2 2" xfId="16345" xr:uid="{7465D2B1-21A2-4082-9B53-B02EB6A90B44}"/>
    <cellStyle name="20% - Accent2 3 5 2 2 3" xfId="24780" xr:uid="{88540186-B3D3-4B45-890E-C792765FFC3C}"/>
    <cellStyle name="20% - Accent2 3 5 2 3" xfId="12127" xr:uid="{7BF991C5-3743-40AF-AAE3-193B8FB2DD71}"/>
    <cellStyle name="20% - Accent2 3 5 2 4" xfId="20563" xr:uid="{348A2A7F-7337-47F9-BD94-CF319DEEDBB4}"/>
    <cellStyle name="20% - Accent2 3 5 3" xfId="5758" xr:uid="{00000000-0005-0000-0000-000012010000}"/>
    <cellStyle name="20% - Accent2 3 5 3 2" xfId="14200" xr:uid="{F65CB4EA-A562-4E10-BBAF-04C0F55C85A5}"/>
    <cellStyle name="20% - Accent2 3 5 3 3" xfId="22635" xr:uid="{53AEAD41-7B01-4BAA-920E-9593E590B84A}"/>
    <cellStyle name="20% - Accent2 3 5 4" xfId="9982" xr:uid="{4E24B69A-8E13-4ACE-A147-5802A1FD6F52}"/>
    <cellStyle name="20% - Accent2 3 5 5" xfId="18418" xr:uid="{D40EAB3C-8D15-4B31-8A47-54FC24E752C1}"/>
    <cellStyle name="20% - Accent2 3 6" xfId="1864" xr:uid="{00000000-0005-0000-0000-000013010000}"/>
    <cellStyle name="20% - Accent2 3 6 2" xfId="4093" xr:uid="{00000000-0005-0000-0000-000014010000}"/>
    <cellStyle name="20% - Accent2 3 6 2 2" xfId="8316" xr:uid="{00000000-0005-0000-0000-000015010000}"/>
    <cellStyle name="20% - Accent2 3 6 2 2 2" xfId="16758" xr:uid="{C3B18660-5DF7-416C-A413-3AED176683CA}"/>
    <cellStyle name="20% - Accent2 3 6 2 2 3" xfId="25193" xr:uid="{6F96B87D-F093-419A-B1E4-8BE2E0F32643}"/>
    <cellStyle name="20% - Accent2 3 6 2 3" xfId="12540" xr:uid="{C851059C-766C-4871-8843-7BF5E69A95C5}"/>
    <cellStyle name="20% - Accent2 3 6 2 4" xfId="20976" xr:uid="{7E72311E-12FD-4DF6-825E-4494F71FAF7D}"/>
    <cellStyle name="20% - Accent2 3 6 3" xfId="6171" xr:uid="{00000000-0005-0000-0000-000016010000}"/>
    <cellStyle name="20% - Accent2 3 6 3 2" xfId="14613" xr:uid="{F4BABE82-01F5-4BFB-9C62-FDA2FB73EAA5}"/>
    <cellStyle name="20% - Accent2 3 6 3 3" xfId="23048" xr:uid="{D4FA7340-790F-42F9-B268-0448C4487BA7}"/>
    <cellStyle name="20% - Accent2 3 6 4" xfId="10395" xr:uid="{ED2A4F91-3E7E-4C8C-9B02-7E548787F2DC}"/>
    <cellStyle name="20% - Accent2 3 6 5" xfId="18831" xr:uid="{BAD46088-E5B6-4ACD-B403-741655EDC71B}"/>
    <cellStyle name="20% - Accent2 3 7" xfId="2277" xr:uid="{00000000-0005-0000-0000-000017010000}"/>
    <cellStyle name="20% - Accent2 3 7 2" xfId="6584" xr:uid="{00000000-0005-0000-0000-000018010000}"/>
    <cellStyle name="20% - Accent2 3 7 2 2" xfId="15026" xr:uid="{520E1209-FBB8-4354-84C5-049B257443B6}"/>
    <cellStyle name="20% - Accent2 3 7 2 3" xfId="23461" xr:uid="{D75F277C-ED5A-43D7-B84D-2D6FEFBD0386}"/>
    <cellStyle name="20% - Accent2 3 7 3" xfId="10808" xr:uid="{00D0F75F-D110-4A1C-A1D8-2DF437BD2B1C}"/>
    <cellStyle name="20% - Accent2 3 7 4" xfId="19244" xr:uid="{4995E4A1-6F46-4433-BF4A-AA2576307E1B}"/>
    <cellStyle name="20% - Accent2 3 8" xfId="4518" xr:uid="{00000000-0005-0000-0000-000019010000}"/>
    <cellStyle name="20% - Accent2 3 8 2" xfId="12960" xr:uid="{73167A96-CF35-4641-9352-1BC903A50037}"/>
    <cellStyle name="20% - Accent2 3 8 3" xfId="21395" xr:uid="{ACDEF576-B7A2-4CA6-BAE1-E972C63CB484}"/>
    <cellStyle name="20% - Accent2 3 9" xfId="8742" xr:uid="{62267CA6-783C-4B3C-8FD4-BF91CAB7AFCA}"/>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2 2 2" xfId="15521" xr:uid="{CD280119-2CDD-49B0-B6A4-EA82730814FC}"/>
    <cellStyle name="20% - Accent2 4 2 2 2 3" xfId="23956" xr:uid="{109A697D-660B-4D55-B27A-F93B64CE2157}"/>
    <cellStyle name="20% - Accent2 4 2 2 3" xfId="11303" xr:uid="{6D01E6C9-2B6A-43D7-ADE8-49EDD0B274A3}"/>
    <cellStyle name="20% - Accent2 4 2 2 4" xfId="19739" xr:uid="{82D0A00C-FE4F-4EB5-8129-1866FB755E98}"/>
    <cellStyle name="20% - Accent2 4 2 3" xfId="4934" xr:uid="{00000000-0005-0000-0000-00001E010000}"/>
    <cellStyle name="20% - Accent2 4 2 3 2" xfId="13376" xr:uid="{62945EE9-280A-43A7-84AE-EA50D1E5F1AE}"/>
    <cellStyle name="20% - Accent2 4 2 3 3" xfId="21811" xr:uid="{504903FC-A22A-4180-B3DB-363E27B4E938}"/>
    <cellStyle name="20% - Accent2 4 2 4" xfId="9158" xr:uid="{DCE61108-DE8D-4822-90F2-4D371A6316BB}"/>
    <cellStyle name="20% - Accent2 4 2 5" xfId="17594" xr:uid="{43D3D4AB-70F8-451C-939A-9695D142A4FF}"/>
    <cellStyle name="20% - Accent2 4 3" xfId="1038" xr:uid="{00000000-0005-0000-0000-00001F010000}"/>
    <cellStyle name="20% - Accent2 4 3 2" xfId="3269" xr:uid="{00000000-0005-0000-0000-000020010000}"/>
    <cellStyle name="20% - Accent2 4 3 2 2" xfId="7492" xr:uid="{00000000-0005-0000-0000-000021010000}"/>
    <cellStyle name="20% - Accent2 4 3 2 2 2" xfId="15934" xr:uid="{EA8209F3-60D0-4A84-B58F-4E0C3B528A68}"/>
    <cellStyle name="20% - Accent2 4 3 2 2 3" xfId="24369" xr:uid="{4FFB57DE-7EC2-4173-AF09-CBEBC77B84AE}"/>
    <cellStyle name="20% - Accent2 4 3 2 3" xfId="11716" xr:uid="{77DB50E0-8341-4471-B8C6-6054820C7456}"/>
    <cellStyle name="20% - Accent2 4 3 2 4" xfId="20152" xr:uid="{E6949199-75CF-4625-9A4C-22FB2BF4DEE2}"/>
    <cellStyle name="20% - Accent2 4 3 3" xfId="5347" xr:uid="{00000000-0005-0000-0000-000022010000}"/>
    <cellStyle name="20% - Accent2 4 3 3 2" xfId="13789" xr:uid="{CDD00510-2BF9-46AB-8DF7-C77476B1A0E9}"/>
    <cellStyle name="20% - Accent2 4 3 3 3" xfId="22224" xr:uid="{E57C8655-A0B7-49E8-812D-FCD46DEB9958}"/>
    <cellStyle name="20% - Accent2 4 3 4" xfId="9571" xr:uid="{B28E4B05-62D5-45D0-A27B-8CB9C3D4F746}"/>
    <cellStyle name="20% - Accent2 4 3 5" xfId="18007" xr:uid="{19F803AA-F4CB-4189-B8A5-306305C5AA4D}"/>
    <cellStyle name="20% - Accent2 4 4" xfId="1452" xr:uid="{00000000-0005-0000-0000-000023010000}"/>
    <cellStyle name="20% - Accent2 4 4 2" xfId="3682" xr:uid="{00000000-0005-0000-0000-000024010000}"/>
    <cellStyle name="20% - Accent2 4 4 2 2" xfId="7905" xr:uid="{00000000-0005-0000-0000-000025010000}"/>
    <cellStyle name="20% - Accent2 4 4 2 2 2" xfId="16347" xr:uid="{D21B70F4-D273-41E0-8294-73E087CD5CE3}"/>
    <cellStyle name="20% - Accent2 4 4 2 2 3" xfId="24782" xr:uid="{2B0C794F-EB22-4863-8091-A6726D2F05F9}"/>
    <cellStyle name="20% - Accent2 4 4 2 3" xfId="12129" xr:uid="{10288E2E-62AF-4A9B-BD7D-140A3FE36DB2}"/>
    <cellStyle name="20% - Accent2 4 4 2 4" xfId="20565" xr:uid="{AA3695C0-EECC-40F1-B6F1-8EEE84439D00}"/>
    <cellStyle name="20% - Accent2 4 4 3" xfId="5760" xr:uid="{00000000-0005-0000-0000-000026010000}"/>
    <cellStyle name="20% - Accent2 4 4 3 2" xfId="14202" xr:uid="{BC550EEC-DDE6-44AC-8B06-FA29AB8E28C2}"/>
    <cellStyle name="20% - Accent2 4 4 3 3" xfId="22637" xr:uid="{C2489B85-CBA3-4DFE-A791-47EC750547A9}"/>
    <cellStyle name="20% - Accent2 4 4 4" xfId="9984" xr:uid="{3B1D9888-5516-4EE7-8139-E585558B7BAA}"/>
    <cellStyle name="20% - Accent2 4 4 5" xfId="18420" xr:uid="{405C13BA-CA48-43E6-BC45-5E1DE902BC99}"/>
    <cellStyle name="20% - Accent2 4 5" xfId="1866" xr:uid="{00000000-0005-0000-0000-000027010000}"/>
    <cellStyle name="20% - Accent2 4 5 2" xfId="4095" xr:uid="{00000000-0005-0000-0000-000028010000}"/>
    <cellStyle name="20% - Accent2 4 5 2 2" xfId="8318" xr:uid="{00000000-0005-0000-0000-000029010000}"/>
    <cellStyle name="20% - Accent2 4 5 2 2 2" xfId="16760" xr:uid="{21A43BA0-AC6F-46E7-A5A7-98098017278C}"/>
    <cellStyle name="20% - Accent2 4 5 2 2 3" xfId="25195" xr:uid="{9812224C-898A-4BB1-8D0D-62B89714E5BE}"/>
    <cellStyle name="20% - Accent2 4 5 2 3" xfId="12542" xr:uid="{364F698C-EF2E-4ADD-99F8-2ABE9D7A3AC7}"/>
    <cellStyle name="20% - Accent2 4 5 2 4" xfId="20978" xr:uid="{FFCAE3C7-76D1-4608-AD76-CBAB3D819EBB}"/>
    <cellStyle name="20% - Accent2 4 5 3" xfId="6173" xr:uid="{00000000-0005-0000-0000-00002A010000}"/>
    <cellStyle name="20% - Accent2 4 5 3 2" xfId="14615" xr:uid="{F569668D-72F3-473E-8EDD-8BFAE40D5260}"/>
    <cellStyle name="20% - Accent2 4 5 3 3" xfId="23050" xr:uid="{3EF03ADB-D018-42E2-83EB-CA6C295CBCB0}"/>
    <cellStyle name="20% - Accent2 4 5 4" xfId="10397" xr:uid="{B3E8770F-30E9-4FC3-B8F5-24C0F10EE278}"/>
    <cellStyle name="20% - Accent2 4 5 5" xfId="18833" xr:uid="{76476AFE-7D7A-4347-A584-CA8F6E6AE1AC}"/>
    <cellStyle name="20% - Accent2 4 6" xfId="2279" xr:uid="{00000000-0005-0000-0000-00002B010000}"/>
    <cellStyle name="20% - Accent2 4 6 2" xfId="6586" xr:uid="{00000000-0005-0000-0000-00002C010000}"/>
    <cellStyle name="20% - Accent2 4 6 2 2" xfId="15028" xr:uid="{A12591B5-213E-447E-84E8-3D7E3B15298D}"/>
    <cellStyle name="20% - Accent2 4 6 2 3" xfId="23463" xr:uid="{20B41701-F560-410D-BC0C-B0A070837994}"/>
    <cellStyle name="20% - Accent2 4 6 3" xfId="10810" xr:uid="{D1D79AB2-420F-474E-8110-F90694C4D750}"/>
    <cellStyle name="20% - Accent2 4 6 4" xfId="19246" xr:uid="{5238B093-B959-4D6B-A666-AAF609117890}"/>
    <cellStyle name="20% - Accent2 4 7" xfId="4520" xr:uid="{00000000-0005-0000-0000-00002D010000}"/>
    <cellStyle name="20% - Accent2 4 7 2" xfId="12962" xr:uid="{7D37168D-345C-40BF-9B2C-2747190C7A06}"/>
    <cellStyle name="20% - Accent2 4 7 3" xfId="21397" xr:uid="{70B3C2CD-ACB9-40E6-874B-F39D757AF10D}"/>
    <cellStyle name="20% - Accent2 4 8" xfId="8744" xr:uid="{1053A1CB-20D1-484A-9FFC-0EFA3E6127E9}"/>
    <cellStyle name="20% - Accent2 4 9" xfId="17180" xr:uid="{050A3268-8DD6-496B-9E8D-1BC9AB86A692}"/>
    <cellStyle name="20% - Accent2 5" xfId="578" xr:uid="{00000000-0005-0000-0000-00002E010000}"/>
    <cellStyle name="20% - Accent2 5 2" xfId="2849" xr:uid="{00000000-0005-0000-0000-00002F010000}"/>
    <cellStyle name="20% - Accent2 5 2 2" xfId="7072" xr:uid="{00000000-0005-0000-0000-000030010000}"/>
    <cellStyle name="20% - Accent2 5 2 2 2" xfId="15514" xr:uid="{E84FCBFF-4E4B-402E-97DE-FE79D5F99F85}"/>
    <cellStyle name="20% - Accent2 5 2 2 3" xfId="23949" xr:uid="{1AA0D997-D275-449F-9C89-626E1F30C006}"/>
    <cellStyle name="20% - Accent2 5 2 3" xfId="11296" xr:uid="{42F78FD2-DB89-4484-8942-4D9614497ABD}"/>
    <cellStyle name="20% - Accent2 5 2 4" xfId="19732" xr:uid="{5A587019-F2E4-41D0-9E8A-D12123922B8A}"/>
    <cellStyle name="20% - Accent2 5 3" xfId="4927" xr:uid="{00000000-0005-0000-0000-000031010000}"/>
    <cellStyle name="20% - Accent2 5 3 2" xfId="13369" xr:uid="{230B8698-C478-4269-B4A9-298D617AFE0E}"/>
    <cellStyle name="20% - Accent2 5 3 3" xfId="21804" xr:uid="{412122A7-5EF3-4808-8178-FFD969E40816}"/>
    <cellStyle name="20% - Accent2 5 4" xfId="9151" xr:uid="{9405D8B6-7446-4477-8DFF-9CEC949A85AA}"/>
    <cellStyle name="20% - Accent2 5 5" xfId="17587" xr:uid="{DA4FCADF-45CD-4424-A03C-98FA9EA5E81D}"/>
    <cellStyle name="20% - Accent2 6" xfId="1031" xr:uid="{00000000-0005-0000-0000-000032010000}"/>
    <cellStyle name="20% - Accent2 6 2" xfId="3262" xr:uid="{00000000-0005-0000-0000-000033010000}"/>
    <cellStyle name="20% - Accent2 6 2 2" xfId="7485" xr:uid="{00000000-0005-0000-0000-000034010000}"/>
    <cellStyle name="20% - Accent2 6 2 2 2" xfId="15927" xr:uid="{865675C1-3BB4-4DB5-9B82-FB1F327C72E2}"/>
    <cellStyle name="20% - Accent2 6 2 2 3" xfId="24362" xr:uid="{D217F532-7623-489A-9631-6740175180AC}"/>
    <cellStyle name="20% - Accent2 6 2 3" xfId="11709" xr:uid="{05BCE385-053B-49A6-B04A-51A54CDD01A4}"/>
    <cellStyle name="20% - Accent2 6 2 4" xfId="20145" xr:uid="{FF36E448-F952-4AFE-8F3C-100053E287B7}"/>
    <cellStyle name="20% - Accent2 6 3" xfId="5340" xr:uid="{00000000-0005-0000-0000-000035010000}"/>
    <cellStyle name="20% - Accent2 6 3 2" xfId="13782" xr:uid="{7AF6499F-5A8B-4E5E-9FCD-7282B502314C}"/>
    <cellStyle name="20% - Accent2 6 3 3" xfId="22217" xr:uid="{74B8AD16-01D9-4FCE-9089-D1EF1724D0AD}"/>
    <cellStyle name="20% - Accent2 6 4" xfId="9564" xr:uid="{B052DC0A-FAF3-4FF5-BE9C-B1AD5A7274BD}"/>
    <cellStyle name="20% - Accent2 6 5" xfId="18000" xr:uid="{248078A9-5B92-4C9A-A76A-57B538AC9747}"/>
    <cellStyle name="20% - Accent2 7" xfId="1445" xr:uid="{00000000-0005-0000-0000-000036010000}"/>
    <cellStyle name="20% - Accent2 7 2" xfId="3675" xr:uid="{00000000-0005-0000-0000-000037010000}"/>
    <cellStyle name="20% - Accent2 7 2 2" xfId="7898" xr:uid="{00000000-0005-0000-0000-000038010000}"/>
    <cellStyle name="20% - Accent2 7 2 2 2" xfId="16340" xr:uid="{E05AC378-3970-47CA-BCA3-A4F436667730}"/>
    <cellStyle name="20% - Accent2 7 2 2 3" xfId="24775" xr:uid="{7A6017DA-92C9-4E98-B899-6E7AC9D414D3}"/>
    <cellStyle name="20% - Accent2 7 2 3" xfId="12122" xr:uid="{CEB5A2AD-3117-4D7B-A205-5B08E2D21762}"/>
    <cellStyle name="20% - Accent2 7 2 4" xfId="20558" xr:uid="{C9ED28AA-F5E5-4ED4-92B5-5A5F4556B1A4}"/>
    <cellStyle name="20% - Accent2 7 3" xfId="5753" xr:uid="{00000000-0005-0000-0000-000039010000}"/>
    <cellStyle name="20% - Accent2 7 3 2" xfId="14195" xr:uid="{D4CDAAFF-CC13-4AED-AD0B-39C13659656C}"/>
    <cellStyle name="20% - Accent2 7 3 3" xfId="22630" xr:uid="{2F77291E-698F-49AE-A0C1-47E3923F9EB1}"/>
    <cellStyle name="20% - Accent2 7 4" xfId="9977" xr:uid="{09CCCADF-1896-47D6-9ABE-E0A3955DA667}"/>
    <cellStyle name="20% - Accent2 7 5" xfId="18413" xr:uid="{54AD288B-9F78-4713-A3BB-7DC707DBA610}"/>
    <cellStyle name="20% - Accent2 8" xfId="1859" xr:uid="{00000000-0005-0000-0000-00003A010000}"/>
    <cellStyle name="20% - Accent2 8 2" xfId="4088" xr:uid="{00000000-0005-0000-0000-00003B010000}"/>
    <cellStyle name="20% - Accent2 8 2 2" xfId="8311" xr:uid="{00000000-0005-0000-0000-00003C010000}"/>
    <cellStyle name="20% - Accent2 8 2 2 2" xfId="16753" xr:uid="{F0053AB9-A63B-40B6-8F35-303200A20139}"/>
    <cellStyle name="20% - Accent2 8 2 2 3" xfId="25188" xr:uid="{E7265D91-84C6-4ABB-9CD6-372299EE3F8E}"/>
    <cellStyle name="20% - Accent2 8 2 3" xfId="12535" xr:uid="{D50D0918-7D85-450B-BF05-45BB80BABACF}"/>
    <cellStyle name="20% - Accent2 8 2 4" xfId="20971" xr:uid="{034EE082-11EF-42C7-8946-77D52C50A206}"/>
    <cellStyle name="20% - Accent2 8 3" xfId="6166" xr:uid="{00000000-0005-0000-0000-00003D010000}"/>
    <cellStyle name="20% - Accent2 8 3 2" xfId="14608" xr:uid="{7A41943C-3385-4F7C-A536-AC0B0C2AA0D7}"/>
    <cellStyle name="20% - Accent2 8 3 3" xfId="23043" xr:uid="{BE21FEA5-D85C-491C-9FF1-1C2AF64E42AC}"/>
    <cellStyle name="20% - Accent2 8 4" xfId="10390" xr:uid="{CBAE5E19-88CC-43DD-9145-255162FB4FAD}"/>
    <cellStyle name="20% - Accent2 8 5" xfId="18826" xr:uid="{CE420352-5FA9-44AD-90EA-9A925EC44E39}"/>
    <cellStyle name="20% - Accent2 9" xfId="2272" xr:uid="{00000000-0005-0000-0000-00003E010000}"/>
    <cellStyle name="20% - Accent2 9 2" xfId="6579" xr:uid="{00000000-0005-0000-0000-00003F010000}"/>
    <cellStyle name="20% - Accent2 9 2 2" xfId="15021" xr:uid="{C6CD4660-82EC-423C-937D-FB9D88EB019E}"/>
    <cellStyle name="20% - Accent2 9 2 3" xfId="23456" xr:uid="{D7885386-C621-4385-B520-D4A6D1A4CB82}"/>
    <cellStyle name="20% - Accent2 9 3" xfId="10803" xr:uid="{986D2E18-4F33-4EE7-9F12-E63050DCBF80}"/>
    <cellStyle name="20% - Accent2 9 4" xfId="19239" xr:uid="{A3D9F2D0-B8A4-454D-A029-4B8CEE396DD8}"/>
    <cellStyle name="20% - Accent3" xfId="17" builtinId="38" customBuiltin="1"/>
    <cellStyle name="20% - Accent3 10" xfId="4521" xr:uid="{00000000-0005-0000-0000-000041010000}"/>
    <cellStyle name="20% - Accent3 10 2" xfId="12963" xr:uid="{FD042EAF-A36D-4385-A972-36D304157BEE}"/>
    <cellStyle name="20% - Accent3 10 3" xfId="21398" xr:uid="{8943833A-5C20-420F-BD13-5A99606096C6}"/>
    <cellStyle name="20% - Accent3 11" xfId="8745" xr:uid="{A4A5466E-46E7-4D14-9317-5BB05B136F01}"/>
    <cellStyle name="20% - Accent3 12" xfId="17181" xr:uid="{86C258A7-5961-4514-B29F-37FD47E8449C}"/>
    <cellStyle name="20% - Accent3 2" xfId="18" xr:uid="{00000000-0005-0000-0000-000042010000}"/>
    <cellStyle name="20% - Accent3 2 10" xfId="8746" xr:uid="{EC41FE6A-71B1-4D71-8B2C-735D8F4F6279}"/>
    <cellStyle name="20% - Accent3 2 11" xfId="17182" xr:uid="{A0871615-B8DA-49EE-8E5F-7EAEE88626E1}"/>
    <cellStyle name="20% - Accent3 2 2" xfId="19" xr:uid="{00000000-0005-0000-0000-000043010000}"/>
    <cellStyle name="20% - Accent3 2 2 10" xfId="17183" xr:uid="{07B70B3E-02F5-438D-8075-5BAF53D6F9D6}"/>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2 2 2" xfId="15525" xr:uid="{F237C90B-DCB0-49B4-99DC-A6C4C0D2858C}"/>
    <cellStyle name="20% - Accent3 2 2 2 2 2 2 3" xfId="23960" xr:uid="{D352D7B1-660F-4B9E-B616-3E5EBE3E4BCF}"/>
    <cellStyle name="20% - Accent3 2 2 2 2 2 3" xfId="11307" xr:uid="{8F595022-1182-4F8D-9989-A527A6DACE95}"/>
    <cellStyle name="20% - Accent3 2 2 2 2 2 4" xfId="19743" xr:uid="{70DA671E-C43E-483E-98ED-54A81BF34ABA}"/>
    <cellStyle name="20% - Accent3 2 2 2 2 3" xfId="4938" xr:uid="{00000000-0005-0000-0000-000048010000}"/>
    <cellStyle name="20% - Accent3 2 2 2 2 3 2" xfId="13380" xr:uid="{6CF5D41B-967F-49CE-8357-49E6EBA23628}"/>
    <cellStyle name="20% - Accent3 2 2 2 2 3 3" xfId="21815" xr:uid="{8C7AF6F1-5D09-41CA-805B-017ABF2AF98E}"/>
    <cellStyle name="20% - Accent3 2 2 2 2 4" xfId="9162" xr:uid="{37A9D703-D64B-47B7-AA18-708FE87DB75B}"/>
    <cellStyle name="20% - Accent3 2 2 2 2 5" xfId="17598" xr:uid="{1D227E4C-9649-41EB-B4EB-C6F4804B1564}"/>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2 2 2" xfId="15938" xr:uid="{F3143F2A-8226-4033-869A-964926CB71B5}"/>
    <cellStyle name="20% - Accent3 2 2 2 3 2 2 3" xfId="24373" xr:uid="{CE0A682A-273D-4D63-99EA-BA6977D63FE5}"/>
    <cellStyle name="20% - Accent3 2 2 2 3 2 3" xfId="11720" xr:uid="{F41A675A-10FA-4328-B55D-133C260B464C}"/>
    <cellStyle name="20% - Accent3 2 2 2 3 2 4" xfId="20156" xr:uid="{0EA673A5-A871-444D-8D35-3AA3C81D789C}"/>
    <cellStyle name="20% - Accent3 2 2 2 3 3" xfId="5351" xr:uid="{00000000-0005-0000-0000-00004C010000}"/>
    <cellStyle name="20% - Accent3 2 2 2 3 3 2" xfId="13793" xr:uid="{169610DD-70CE-40B3-9F2A-AD4C2F96B85F}"/>
    <cellStyle name="20% - Accent3 2 2 2 3 3 3" xfId="22228" xr:uid="{375CAE45-0877-42C9-A85B-A3C36682D8F1}"/>
    <cellStyle name="20% - Accent3 2 2 2 3 4" xfId="9575" xr:uid="{CD3B276D-3E40-4AEA-901F-F130411BA849}"/>
    <cellStyle name="20% - Accent3 2 2 2 3 5" xfId="18011" xr:uid="{FB2BA826-73DA-4CF9-B297-5805129FE30B}"/>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2 2 2" xfId="16351" xr:uid="{144D26BE-FA93-4610-A66A-4273EF92D994}"/>
    <cellStyle name="20% - Accent3 2 2 2 4 2 2 3" xfId="24786" xr:uid="{16585542-67A3-47E1-ADC2-1FB0DA89AB60}"/>
    <cellStyle name="20% - Accent3 2 2 2 4 2 3" xfId="12133" xr:uid="{0A383B31-0768-4DAC-BC66-9F885906E63B}"/>
    <cellStyle name="20% - Accent3 2 2 2 4 2 4" xfId="20569" xr:uid="{957CE602-5E11-48CA-A125-B5C2A333B091}"/>
    <cellStyle name="20% - Accent3 2 2 2 4 3" xfId="5764" xr:uid="{00000000-0005-0000-0000-000050010000}"/>
    <cellStyle name="20% - Accent3 2 2 2 4 3 2" xfId="14206" xr:uid="{C37281F8-9CF9-4F40-9D0C-8CCD17652F94}"/>
    <cellStyle name="20% - Accent3 2 2 2 4 3 3" xfId="22641" xr:uid="{15EE6E9E-36C8-4EFC-AB10-0EF3745A19D2}"/>
    <cellStyle name="20% - Accent3 2 2 2 4 4" xfId="9988" xr:uid="{3CE70602-26DC-46B5-914C-AD2A561FBB61}"/>
    <cellStyle name="20% - Accent3 2 2 2 4 5" xfId="18424" xr:uid="{6478A9BA-2E60-416B-9E31-7364FE1C2839}"/>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2 2 2" xfId="16764" xr:uid="{70F9758D-CA9F-46C9-A0FC-0315C2ED0C6D}"/>
    <cellStyle name="20% - Accent3 2 2 2 5 2 2 3" xfId="25199" xr:uid="{C519E4A8-F576-4A98-8A80-8DFB30F54174}"/>
    <cellStyle name="20% - Accent3 2 2 2 5 2 3" xfId="12546" xr:uid="{AADE7687-0E71-4091-BED9-48308A98903A}"/>
    <cellStyle name="20% - Accent3 2 2 2 5 2 4" xfId="20982" xr:uid="{A84B9F63-4318-4C65-BEFF-163C2EC98283}"/>
    <cellStyle name="20% - Accent3 2 2 2 5 3" xfId="6177" xr:uid="{00000000-0005-0000-0000-000054010000}"/>
    <cellStyle name="20% - Accent3 2 2 2 5 3 2" xfId="14619" xr:uid="{61EA252C-EE86-486C-B83F-AC9DB926A6DD}"/>
    <cellStyle name="20% - Accent3 2 2 2 5 3 3" xfId="23054" xr:uid="{3782299D-7103-412C-9A7D-3FCA5570A163}"/>
    <cellStyle name="20% - Accent3 2 2 2 5 4" xfId="10401" xr:uid="{6ECB6EEC-1F40-4BEF-85E0-94B0D5D5B809}"/>
    <cellStyle name="20% - Accent3 2 2 2 5 5" xfId="18837" xr:uid="{1BE2854E-FBA9-419B-98DF-D91DFF82867C}"/>
    <cellStyle name="20% - Accent3 2 2 2 6" xfId="2283" xr:uid="{00000000-0005-0000-0000-000055010000}"/>
    <cellStyle name="20% - Accent3 2 2 2 6 2" xfId="6590" xr:uid="{00000000-0005-0000-0000-000056010000}"/>
    <cellStyle name="20% - Accent3 2 2 2 6 2 2" xfId="15032" xr:uid="{AFFC05CA-2DBE-4342-A629-A1B934557BFC}"/>
    <cellStyle name="20% - Accent3 2 2 2 6 2 3" xfId="23467" xr:uid="{BC578477-7E36-4E72-A076-CA719C65DF53}"/>
    <cellStyle name="20% - Accent3 2 2 2 6 3" xfId="10814" xr:uid="{D624F5CF-D667-494D-B498-9DC65E25B1EE}"/>
    <cellStyle name="20% - Accent3 2 2 2 6 4" xfId="19250" xr:uid="{CA863411-83AB-425A-9C1C-57E32892A3DD}"/>
    <cellStyle name="20% - Accent3 2 2 2 7" xfId="4524" xr:uid="{00000000-0005-0000-0000-000057010000}"/>
    <cellStyle name="20% - Accent3 2 2 2 7 2" xfId="12966" xr:uid="{2D60C9A2-E296-4B51-B618-3BA0B2541326}"/>
    <cellStyle name="20% - Accent3 2 2 2 7 3" xfId="21401" xr:uid="{713C0C9B-2D35-4F24-8F33-DEA88F5F0C92}"/>
    <cellStyle name="20% - Accent3 2 2 2 8" xfId="8748" xr:uid="{55EE3C2F-F6E1-46C0-8C1D-0C5E0E7009AE}"/>
    <cellStyle name="20% - Accent3 2 2 2 9" xfId="17184" xr:uid="{4EC0F150-D0F3-4983-82E9-F86D2A132B67}"/>
    <cellStyle name="20% - Accent3 2 2 3" xfId="588" xr:uid="{00000000-0005-0000-0000-000058010000}"/>
    <cellStyle name="20% - Accent3 2 2 3 2" xfId="2859" xr:uid="{00000000-0005-0000-0000-000059010000}"/>
    <cellStyle name="20% - Accent3 2 2 3 2 2" xfId="7082" xr:uid="{00000000-0005-0000-0000-00005A010000}"/>
    <cellStyle name="20% - Accent3 2 2 3 2 2 2" xfId="15524" xr:uid="{F59FC398-D737-4D87-8DF0-B23A26AA371D}"/>
    <cellStyle name="20% - Accent3 2 2 3 2 2 3" xfId="23959" xr:uid="{0EECEB2D-FE78-4056-952F-50AE52F253D6}"/>
    <cellStyle name="20% - Accent3 2 2 3 2 3" xfId="11306" xr:uid="{28985513-64E5-41C9-9ACF-95A704FD82F6}"/>
    <cellStyle name="20% - Accent3 2 2 3 2 4" xfId="19742" xr:uid="{30F988D9-BF50-4E98-ABBE-A0B6E065AB62}"/>
    <cellStyle name="20% - Accent3 2 2 3 3" xfId="4937" xr:uid="{00000000-0005-0000-0000-00005B010000}"/>
    <cellStyle name="20% - Accent3 2 2 3 3 2" xfId="13379" xr:uid="{BAE7395E-64EB-47A2-9613-10595AAC4F1A}"/>
    <cellStyle name="20% - Accent3 2 2 3 3 3" xfId="21814" xr:uid="{9087B379-A24E-44F7-94C6-6F472A30E087}"/>
    <cellStyle name="20% - Accent3 2 2 3 4" xfId="9161" xr:uid="{575B7B43-4372-4EB5-8A29-D25A312F5236}"/>
    <cellStyle name="20% - Accent3 2 2 3 5" xfId="17597" xr:uid="{2849B98C-0DB5-421D-84DE-051ABFCBF4C6}"/>
    <cellStyle name="20% - Accent3 2 2 4" xfId="1041" xr:uid="{00000000-0005-0000-0000-00005C010000}"/>
    <cellStyle name="20% - Accent3 2 2 4 2" xfId="3272" xr:uid="{00000000-0005-0000-0000-00005D010000}"/>
    <cellStyle name="20% - Accent3 2 2 4 2 2" xfId="7495" xr:uid="{00000000-0005-0000-0000-00005E010000}"/>
    <cellStyle name="20% - Accent3 2 2 4 2 2 2" xfId="15937" xr:uid="{86576C39-6B36-41B5-85F5-D6D02DFF3437}"/>
    <cellStyle name="20% - Accent3 2 2 4 2 2 3" xfId="24372" xr:uid="{32176B72-9002-41C5-B7A9-A5BB5E4FE027}"/>
    <cellStyle name="20% - Accent3 2 2 4 2 3" xfId="11719" xr:uid="{AAF3DE2E-A57A-41EC-ABB2-9C02A25ACE5C}"/>
    <cellStyle name="20% - Accent3 2 2 4 2 4" xfId="20155" xr:uid="{A4A6452B-2C0D-4733-B352-37A5FDDFA01D}"/>
    <cellStyle name="20% - Accent3 2 2 4 3" xfId="5350" xr:uid="{00000000-0005-0000-0000-00005F010000}"/>
    <cellStyle name="20% - Accent3 2 2 4 3 2" xfId="13792" xr:uid="{6C336A88-6D88-4C05-BFD4-C5A44201F71E}"/>
    <cellStyle name="20% - Accent3 2 2 4 3 3" xfId="22227" xr:uid="{3D446E0E-9476-4FA6-9D6C-24241ED78271}"/>
    <cellStyle name="20% - Accent3 2 2 4 4" xfId="9574" xr:uid="{F2E60C55-5F12-4A97-BBA4-AC827A1F8C5A}"/>
    <cellStyle name="20% - Accent3 2 2 4 5" xfId="18010" xr:uid="{319ACD31-8F21-4EC0-842A-E36BDBF85C5E}"/>
    <cellStyle name="20% - Accent3 2 2 5" xfId="1455" xr:uid="{00000000-0005-0000-0000-000060010000}"/>
    <cellStyle name="20% - Accent3 2 2 5 2" xfId="3685" xr:uid="{00000000-0005-0000-0000-000061010000}"/>
    <cellStyle name="20% - Accent3 2 2 5 2 2" xfId="7908" xr:uid="{00000000-0005-0000-0000-000062010000}"/>
    <cellStyle name="20% - Accent3 2 2 5 2 2 2" xfId="16350" xr:uid="{824E0246-F09A-42A5-917D-3E3F2A406848}"/>
    <cellStyle name="20% - Accent3 2 2 5 2 2 3" xfId="24785" xr:uid="{E351F8BC-0F7C-4499-BEEC-392E9A1FA2E7}"/>
    <cellStyle name="20% - Accent3 2 2 5 2 3" xfId="12132" xr:uid="{D4E741B6-43FC-4538-9AE6-B8ED5FA9168F}"/>
    <cellStyle name="20% - Accent3 2 2 5 2 4" xfId="20568" xr:uid="{B370655C-51CC-40F8-85FD-5A2CEE1193D0}"/>
    <cellStyle name="20% - Accent3 2 2 5 3" xfId="5763" xr:uid="{00000000-0005-0000-0000-000063010000}"/>
    <cellStyle name="20% - Accent3 2 2 5 3 2" xfId="14205" xr:uid="{96D1CDBE-3396-403D-B917-D374F1EB9266}"/>
    <cellStyle name="20% - Accent3 2 2 5 3 3" xfId="22640" xr:uid="{D92565B9-0CC1-4DFA-B80C-50F2C8535B58}"/>
    <cellStyle name="20% - Accent3 2 2 5 4" xfId="9987" xr:uid="{7554D183-FCE5-404A-A1CF-1EFA8EE9B419}"/>
    <cellStyle name="20% - Accent3 2 2 5 5" xfId="18423" xr:uid="{1BFC5697-FF07-4C74-81A1-62325994D0B2}"/>
    <cellStyle name="20% - Accent3 2 2 6" xfId="1869" xr:uid="{00000000-0005-0000-0000-000064010000}"/>
    <cellStyle name="20% - Accent3 2 2 6 2" xfId="4098" xr:uid="{00000000-0005-0000-0000-000065010000}"/>
    <cellStyle name="20% - Accent3 2 2 6 2 2" xfId="8321" xr:uid="{00000000-0005-0000-0000-000066010000}"/>
    <cellStyle name="20% - Accent3 2 2 6 2 2 2" xfId="16763" xr:uid="{C7B4021D-61A2-44AB-A694-95EAA3E8F0E9}"/>
    <cellStyle name="20% - Accent3 2 2 6 2 2 3" xfId="25198" xr:uid="{76E5D77E-D0C8-476F-97F3-5E26058F30B2}"/>
    <cellStyle name="20% - Accent3 2 2 6 2 3" xfId="12545" xr:uid="{879A727A-2E1A-4FEA-A019-75B2262414B5}"/>
    <cellStyle name="20% - Accent3 2 2 6 2 4" xfId="20981" xr:uid="{206AFCF4-FEA0-4AEF-8E93-9DBED72C3D4E}"/>
    <cellStyle name="20% - Accent3 2 2 6 3" xfId="6176" xr:uid="{00000000-0005-0000-0000-000067010000}"/>
    <cellStyle name="20% - Accent3 2 2 6 3 2" xfId="14618" xr:uid="{32E91C25-C38F-4628-8F62-0C2D79B33468}"/>
    <cellStyle name="20% - Accent3 2 2 6 3 3" xfId="23053" xr:uid="{3BE35D5B-7944-46E6-9E87-4103768B5582}"/>
    <cellStyle name="20% - Accent3 2 2 6 4" xfId="10400" xr:uid="{2A23AC51-FB55-4810-93F5-567DB862A6E7}"/>
    <cellStyle name="20% - Accent3 2 2 6 5" xfId="18836" xr:uid="{DAE68E3C-8A89-4752-B8F4-83B3B59A7B4D}"/>
    <cellStyle name="20% - Accent3 2 2 7" xfId="2282" xr:uid="{00000000-0005-0000-0000-000068010000}"/>
    <cellStyle name="20% - Accent3 2 2 7 2" xfId="6589" xr:uid="{00000000-0005-0000-0000-000069010000}"/>
    <cellStyle name="20% - Accent3 2 2 7 2 2" xfId="15031" xr:uid="{4548077B-616D-47FD-B600-07829D014DF5}"/>
    <cellStyle name="20% - Accent3 2 2 7 2 3" xfId="23466" xr:uid="{1292410D-9467-4C51-92C0-E0DEDA454C4B}"/>
    <cellStyle name="20% - Accent3 2 2 7 3" xfId="10813" xr:uid="{759E1C0E-FEFB-47EF-8682-7EABEF7EC52D}"/>
    <cellStyle name="20% - Accent3 2 2 7 4" xfId="19249" xr:uid="{9577121A-68A8-4DCE-BE46-BA72E5C39544}"/>
    <cellStyle name="20% - Accent3 2 2 8" xfId="4523" xr:uid="{00000000-0005-0000-0000-00006A010000}"/>
    <cellStyle name="20% - Accent3 2 2 8 2" xfId="12965" xr:uid="{A064C97B-EFCF-45C0-8AA7-D03ED53B81C2}"/>
    <cellStyle name="20% - Accent3 2 2 8 3" xfId="21400" xr:uid="{09579974-1282-4DD8-B555-7648C1769C7C}"/>
    <cellStyle name="20% - Accent3 2 2 9" xfId="8747" xr:uid="{63C63B1C-C884-4972-B2A9-64E3F2D71C8B}"/>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2 2 2" xfId="15526" xr:uid="{047AD012-C2C8-4EF6-BE7B-235E66D34F39}"/>
    <cellStyle name="20% - Accent3 2 3 2 2 2 3" xfId="23961" xr:uid="{266B78FD-3522-4F3A-9CF2-6C59ADD38986}"/>
    <cellStyle name="20% - Accent3 2 3 2 2 3" xfId="11308" xr:uid="{A811D88E-26BF-4837-ADB0-4720E56043EA}"/>
    <cellStyle name="20% - Accent3 2 3 2 2 4" xfId="19744" xr:uid="{88E75C42-F81A-410E-875D-ECD8E4B8F2CD}"/>
    <cellStyle name="20% - Accent3 2 3 2 3" xfId="4939" xr:uid="{00000000-0005-0000-0000-00006F010000}"/>
    <cellStyle name="20% - Accent3 2 3 2 3 2" xfId="13381" xr:uid="{911846E4-55F7-42E0-B6B3-75EAECC8469C}"/>
    <cellStyle name="20% - Accent3 2 3 2 3 3" xfId="21816" xr:uid="{EE341E81-FBF1-4676-BCDE-AE1A34DADB00}"/>
    <cellStyle name="20% - Accent3 2 3 2 4" xfId="9163" xr:uid="{08C6C076-18A7-4D23-B967-1A32E8A44754}"/>
    <cellStyle name="20% - Accent3 2 3 2 5" xfId="17599" xr:uid="{97406241-04F9-4869-B2A0-BF78029ED1D4}"/>
    <cellStyle name="20% - Accent3 2 3 3" xfId="1043" xr:uid="{00000000-0005-0000-0000-000070010000}"/>
    <cellStyle name="20% - Accent3 2 3 3 2" xfId="3274" xr:uid="{00000000-0005-0000-0000-000071010000}"/>
    <cellStyle name="20% - Accent3 2 3 3 2 2" xfId="7497" xr:uid="{00000000-0005-0000-0000-000072010000}"/>
    <cellStyle name="20% - Accent3 2 3 3 2 2 2" xfId="15939" xr:uid="{C126A092-D987-45D5-A3AB-77E3B879C8B6}"/>
    <cellStyle name="20% - Accent3 2 3 3 2 2 3" xfId="24374" xr:uid="{E7AC2D7E-6C98-4801-9DBE-0AB155DC81A9}"/>
    <cellStyle name="20% - Accent3 2 3 3 2 3" xfId="11721" xr:uid="{D21F62BC-4BEB-4345-A7AF-410D19FB49CC}"/>
    <cellStyle name="20% - Accent3 2 3 3 2 4" xfId="20157" xr:uid="{BEBE3850-91EC-43E3-A354-42889682CA99}"/>
    <cellStyle name="20% - Accent3 2 3 3 3" xfId="5352" xr:uid="{00000000-0005-0000-0000-000073010000}"/>
    <cellStyle name="20% - Accent3 2 3 3 3 2" xfId="13794" xr:uid="{969DC5FE-6B02-47EC-B7CB-C9CBD1664908}"/>
    <cellStyle name="20% - Accent3 2 3 3 3 3" xfId="22229" xr:uid="{1BBB1D10-C8DB-4F76-AB6C-ACC4EA306D59}"/>
    <cellStyle name="20% - Accent3 2 3 3 4" xfId="9576" xr:uid="{81E81626-764C-44DE-B7A4-E8AD1FA96E1F}"/>
    <cellStyle name="20% - Accent3 2 3 3 5" xfId="18012" xr:uid="{7DE998B7-98EE-46ED-81D6-FF2898C9513E}"/>
    <cellStyle name="20% - Accent3 2 3 4" xfId="1457" xr:uid="{00000000-0005-0000-0000-000074010000}"/>
    <cellStyle name="20% - Accent3 2 3 4 2" xfId="3687" xr:uid="{00000000-0005-0000-0000-000075010000}"/>
    <cellStyle name="20% - Accent3 2 3 4 2 2" xfId="7910" xr:uid="{00000000-0005-0000-0000-000076010000}"/>
    <cellStyle name="20% - Accent3 2 3 4 2 2 2" xfId="16352" xr:uid="{C4CCA6FC-4844-42A1-99A9-761BF685AA54}"/>
    <cellStyle name="20% - Accent3 2 3 4 2 2 3" xfId="24787" xr:uid="{7265D3E4-6766-47C0-8BD9-1F36A40133D3}"/>
    <cellStyle name="20% - Accent3 2 3 4 2 3" xfId="12134" xr:uid="{4B8B25A1-5530-4468-BF9D-D2855BFF8D4C}"/>
    <cellStyle name="20% - Accent3 2 3 4 2 4" xfId="20570" xr:uid="{7CE1994A-A415-4B34-B702-80FD27D60685}"/>
    <cellStyle name="20% - Accent3 2 3 4 3" xfId="5765" xr:uid="{00000000-0005-0000-0000-000077010000}"/>
    <cellStyle name="20% - Accent3 2 3 4 3 2" xfId="14207" xr:uid="{72D035CA-3FBF-4701-88FB-D5EDE9C0D020}"/>
    <cellStyle name="20% - Accent3 2 3 4 3 3" xfId="22642" xr:uid="{57D6A8FF-C5A6-4C9C-A69E-A475C3D8CCB1}"/>
    <cellStyle name="20% - Accent3 2 3 4 4" xfId="9989" xr:uid="{7784563F-37B6-4D8E-8BCC-9D1654C02118}"/>
    <cellStyle name="20% - Accent3 2 3 4 5" xfId="18425" xr:uid="{2B8CCB51-0536-46EB-9DD0-C10037FB41D9}"/>
    <cellStyle name="20% - Accent3 2 3 5" xfId="1871" xr:uid="{00000000-0005-0000-0000-000078010000}"/>
    <cellStyle name="20% - Accent3 2 3 5 2" xfId="4100" xr:uid="{00000000-0005-0000-0000-000079010000}"/>
    <cellStyle name="20% - Accent3 2 3 5 2 2" xfId="8323" xr:uid="{00000000-0005-0000-0000-00007A010000}"/>
    <cellStyle name="20% - Accent3 2 3 5 2 2 2" xfId="16765" xr:uid="{40B60678-C47E-4FFE-BFEF-509805AA5707}"/>
    <cellStyle name="20% - Accent3 2 3 5 2 2 3" xfId="25200" xr:uid="{C2461304-8885-4889-98D0-206FC5C58FA7}"/>
    <cellStyle name="20% - Accent3 2 3 5 2 3" xfId="12547" xr:uid="{840B8317-9630-4153-A193-9ABEA46BBE2A}"/>
    <cellStyle name="20% - Accent3 2 3 5 2 4" xfId="20983" xr:uid="{599E4B8F-738F-41ED-8261-AD4E75880B46}"/>
    <cellStyle name="20% - Accent3 2 3 5 3" xfId="6178" xr:uid="{00000000-0005-0000-0000-00007B010000}"/>
    <cellStyle name="20% - Accent3 2 3 5 3 2" xfId="14620" xr:uid="{E4F93D6A-8A11-4541-A3F6-A72CFCEE1C73}"/>
    <cellStyle name="20% - Accent3 2 3 5 3 3" xfId="23055" xr:uid="{8D6BE980-C090-443A-9865-5766DC2E39BD}"/>
    <cellStyle name="20% - Accent3 2 3 5 4" xfId="10402" xr:uid="{3FD47CBB-DA74-47A9-9B80-41AC8A1748A7}"/>
    <cellStyle name="20% - Accent3 2 3 5 5" xfId="18838" xr:uid="{8A5A0343-A708-453A-97BB-14E4BCCD9F19}"/>
    <cellStyle name="20% - Accent3 2 3 6" xfId="2284" xr:uid="{00000000-0005-0000-0000-00007C010000}"/>
    <cellStyle name="20% - Accent3 2 3 6 2" xfId="6591" xr:uid="{00000000-0005-0000-0000-00007D010000}"/>
    <cellStyle name="20% - Accent3 2 3 6 2 2" xfId="15033" xr:uid="{5F1774CF-A961-4E12-92D8-20A8EF01B52F}"/>
    <cellStyle name="20% - Accent3 2 3 6 2 3" xfId="23468" xr:uid="{FC4E61E1-4A43-4ED5-AB2D-CC7CCEC13FE0}"/>
    <cellStyle name="20% - Accent3 2 3 6 3" xfId="10815" xr:uid="{3B7FC3A1-B785-4FC9-A2AF-1E421B209F35}"/>
    <cellStyle name="20% - Accent3 2 3 6 4" xfId="19251" xr:uid="{780792B3-A663-4FEA-A607-7A23733D1F26}"/>
    <cellStyle name="20% - Accent3 2 3 7" xfId="4525" xr:uid="{00000000-0005-0000-0000-00007E010000}"/>
    <cellStyle name="20% - Accent3 2 3 7 2" xfId="12967" xr:uid="{CDF476DC-769C-4E24-B54B-B0A053856817}"/>
    <cellStyle name="20% - Accent3 2 3 7 3" xfId="21402" xr:uid="{81C42680-5729-48F5-A754-EA235E6F3038}"/>
    <cellStyle name="20% - Accent3 2 3 8" xfId="8749" xr:uid="{721F6275-D8F8-412D-A3A2-57A353E97993}"/>
    <cellStyle name="20% - Accent3 2 3 9" xfId="17185" xr:uid="{5427227D-4EE6-4977-A089-3CAAB4B19FBD}"/>
    <cellStyle name="20% - Accent3 2 4" xfId="587" xr:uid="{00000000-0005-0000-0000-00007F010000}"/>
    <cellStyle name="20% - Accent3 2 4 2" xfId="2858" xr:uid="{00000000-0005-0000-0000-000080010000}"/>
    <cellStyle name="20% - Accent3 2 4 2 2" xfId="7081" xr:uid="{00000000-0005-0000-0000-000081010000}"/>
    <cellStyle name="20% - Accent3 2 4 2 2 2" xfId="15523" xr:uid="{8BADDBDC-0FAB-4A8C-8C88-71E79BDCD1E0}"/>
    <cellStyle name="20% - Accent3 2 4 2 2 3" xfId="23958" xr:uid="{3ECAA901-CA70-4B9D-B657-AEAC9D695BCF}"/>
    <cellStyle name="20% - Accent3 2 4 2 3" xfId="11305" xr:uid="{016DCADA-8319-4A66-9D77-F67B8950B3A5}"/>
    <cellStyle name="20% - Accent3 2 4 2 4" xfId="19741" xr:uid="{18DC2243-72C6-4BF0-8B25-CAF690E8A374}"/>
    <cellStyle name="20% - Accent3 2 4 3" xfId="4936" xr:uid="{00000000-0005-0000-0000-000082010000}"/>
    <cellStyle name="20% - Accent3 2 4 3 2" xfId="13378" xr:uid="{DB0DD4B0-810D-4F3F-BB29-4877842B8DA1}"/>
    <cellStyle name="20% - Accent3 2 4 3 3" xfId="21813" xr:uid="{07CBB095-D63E-44E5-A36C-2E24DE072A79}"/>
    <cellStyle name="20% - Accent3 2 4 4" xfId="9160" xr:uid="{597F5AFA-6A1D-49AB-B178-55EE18C93B93}"/>
    <cellStyle name="20% - Accent3 2 4 5" xfId="17596" xr:uid="{60FC97DC-1EBA-470E-B75D-CA137858AA84}"/>
    <cellStyle name="20% - Accent3 2 5" xfId="1040" xr:uid="{00000000-0005-0000-0000-000083010000}"/>
    <cellStyle name="20% - Accent3 2 5 2" xfId="3271" xr:uid="{00000000-0005-0000-0000-000084010000}"/>
    <cellStyle name="20% - Accent3 2 5 2 2" xfId="7494" xr:uid="{00000000-0005-0000-0000-000085010000}"/>
    <cellStyle name="20% - Accent3 2 5 2 2 2" xfId="15936" xr:uid="{2B2F6A82-35E4-4D4B-91D5-251526682261}"/>
    <cellStyle name="20% - Accent3 2 5 2 2 3" xfId="24371" xr:uid="{97A6C88D-8009-419A-89F5-FDCEBBDB5A87}"/>
    <cellStyle name="20% - Accent3 2 5 2 3" xfId="11718" xr:uid="{CF5CB3F9-2410-4FE2-B2C2-A1B4DA027F4D}"/>
    <cellStyle name="20% - Accent3 2 5 2 4" xfId="20154" xr:uid="{2B009DC7-96F6-455A-B35B-923E6DE8CF19}"/>
    <cellStyle name="20% - Accent3 2 5 3" xfId="5349" xr:uid="{00000000-0005-0000-0000-000086010000}"/>
    <cellStyle name="20% - Accent3 2 5 3 2" xfId="13791" xr:uid="{8CA6D205-79B4-4D27-978E-9675363A9EE3}"/>
    <cellStyle name="20% - Accent3 2 5 3 3" xfId="22226" xr:uid="{8653A335-617D-44E4-97B0-7AC726FB5649}"/>
    <cellStyle name="20% - Accent3 2 5 4" xfId="9573" xr:uid="{D62AF962-8DA6-493E-BA8D-BC0DFF5DBA46}"/>
    <cellStyle name="20% - Accent3 2 5 5" xfId="18009" xr:uid="{E695C548-BEB7-4E6B-ADCF-42109AC65821}"/>
    <cellStyle name="20% - Accent3 2 6" xfId="1454" xr:uid="{00000000-0005-0000-0000-000087010000}"/>
    <cellStyle name="20% - Accent3 2 6 2" xfId="3684" xr:uid="{00000000-0005-0000-0000-000088010000}"/>
    <cellStyle name="20% - Accent3 2 6 2 2" xfId="7907" xr:uid="{00000000-0005-0000-0000-000089010000}"/>
    <cellStyle name="20% - Accent3 2 6 2 2 2" xfId="16349" xr:uid="{3C3605A4-0705-4AA1-9612-E499F465C2D0}"/>
    <cellStyle name="20% - Accent3 2 6 2 2 3" xfId="24784" xr:uid="{1C3016DE-9992-4A3A-B7BF-8D4D8FC8DE91}"/>
    <cellStyle name="20% - Accent3 2 6 2 3" xfId="12131" xr:uid="{1FA6DE50-7595-45C2-ABCB-E1FF7BA549F6}"/>
    <cellStyle name="20% - Accent3 2 6 2 4" xfId="20567" xr:uid="{2E21ADE1-2F1B-452E-A788-21B895AE5961}"/>
    <cellStyle name="20% - Accent3 2 6 3" xfId="5762" xr:uid="{00000000-0005-0000-0000-00008A010000}"/>
    <cellStyle name="20% - Accent3 2 6 3 2" xfId="14204" xr:uid="{9AC3D539-8A02-417C-B70F-3DF6924A5E85}"/>
    <cellStyle name="20% - Accent3 2 6 3 3" xfId="22639" xr:uid="{710370E0-13B6-4307-9A34-02FE2AAD86E3}"/>
    <cellStyle name="20% - Accent3 2 6 4" xfId="9986" xr:uid="{21E1124C-B14A-4631-AA3F-B8A0A7AC147A}"/>
    <cellStyle name="20% - Accent3 2 6 5" xfId="18422" xr:uid="{4AFEBB2A-D942-471C-869B-E974CD4470B7}"/>
    <cellStyle name="20% - Accent3 2 7" xfId="1868" xr:uid="{00000000-0005-0000-0000-00008B010000}"/>
    <cellStyle name="20% - Accent3 2 7 2" xfId="4097" xr:uid="{00000000-0005-0000-0000-00008C010000}"/>
    <cellStyle name="20% - Accent3 2 7 2 2" xfId="8320" xr:uid="{00000000-0005-0000-0000-00008D010000}"/>
    <cellStyle name="20% - Accent3 2 7 2 2 2" xfId="16762" xr:uid="{16BB67CF-CD91-4D4E-A77F-5B6192F7C496}"/>
    <cellStyle name="20% - Accent3 2 7 2 2 3" xfId="25197" xr:uid="{84854D74-FDF5-4D75-AC62-45C3D8E56ACE}"/>
    <cellStyle name="20% - Accent3 2 7 2 3" xfId="12544" xr:uid="{00C13BD7-0CD1-4BB5-9DCC-C9B039A63DA3}"/>
    <cellStyle name="20% - Accent3 2 7 2 4" xfId="20980" xr:uid="{6B1D9F9D-9A88-475E-9346-376C0735D216}"/>
    <cellStyle name="20% - Accent3 2 7 3" xfId="6175" xr:uid="{00000000-0005-0000-0000-00008E010000}"/>
    <cellStyle name="20% - Accent3 2 7 3 2" xfId="14617" xr:uid="{955BA757-A8CD-4682-97E4-63D89D4DD37C}"/>
    <cellStyle name="20% - Accent3 2 7 3 3" xfId="23052" xr:uid="{836B02EE-643C-4BCF-AA83-0DD6D0DDEF55}"/>
    <cellStyle name="20% - Accent3 2 7 4" xfId="10399" xr:uid="{FCCA88FB-F2E5-4F92-B62B-F3FAEE2D3ABA}"/>
    <cellStyle name="20% - Accent3 2 7 5" xfId="18835" xr:uid="{EF187FE9-3A4E-40F5-9C44-78CDA7525290}"/>
    <cellStyle name="20% - Accent3 2 8" xfId="2281" xr:uid="{00000000-0005-0000-0000-00008F010000}"/>
    <cellStyle name="20% - Accent3 2 8 2" xfId="6588" xr:uid="{00000000-0005-0000-0000-000090010000}"/>
    <cellStyle name="20% - Accent3 2 8 2 2" xfId="15030" xr:uid="{23F820DF-25C4-46F7-8BC8-FB70E02A330F}"/>
    <cellStyle name="20% - Accent3 2 8 2 3" xfId="23465" xr:uid="{8DD82D33-DB9D-49C3-BBEC-93D7E8695BE1}"/>
    <cellStyle name="20% - Accent3 2 8 3" xfId="10812" xr:uid="{0F56BAD4-AA7E-47C2-9B33-C8DBB8BAB7C5}"/>
    <cellStyle name="20% - Accent3 2 8 4" xfId="19248" xr:uid="{15B18AED-4D1F-43FC-B964-144D7BFF88D8}"/>
    <cellStyle name="20% - Accent3 2 9" xfId="4522" xr:uid="{00000000-0005-0000-0000-000091010000}"/>
    <cellStyle name="20% - Accent3 2 9 2" xfId="12964" xr:uid="{DBDCBF41-99AC-4F2C-A1DB-448F9772E265}"/>
    <cellStyle name="20% - Accent3 2 9 3" xfId="21399" xr:uid="{C310E09F-9BD5-4F68-8FB8-14AF9AA6EC26}"/>
    <cellStyle name="20% - Accent3 3" xfId="22" xr:uid="{00000000-0005-0000-0000-000092010000}"/>
    <cellStyle name="20% - Accent3 3 10" xfId="17186" xr:uid="{D0796044-F355-4487-B5AC-97F76B81756B}"/>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2 2 2" xfId="15528" xr:uid="{230749C4-979E-487F-B3FC-0B0239C90549}"/>
    <cellStyle name="20% - Accent3 3 2 2 2 2 3" xfId="23963" xr:uid="{9BB8BD77-0F0A-4AC4-855C-0DA282FEDC5B}"/>
    <cellStyle name="20% - Accent3 3 2 2 2 3" xfId="11310" xr:uid="{57F666BF-8F5D-48AB-8181-51D1C5AD569A}"/>
    <cellStyle name="20% - Accent3 3 2 2 2 4" xfId="19746" xr:uid="{5903C2F2-B8FC-4015-A92A-F27426423C27}"/>
    <cellStyle name="20% - Accent3 3 2 2 3" xfId="4941" xr:uid="{00000000-0005-0000-0000-000097010000}"/>
    <cellStyle name="20% - Accent3 3 2 2 3 2" xfId="13383" xr:uid="{2B83070B-17AE-4359-A9C7-8836DAC96C10}"/>
    <cellStyle name="20% - Accent3 3 2 2 3 3" xfId="21818" xr:uid="{8AC26691-2C2C-492B-B503-F357D1DCE5C0}"/>
    <cellStyle name="20% - Accent3 3 2 2 4" xfId="9165" xr:uid="{0AE56BBF-1D0D-4751-961E-7F0477756D93}"/>
    <cellStyle name="20% - Accent3 3 2 2 5" xfId="17601" xr:uid="{EA12045E-D83D-42CA-AD8A-9C6F5FACEC16}"/>
    <cellStyle name="20% - Accent3 3 2 3" xfId="1045" xr:uid="{00000000-0005-0000-0000-000098010000}"/>
    <cellStyle name="20% - Accent3 3 2 3 2" xfId="3276" xr:uid="{00000000-0005-0000-0000-000099010000}"/>
    <cellStyle name="20% - Accent3 3 2 3 2 2" xfId="7499" xr:uid="{00000000-0005-0000-0000-00009A010000}"/>
    <cellStyle name="20% - Accent3 3 2 3 2 2 2" xfId="15941" xr:uid="{48FD834B-32AE-4578-A33F-90B495DAFE62}"/>
    <cellStyle name="20% - Accent3 3 2 3 2 2 3" xfId="24376" xr:uid="{C4A562CB-E72B-4241-805C-18205DC735BF}"/>
    <cellStyle name="20% - Accent3 3 2 3 2 3" xfId="11723" xr:uid="{4BD95D3A-11E2-44FC-AC9C-63E826D2472C}"/>
    <cellStyle name="20% - Accent3 3 2 3 2 4" xfId="20159" xr:uid="{B35DB585-6AF1-42CA-A1BB-104481185ABE}"/>
    <cellStyle name="20% - Accent3 3 2 3 3" xfId="5354" xr:uid="{00000000-0005-0000-0000-00009B010000}"/>
    <cellStyle name="20% - Accent3 3 2 3 3 2" xfId="13796" xr:uid="{8B9EF0B9-07F0-4E00-A7CB-BC762A084496}"/>
    <cellStyle name="20% - Accent3 3 2 3 3 3" xfId="22231" xr:uid="{F89F5110-BDD1-4069-8A5A-B7971380C57D}"/>
    <cellStyle name="20% - Accent3 3 2 3 4" xfId="9578" xr:uid="{06C66B90-6826-40D8-A260-D87E3E91D03E}"/>
    <cellStyle name="20% - Accent3 3 2 3 5" xfId="18014" xr:uid="{ECE0D931-7801-463E-8BB3-97C39C0EEC47}"/>
    <cellStyle name="20% - Accent3 3 2 4" xfId="1459" xr:uid="{00000000-0005-0000-0000-00009C010000}"/>
    <cellStyle name="20% - Accent3 3 2 4 2" xfId="3689" xr:uid="{00000000-0005-0000-0000-00009D010000}"/>
    <cellStyle name="20% - Accent3 3 2 4 2 2" xfId="7912" xr:uid="{00000000-0005-0000-0000-00009E010000}"/>
    <cellStyle name="20% - Accent3 3 2 4 2 2 2" xfId="16354" xr:uid="{819EDEA9-4D8A-4251-9566-4E27F5D1C717}"/>
    <cellStyle name="20% - Accent3 3 2 4 2 2 3" xfId="24789" xr:uid="{046F853C-C823-46D7-BF19-14B30BED0626}"/>
    <cellStyle name="20% - Accent3 3 2 4 2 3" xfId="12136" xr:uid="{35034F93-6867-4B52-B556-522E8A098F5E}"/>
    <cellStyle name="20% - Accent3 3 2 4 2 4" xfId="20572" xr:uid="{706270AF-DE38-4A42-98EB-9354AA9A0CFA}"/>
    <cellStyle name="20% - Accent3 3 2 4 3" xfId="5767" xr:uid="{00000000-0005-0000-0000-00009F010000}"/>
    <cellStyle name="20% - Accent3 3 2 4 3 2" xfId="14209" xr:uid="{86F94FC5-9D03-43F3-8255-FB248AFB7717}"/>
    <cellStyle name="20% - Accent3 3 2 4 3 3" xfId="22644" xr:uid="{8E2F811E-7F59-41F8-BF3B-E754A74C371B}"/>
    <cellStyle name="20% - Accent3 3 2 4 4" xfId="9991" xr:uid="{7724AE87-5E9A-4DC7-B718-BFDAE51A41AD}"/>
    <cellStyle name="20% - Accent3 3 2 4 5" xfId="18427" xr:uid="{9EFB175F-8957-48B3-BDB0-4C5ED048C177}"/>
    <cellStyle name="20% - Accent3 3 2 5" xfId="1873" xr:uid="{00000000-0005-0000-0000-0000A0010000}"/>
    <cellStyle name="20% - Accent3 3 2 5 2" xfId="4102" xr:uid="{00000000-0005-0000-0000-0000A1010000}"/>
    <cellStyle name="20% - Accent3 3 2 5 2 2" xfId="8325" xr:uid="{00000000-0005-0000-0000-0000A2010000}"/>
    <cellStyle name="20% - Accent3 3 2 5 2 2 2" xfId="16767" xr:uid="{5187B084-8246-4A41-8638-743F3C88D58E}"/>
    <cellStyle name="20% - Accent3 3 2 5 2 2 3" xfId="25202" xr:uid="{7B121429-D93C-405E-A1E7-F1B9C69FC6DE}"/>
    <cellStyle name="20% - Accent3 3 2 5 2 3" xfId="12549" xr:uid="{2D556257-6270-4E4C-BE03-1462C5A7F222}"/>
    <cellStyle name="20% - Accent3 3 2 5 2 4" xfId="20985" xr:uid="{929C1F85-66C4-4EE4-99E7-3420A08B4935}"/>
    <cellStyle name="20% - Accent3 3 2 5 3" xfId="6180" xr:uid="{00000000-0005-0000-0000-0000A3010000}"/>
    <cellStyle name="20% - Accent3 3 2 5 3 2" xfId="14622" xr:uid="{42CBB919-7181-4C3F-9616-2A621868A6E4}"/>
    <cellStyle name="20% - Accent3 3 2 5 3 3" xfId="23057" xr:uid="{68B11D81-61FA-4D48-BDE1-3011893BF549}"/>
    <cellStyle name="20% - Accent3 3 2 5 4" xfId="10404" xr:uid="{D0ACDC98-2B1B-4A02-A963-BB70EF3FC784}"/>
    <cellStyle name="20% - Accent3 3 2 5 5" xfId="18840" xr:uid="{32C22AF1-F197-4E1D-AAAF-CCFD330979E9}"/>
    <cellStyle name="20% - Accent3 3 2 6" xfId="2286" xr:uid="{00000000-0005-0000-0000-0000A4010000}"/>
    <cellStyle name="20% - Accent3 3 2 6 2" xfId="6593" xr:uid="{00000000-0005-0000-0000-0000A5010000}"/>
    <cellStyle name="20% - Accent3 3 2 6 2 2" xfId="15035" xr:uid="{5D27E84F-6031-4C58-9CAC-D173432733D6}"/>
    <cellStyle name="20% - Accent3 3 2 6 2 3" xfId="23470" xr:uid="{0A440C8F-9E4E-406C-9297-D47B5330132E}"/>
    <cellStyle name="20% - Accent3 3 2 6 3" xfId="10817" xr:uid="{7D227D0F-42F9-4A57-96A2-7561E0A4A6C3}"/>
    <cellStyle name="20% - Accent3 3 2 6 4" xfId="19253" xr:uid="{ED5FAAD3-C3D8-4DDD-8F4C-9AFE15BA5745}"/>
    <cellStyle name="20% - Accent3 3 2 7" xfId="4527" xr:uid="{00000000-0005-0000-0000-0000A6010000}"/>
    <cellStyle name="20% - Accent3 3 2 7 2" xfId="12969" xr:uid="{36E8A52C-7D85-4526-BFC6-B594A787E767}"/>
    <cellStyle name="20% - Accent3 3 2 7 3" xfId="21404" xr:uid="{12AFBA1F-3F77-46F3-B363-20F90BC15684}"/>
    <cellStyle name="20% - Accent3 3 2 8" xfId="8751" xr:uid="{66F8E669-7876-4B91-AA19-9EAB0D17862F}"/>
    <cellStyle name="20% - Accent3 3 2 9" xfId="17187" xr:uid="{BD2398DC-21E0-4C71-9FA7-C0575032F4AE}"/>
    <cellStyle name="20% - Accent3 3 3" xfId="591" xr:uid="{00000000-0005-0000-0000-0000A7010000}"/>
    <cellStyle name="20% - Accent3 3 3 2" xfId="2862" xr:uid="{00000000-0005-0000-0000-0000A8010000}"/>
    <cellStyle name="20% - Accent3 3 3 2 2" xfId="7085" xr:uid="{00000000-0005-0000-0000-0000A9010000}"/>
    <cellStyle name="20% - Accent3 3 3 2 2 2" xfId="15527" xr:uid="{CD11BE16-DBF5-4D41-AE41-1075649CD029}"/>
    <cellStyle name="20% - Accent3 3 3 2 2 3" xfId="23962" xr:uid="{0A30DE98-AE2F-4C77-8D31-EC1DF911DA16}"/>
    <cellStyle name="20% - Accent3 3 3 2 3" xfId="11309" xr:uid="{41DA1D9E-EFEB-4F30-A9C0-3F3CFD09350E}"/>
    <cellStyle name="20% - Accent3 3 3 2 4" xfId="19745" xr:uid="{3CD436FB-007C-46A4-9827-51F9DF14359E}"/>
    <cellStyle name="20% - Accent3 3 3 3" xfId="4940" xr:uid="{00000000-0005-0000-0000-0000AA010000}"/>
    <cellStyle name="20% - Accent3 3 3 3 2" xfId="13382" xr:uid="{AD224B63-6F91-4371-A7A6-9150C94C1D6F}"/>
    <cellStyle name="20% - Accent3 3 3 3 3" xfId="21817" xr:uid="{89803B62-391E-4DEF-ABDA-969F17E4236A}"/>
    <cellStyle name="20% - Accent3 3 3 4" xfId="9164" xr:uid="{D4A216E3-AE7D-49C0-AAB6-0B5D5B8BDFC0}"/>
    <cellStyle name="20% - Accent3 3 3 5" xfId="17600" xr:uid="{032950E8-DF9F-4067-B836-F0EDE5C1BF10}"/>
    <cellStyle name="20% - Accent3 3 4" xfId="1044" xr:uid="{00000000-0005-0000-0000-0000AB010000}"/>
    <cellStyle name="20% - Accent3 3 4 2" xfId="3275" xr:uid="{00000000-0005-0000-0000-0000AC010000}"/>
    <cellStyle name="20% - Accent3 3 4 2 2" xfId="7498" xr:uid="{00000000-0005-0000-0000-0000AD010000}"/>
    <cellStyle name="20% - Accent3 3 4 2 2 2" xfId="15940" xr:uid="{FD4C8688-91F3-4532-A212-5F7C25ACD633}"/>
    <cellStyle name="20% - Accent3 3 4 2 2 3" xfId="24375" xr:uid="{EC55896F-9877-470D-B4B1-9CD8F47E82CB}"/>
    <cellStyle name="20% - Accent3 3 4 2 3" xfId="11722" xr:uid="{A82B026D-6206-4BD8-A400-F48C8887E4B9}"/>
    <cellStyle name="20% - Accent3 3 4 2 4" xfId="20158" xr:uid="{1DE83777-4099-46BA-A10F-DFDC916B47A7}"/>
    <cellStyle name="20% - Accent3 3 4 3" xfId="5353" xr:uid="{00000000-0005-0000-0000-0000AE010000}"/>
    <cellStyle name="20% - Accent3 3 4 3 2" xfId="13795" xr:uid="{9C4D0989-8577-4BD1-9BFD-ECE3E4AEE162}"/>
    <cellStyle name="20% - Accent3 3 4 3 3" xfId="22230" xr:uid="{9BE087E1-71CD-46DA-A08A-2262CDAFEB11}"/>
    <cellStyle name="20% - Accent3 3 4 4" xfId="9577" xr:uid="{E579BAA8-B92B-4D45-AA24-F781BEBA24A5}"/>
    <cellStyle name="20% - Accent3 3 4 5" xfId="18013" xr:uid="{0AD694D7-66E4-429D-9510-28525BF80CA3}"/>
    <cellStyle name="20% - Accent3 3 5" xfId="1458" xr:uid="{00000000-0005-0000-0000-0000AF010000}"/>
    <cellStyle name="20% - Accent3 3 5 2" xfId="3688" xr:uid="{00000000-0005-0000-0000-0000B0010000}"/>
    <cellStyle name="20% - Accent3 3 5 2 2" xfId="7911" xr:uid="{00000000-0005-0000-0000-0000B1010000}"/>
    <cellStyle name="20% - Accent3 3 5 2 2 2" xfId="16353" xr:uid="{151DCC67-B78F-49E1-9E25-1B1B3FC60013}"/>
    <cellStyle name="20% - Accent3 3 5 2 2 3" xfId="24788" xr:uid="{ABA72438-810F-4E50-AB19-2FAC7D06D46E}"/>
    <cellStyle name="20% - Accent3 3 5 2 3" xfId="12135" xr:uid="{3C540C08-5482-4718-BF5D-D94C88D9AF26}"/>
    <cellStyle name="20% - Accent3 3 5 2 4" xfId="20571" xr:uid="{C75AB2F5-2FD2-40C2-9676-7C02CFDF2902}"/>
    <cellStyle name="20% - Accent3 3 5 3" xfId="5766" xr:uid="{00000000-0005-0000-0000-0000B2010000}"/>
    <cellStyle name="20% - Accent3 3 5 3 2" xfId="14208" xr:uid="{42763844-4EBB-454E-B17B-889DD047DE16}"/>
    <cellStyle name="20% - Accent3 3 5 3 3" xfId="22643" xr:uid="{A8DC8B97-34BA-4586-B387-358A25050FCD}"/>
    <cellStyle name="20% - Accent3 3 5 4" xfId="9990" xr:uid="{D7DE6286-8616-4AA7-A899-C5896AD9EF05}"/>
    <cellStyle name="20% - Accent3 3 5 5" xfId="18426" xr:uid="{FC33FD35-A7DB-4E13-B6E8-2E739E17ABE5}"/>
    <cellStyle name="20% - Accent3 3 6" xfId="1872" xr:uid="{00000000-0005-0000-0000-0000B3010000}"/>
    <cellStyle name="20% - Accent3 3 6 2" xfId="4101" xr:uid="{00000000-0005-0000-0000-0000B4010000}"/>
    <cellStyle name="20% - Accent3 3 6 2 2" xfId="8324" xr:uid="{00000000-0005-0000-0000-0000B5010000}"/>
    <cellStyle name="20% - Accent3 3 6 2 2 2" xfId="16766" xr:uid="{8A562952-A377-4E82-8B81-771F80F0F6D4}"/>
    <cellStyle name="20% - Accent3 3 6 2 2 3" xfId="25201" xr:uid="{D2773DE2-2BA2-4D31-93B8-C6813FD716FD}"/>
    <cellStyle name="20% - Accent3 3 6 2 3" xfId="12548" xr:uid="{5C092535-3346-4989-9500-178B94BC1D47}"/>
    <cellStyle name="20% - Accent3 3 6 2 4" xfId="20984" xr:uid="{7AE5F7D3-0878-4C6F-BC31-0C03B16FDAC1}"/>
    <cellStyle name="20% - Accent3 3 6 3" xfId="6179" xr:uid="{00000000-0005-0000-0000-0000B6010000}"/>
    <cellStyle name="20% - Accent3 3 6 3 2" xfId="14621" xr:uid="{F81AE07D-34E6-4C3F-B8C2-BEA65D540B8A}"/>
    <cellStyle name="20% - Accent3 3 6 3 3" xfId="23056" xr:uid="{78F81366-FB4D-4CE2-86D3-230DE2F8D67D}"/>
    <cellStyle name="20% - Accent3 3 6 4" xfId="10403" xr:uid="{DD765655-E351-41F0-AD92-3B66C85C6D9A}"/>
    <cellStyle name="20% - Accent3 3 6 5" xfId="18839" xr:uid="{A7091110-597F-4B03-90FE-6234EF80E8AD}"/>
    <cellStyle name="20% - Accent3 3 7" xfId="2285" xr:uid="{00000000-0005-0000-0000-0000B7010000}"/>
    <cellStyle name="20% - Accent3 3 7 2" xfId="6592" xr:uid="{00000000-0005-0000-0000-0000B8010000}"/>
    <cellStyle name="20% - Accent3 3 7 2 2" xfId="15034" xr:uid="{3B286911-2DC8-4BDD-8E42-F44CAEFD01E8}"/>
    <cellStyle name="20% - Accent3 3 7 2 3" xfId="23469" xr:uid="{E36B8AF2-5713-4373-86BD-34AD6810ABCC}"/>
    <cellStyle name="20% - Accent3 3 7 3" xfId="10816" xr:uid="{11C3E96E-0512-412D-AF8A-6BA1988BAAAE}"/>
    <cellStyle name="20% - Accent3 3 7 4" xfId="19252" xr:uid="{203F28A7-E6FD-4CDF-9CEB-D7D15B29308D}"/>
    <cellStyle name="20% - Accent3 3 8" xfId="4526" xr:uid="{00000000-0005-0000-0000-0000B9010000}"/>
    <cellStyle name="20% - Accent3 3 8 2" xfId="12968" xr:uid="{0A1941ED-F5E0-4C30-9715-F276D6AF6E52}"/>
    <cellStyle name="20% - Accent3 3 8 3" xfId="21403" xr:uid="{D1A2BFC3-ED18-4B4D-9A2C-8D3395DD052E}"/>
    <cellStyle name="20% - Accent3 3 9" xfId="8750" xr:uid="{449FB36D-7CAD-4047-BDBE-48EF34743117}"/>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2 2 2" xfId="15529" xr:uid="{FD0E49E7-134A-4B42-AA9F-0E3EABAB5C7C}"/>
    <cellStyle name="20% - Accent3 4 2 2 2 3" xfId="23964" xr:uid="{91478540-0351-4C3A-89BA-45396A631B56}"/>
    <cellStyle name="20% - Accent3 4 2 2 3" xfId="11311" xr:uid="{04CCF3A9-DB1B-4621-9BB1-70E189C9525B}"/>
    <cellStyle name="20% - Accent3 4 2 2 4" xfId="19747" xr:uid="{B3AB8F40-6B85-4F22-B397-4DF7530380D8}"/>
    <cellStyle name="20% - Accent3 4 2 3" xfId="4942" xr:uid="{00000000-0005-0000-0000-0000BE010000}"/>
    <cellStyle name="20% - Accent3 4 2 3 2" xfId="13384" xr:uid="{E4B9ADBC-F5D5-4F2D-9894-C5E9F6401A38}"/>
    <cellStyle name="20% - Accent3 4 2 3 3" xfId="21819" xr:uid="{D3DF93D5-8585-4EFC-B84D-7D17D92F92BA}"/>
    <cellStyle name="20% - Accent3 4 2 4" xfId="9166" xr:uid="{D6839AB7-6682-43D6-AB53-14A65D22A947}"/>
    <cellStyle name="20% - Accent3 4 2 5" xfId="17602" xr:uid="{3C8D9885-A135-43F9-88AC-4E376A5734C8}"/>
    <cellStyle name="20% - Accent3 4 3" xfId="1046" xr:uid="{00000000-0005-0000-0000-0000BF010000}"/>
    <cellStyle name="20% - Accent3 4 3 2" xfId="3277" xr:uid="{00000000-0005-0000-0000-0000C0010000}"/>
    <cellStyle name="20% - Accent3 4 3 2 2" xfId="7500" xr:uid="{00000000-0005-0000-0000-0000C1010000}"/>
    <cellStyle name="20% - Accent3 4 3 2 2 2" xfId="15942" xr:uid="{7972B654-8777-452F-B221-2675E717AD5A}"/>
    <cellStyle name="20% - Accent3 4 3 2 2 3" xfId="24377" xr:uid="{943CC97F-72F4-4C8E-B732-E6EBE0841D1F}"/>
    <cellStyle name="20% - Accent3 4 3 2 3" xfId="11724" xr:uid="{E8695875-854D-435A-930A-4C8CC8FE3E72}"/>
    <cellStyle name="20% - Accent3 4 3 2 4" xfId="20160" xr:uid="{E5E2F557-1622-4AA2-ABFD-C1FB2CD89EEF}"/>
    <cellStyle name="20% - Accent3 4 3 3" xfId="5355" xr:uid="{00000000-0005-0000-0000-0000C2010000}"/>
    <cellStyle name="20% - Accent3 4 3 3 2" xfId="13797" xr:uid="{F06969FE-1DC5-4C4B-A9CA-E10BAB6C1066}"/>
    <cellStyle name="20% - Accent3 4 3 3 3" xfId="22232" xr:uid="{DD7E5F6E-456B-4E75-BC3C-FDE9284C44EB}"/>
    <cellStyle name="20% - Accent3 4 3 4" xfId="9579" xr:uid="{EBB2E3E2-D241-44C3-9366-D3CF9E615588}"/>
    <cellStyle name="20% - Accent3 4 3 5" xfId="18015" xr:uid="{8D33CD23-A567-4C62-A120-DC1DB8898FC5}"/>
    <cellStyle name="20% - Accent3 4 4" xfId="1460" xr:uid="{00000000-0005-0000-0000-0000C3010000}"/>
    <cellStyle name="20% - Accent3 4 4 2" xfId="3690" xr:uid="{00000000-0005-0000-0000-0000C4010000}"/>
    <cellStyle name="20% - Accent3 4 4 2 2" xfId="7913" xr:uid="{00000000-0005-0000-0000-0000C5010000}"/>
    <cellStyle name="20% - Accent3 4 4 2 2 2" xfId="16355" xr:uid="{0024E92E-A507-4C80-A1C0-BC5201CFF774}"/>
    <cellStyle name="20% - Accent3 4 4 2 2 3" xfId="24790" xr:uid="{4198D83F-D82C-49CF-BD7B-560BCFA15DA6}"/>
    <cellStyle name="20% - Accent3 4 4 2 3" xfId="12137" xr:uid="{4FC47399-BB64-40B4-AEB2-C2FC4D2FAC24}"/>
    <cellStyle name="20% - Accent3 4 4 2 4" xfId="20573" xr:uid="{9E3A4CF9-7E71-451A-A866-7254B59DEF65}"/>
    <cellStyle name="20% - Accent3 4 4 3" xfId="5768" xr:uid="{00000000-0005-0000-0000-0000C6010000}"/>
    <cellStyle name="20% - Accent3 4 4 3 2" xfId="14210" xr:uid="{3E669260-5F4B-4311-AAC4-FD614B212096}"/>
    <cellStyle name="20% - Accent3 4 4 3 3" xfId="22645" xr:uid="{8C873816-11CD-45DB-9CE1-7D2E77B6EB29}"/>
    <cellStyle name="20% - Accent3 4 4 4" xfId="9992" xr:uid="{52C3960C-C543-42A3-8692-BF26EC0DCA2B}"/>
    <cellStyle name="20% - Accent3 4 4 5" xfId="18428" xr:uid="{E3BE1E50-EB77-41B8-9273-F219868D8BF5}"/>
    <cellStyle name="20% - Accent3 4 5" xfId="1874" xr:uid="{00000000-0005-0000-0000-0000C7010000}"/>
    <cellStyle name="20% - Accent3 4 5 2" xfId="4103" xr:uid="{00000000-0005-0000-0000-0000C8010000}"/>
    <cellStyle name="20% - Accent3 4 5 2 2" xfId="8326" xr:uid="{00000000-0005-0000-0000-0000C9010000}"/>
    <cellStyle name="20% - Accent3 4 5 2 2 2" xfId="16768" xr:uid="{24223F35-A5DD-40C5-8B2B-598B2982A87D}"/>
    <cellStyle name="20% - Accent3 4 5 2 2 3" xfId="25203" xr:uid="{1826151D-D683-487E-80AE-97E5D48DFE5B}"/>
    <cellStyle name="20% - Accent3 4 5 2 3" xfId="12550" xr:uid="{8FE6DA6B-0810-459B-AC35-367D46D105BB}"/>
    <cellStyle name="20% - Accent3 4 5 2 4" xfId="20986" xr:uid="{C00393FC-BFD0-4F10-AA38-86A8DD2E7580}"/>
    <cellStyle name="20% - Accent3 4 5 3" xfId="6181" xr:uid="{00000000-0005-0000-0000-0000CA010000}"/>
    <cellStyle name="20% - Accent3 4 5 3 2" xfId="14623" xr:uid="{D7673DE6-3FDD-460E-884B-07F53B945452}"/>
    <cellStyle name="20% - Accent3 4 5 3 3" xfId="23058" xr:uid="{50638D86-1563-4A6C-92FB-A8D7BB517E96}"/>
    <cellStyle name="20% - Accent3 4 5 4" xfId="10405" xr:uid="{DB15345D-8964-4FC6-B2A0-22C848FE06E7}"/>
    <cellStyle name="20% - Accent3 4 5 5" xfId="18841" xr:uid="{A438AA64-E899-424D-BC7B-75648DAC4310}"/>
    <cellStyle name="20% - Accent3 4 6" xfId="2287" xr:uid="{00000000-0005-0000-0000-0000CB010000}"/>
    <cellStyle name="20% - Accent3 4 6 2" xfId="6594" xr:uid="{00000000-0005-0000-0000-0000CC010000}"/>
    <cellStyle name="20% - Accent3 4 6 2 2" xfId="15036" xr:uid="{8DF08CE7-086A-4460-95CC-DE9EBDA5CDBE}"/>
    <cellStyle name="20% - Accent3 4 6 2 3" xfId="23471" xr:uid="{AA93F7D1-1479-487E-8DB4-55A2A57F7F43}"/>
    <cellStyle name="20% - Accent3 4 6 3" xfId="10818" xr:uid="{4D5FBD1A-ADB1-4606-A7BA-E4BD2FFB7E9C}"/>
    <cellStyle name="20% - Accent3 4 6 4" xfId="19254" xr:uid="{1C8B73DA-F942-4BCE-B60E-A653E2DE9EA4}"/>
    <cellStyle name="20% - Accent3 4 7" xfId="4528" xr:uid="{00000000-0005-0000-0000-0000CD010000}"/>
    <cellStyle name="20% - Accent3 4 7 2" xfId="12970" xr:uid="{4509F8E0-940A-4A67-B25A-B03FF503C575}"/>
    <cellStyle name="20% - Accent3 4 7 3" xfId="21405" xr:uid="{88FCE0EF-38CD-4B11-8BE9-EB14C3CC67B3}"/>
    <cellStyle name="20% - Accent3 4 8" xfId="8752" xr:uid="{9880A571-87F8-4269-B650-F38B806E2CE6}"/>
    <cellStyle name="20% - Accent3 4 9" xfId="17188" xr:uid="{C5AAA4FC-9FE1-4B7E-89AA-FAF6AA8E2282}"/>
    <cellStyle name="20% - Accent3 5" xfId="586" xr:uid="{00000000-0005-0000-0000-0000CE010000}"/>
    <cellStyle name="20% - Accent3 5 2" xfId="2857" xr:uid="{00000000-0005-0000-0000-0000CF010000}"/>
    <cellStyle name="20% - Accent3 5 2 2" xfId="7080" xr:uid="{00000000-0005-0000-0000-0000D0010000}"/>
    <cellStyle name="20% - Accent3 5 2 2 2" xfId="15522" xr:uid="{69E8C939-29B3-48B9-9743-51CCC9518EBC}"/>
    <cellStyle name="20% - Accent3 5 2 2 3" xfId="23957" xr:uid="{132A0FB9-7B87-4DB0-BD8F-13A96E524662}"/>
    <cellStyle name="20% - Accent3 5 2 3" xfId="11304" xr:uid="{2D662361-B98A-48A6-AA52-490E8BF76B4D}"/>
    <cellStyle name="20% - Accent3 5 2 4" xfId="19740" xr:uid="{70DA8962-72CA-4D5E-B8D3-C6A9247AB8FF}"/>
    <cellStyle name="20% - Accent3 5 3" xfId="4935" xr:uid="{00000000-0005-0000-0000-0000D1010000}"/>
    <cellStyle name="20% - Accent3 5 3 2" xfId="13377" xr:uid="{F936BC31-00DD-485D-8BA4-5C4F62BEEF82}"/>
    <cellStyle name="20% - Accent3 5 3 3" xfId="21812" xr:uid="{4BFD2064-E956-47F5-A54A-43CD41181A3B}"/>
    <cellStyle name="20% - Accent3 5 4" xfId="9159" xr:uid="{52358627-249D-490A-8134-368274652AE7}"/>
    <cellStyle name="20% - Accent3 5 5" xfId="17595" xr:uid="{EC108357-A643-468E-8BAB-543C57D10D94}"/>
    <cellStyle name="20% - Accent3 6" xfId="1039" xr:uid="{00000000-0005-0000-0000-0000D2010000}"/>
    <cellStyle name="20% - Accent3 6 2" xfId="3270" xr:uid="{00000000-0005-0000-0000-0000D3010000}"/>
    <cellStyle name="20% - Accent3 6 2 2" xfId="7493" xr:uid="{00000000-0005-0000-0000-0000D4010000}"/>
    <cellStyle name="20% - Accent3 6 2 2 2" xfId="15935" xr:uid="{48A06C31-7E5B-4878-98F2-EAAC51672F21}"/>
    <cellStyle name="20% - Accent3 6 2 2 3" xfId="24370" xr:uid="{239D7A38-6562-4A24-ADD4-11766BD62821}"/>
    <cellStyle name="20% - Accent3 6 2 3" xfId="11717" xr:uid="{DE5D6F97-7091-4152-97CD-A83A4AC0263D}"/>
    <cellStyle name="20% - Accent3 6 2 4" xfId="20153" xr:uid="{CAE0ED07-A88F-4342-AFCF-A70D0F9DDF7B}"/>
    <cellStyle name="20% - Accent3 6 3" xfId="5348" xr:uid="{00000000-0005-0000-0000-0000D5010000}"/>
    <cellStyle name="20% - Accent3 6 3 2" xfId="13790" xr:uid="{1E14C329-6F73-4641-9F2E-6B9C2000663D}"/>
    <cellStyle name="20% - Accent3 6 3 3" xfId="22225" xr:uid="{F3474C4E-1D0B-4A8B-A3FB-758805EF55DD}"/>
    <cellStyle name="20% - Accent3 6 4" xfId="9572" xr:uid="{56CA699A-D166-423A-8850-EEC2DD181A03}"/>
    <cellStyle name="20% - Accent3 6 5" xfId="18008" xr:uid="{2404E62F-40C7-4068-A005-6725AA92944C}"/>
    <cellStyle name="20% - Accent3 7" xfId="1453" xr:uid="{00000000-0005-0000-0000-0000D6010000}"/>
    <cellStyle name="20% - Accent3 7 2" xfId="3683" xr:uid="{00000000-0005-0000-0000-0000D7010000}"/>
    <cellStyle name="20% - Accent3 7 2 2" xfId="7906" xr:uid="{00000000-0005-0000-0000-0000D8010000}"/>
    <cellStyle name="20% - Accent3 7 2 2 2" xfId="16348" xr:uid="{7B23713F-64B9-4CEC-B767-877DF9701BE5}"/>
    <cellStyle name="20% - Accent3 7 2 2 3" xfId="24783" xr:uid="{D97482C3-08D8-48D6-82F8-1E3FAF6269FC}"/>
    <cellStyle name="20% - Accent3 7 2 3" xfId="12130" xr:uid="{9D0FCC8D-5A45-440E-986E-8F6FA68E8B68}"/>
    <cellStyle name="20% - Accent3 7 2 4" xfId="20566" xr:uid="{41AEEFFF-3554-42DB-8A29-8D316A19480D}"/>
    <cellStyle name="20% - Accent3 7 3" xfId="5761" xr:uid="{00000000-0005-0000-0000-0000D9010000}"/>
    <cellStyle name="20% - Accent3 7 3 2" xfId="14203" xr:uid="{CFBD328A-80B4-4546-8C93-A98D1BA4315E}"/>
    <cellStyle name="20% - Accent3 7 3 3" xfId="22638" xr:uid="{B98DDC48-AAAC-4727-B239-18D4B9913410}"/>
    <cellStyle name="20% - Accent3 7 4" xfId="9985" xr:uid="{C3CB5440-7387-44F6-BB42-3FDECE06C9AB}"/>
    <cellStyle name="20% - Accent3 7 5" xfId="18421" xr:uid="{8AF4B25B-05C9-45A7-98FE-FE431A30D7BA}"/>
    <cellStyle name="20% - Accent3 8" xfId="1867" xr:uid="{00000000-0005-0000-0000-0000DA010000}"/>
    <cellStyle name="20% - Accent3 8 2" xfId="4096" xr:uid="{00000000-0005-0000-0000-0000DB010000}"/>
    <cellStyle name="20% - Accent3 8 2 2" xfId="8319" xr:uid="{00000000-0005-0000-0000-0000DC010000}"/>
    <cellStyle name="20% - Accent3 8 2 2 2" xfId="16761" xr:uid="{6DBEF425-9CD9-434A-89AA-7E8E4E40C811}"/>
    <cellStyle name="20% - Accent3 8 2 2 3" xfId="25196" xr:uid="{211D0D7C-2E4E-42DD-8A35-A73B972AE328}"/>
    <cellStyle name="20% - Accent3 8 2 3" xfId="12543" xr:uid="{B9371C97-F7BE-41C8-BB25-8DE1C811CA86}"/>
    <cellStyle name="20% - Accent3 8 2 4" xfId="20979" xr:uid="{CA32A4E6-BD7A-4302-8735-805D39C4C1D3}"/>
    <cellStyle name="20% - Accent3 8 3" xfId="6174" xr:uid="{00000000-0005-0000-0000-0000DD010000}"/>
    <cellStyle name="20% - Accent3 8 3 2" xfId="14616" xr:uid="{CA9ECE39-E9E8-4475-9F6B-FEF6881B28A0}"/>
    <cellStyle name="20% - Accent3 8 3 3" xfId="23051" xr:uid="{7530E592-30DB-4EC7-863B-47155BB978B3}"/>
    <cellStyle name="20% - Accent3 8 4" xfId="10398" xr:uid="{4FD3EB1B-43EE-4010-AD28-4B900D811042}"/>
    <cellStyle name="20% - Accent3 8 5" xfId="18834" xr:uid="{964E9278-9CDE-44CB-93A1-B4B6F7E7A069}"/>
    <cellStyle name="20% - Accent3 9" xfId="2280" xr:uid="{00000000-0005-0000-0000-0000DE010000}"/>
    <cellStyle name="20% - Accent3 9 2" xfId="6587" xr:uid="{00000000-0005-0000-0000-0000DF010000}"/>
    <cellStyle name="20% - Accent3 9 2 2" xfId="15029" xr:uid="{683854C3-96EE-48D5-BE7C-DAC9080018F1}"/>
    <cellStyle name="20% - Accent3 9 2 3" xfId="23464" xr:uid="{F5B467E8-668D-40F1-96B4-D054F0A640FE}"/>
    <cellStyle name="20% - Accent3 9 3" xfId="10811" xr:uid="{0ED5C41E-7473-4408-8771-040F680D4020}"/>
    <cellStyle name="20% - Accent3 9 4" xfId="19247" xr:uid="{BD152D8E-F296-405E-87FF-E1927FB2B53E}"/>
    <cellStyle name="20% - Accent4" xfId="25" builtinId="42" customBuiltin="1"/>
    <cellStyle name="20% - Accent4 10" xfId="4529" xr:uid="{00000000-0005-0000-0000-0000E1010000}"/>
    <cellStyle name="20% - Accent4 10 2" xfId="12971" xr:uid="{D44450C5-2E30-48C6-A562-8D4F33507BA9}"/>
    <cellStyle name="20% - Accent4 10 3" xfId="21406" xr:uid="{8C80C673-8B0E-47A3-987E-319A8CCAD162}"/>
    <cellStyle name="20% - Accent4 11" xfId="8753" xr:uid="{B9237B50-17F2-4B48-93B4-7ECFF06B564F}"/>
    <cellStyle name="20% - Accent4 12" xfId="17189" xr:uid="{E96D7A1D-B84E-4306-A6C9-5C6D07DE4E07}"/>
    <cellStyle name="20% - Accent4 2" xfId="26" xr:uid="{00000000-0005-0000-0000-0000E2010000}"/>
    <cellStyle name="20% - Accent4 2 10" xfId="8754" xr:uid="{764CE311-C029-4338-9A96-DEF9AF24A5C9}"/>
    <cellStyle name="20% - Accent4 2 11" xfId="17190" xr:uid="{BCB65976-FAAA-423C-BD31-B30855B57E52}"/>
    <cellStyle name="20% - Accent4 2 2" xfId="27" xr:uid="{00000000-0005-0000-0000-0000E3010000}"/>
    <cellStyle name="20% - Accent4 2 2 10" xfId="17191" xr:uid="{74704FE9-53A3-4AE1-85ED-3652D84E8556}"/>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2 2 2" xfId="15533" xr:uid="{12D03E5A-6D1D-402A-B12B-9EC32B08B55D}"/>
    <cellStyle name="20% - Accent4 2 2 2 2 2 2 3" xfId="23968" xr:uid="{EA9E470E-43C6-4438-A6B5-C6C2B3C021C3}"/>
    <cellStyle name="20% - Accent4 2 2 2 2 2 3" xfId="11315" xr:uid="{50985940-5DE9-4086-9C34-06C96A8612C2}"/>
    <cellStyle name="20% - Accent4 2 2 2 2 2 4" xfId="19751" xr:uid="{EB72D412-B5D2-4FD1-B481-F17A2F57629D}"/>
    <cellStyle name="20% - Accent4 2 2 2 2 3" xfId="4946" xr:uid="{00000000-0005-0000-0000-0000E8010000}"/>
    <cellStyle name="20% - Accent4 2 2 2 2 3 2" xfId="13388" xr:uid="{4822E1BA-2EAD-4D1C-A2B6-D9810BFACFF7}"/>
    <cellStyle name="20% - Accent4 2 2 2 2 3 3" xfId="21823" xr:uid="{3AB5545B-9273-4051-B67F-821CE33A22E2}"/>
    <cellStyle name="20% - Accent4 2 2 2 2 4" xfId="9170" xr:uid="{AF0B9A89-08A1-4D13-866C-0702CC932D83}"/>
    <cellStyle name="20% - Accent4 2 2 2 2 5" xfId="17606" xr:uid="{BB40798D-F1D1-4B7A-8029-64DCEB5CC23B}"/>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2 2 2" xfId="15946" xr:uid="{D5A3AB9E-028D-45F2-AA22-D91846625E03}"/>
    <cellStyle name="20% - Accent4 2 2 2 3 2 2 3" xfId="24381" xr:uid="{049F7FFE-5FC4-46A8-9D13-1EE1CA3B25A9}"/>
    <cellStyle name="20% - Accent4 2 2 2 3 2 3" xfId="11728" xr:uid="{15112653-A9BC-4D6F-947C-69B301AA5349}"/>
    <cellStyle name="20% - Accent4 2 2 2 3 2 4" xfId="20164" xr:uid="{77DD0A62-08F3-44E9-8BCC-045600149606}"/>
    <cellStyle name="20% - Accent4 2 2 2 3 3" xfId="5359" xr:uid="{00000000-0005-0000-0000-0000EC010000}"/>
    <cellStyle name="20% - Accent4 2 2 2 3 3 2" xfId="13801" xr:uid="{C10B9AC5-0A31-4394-BA93-695DA741267F}"/>
    <cellStyle name="20% - Accent4 2 2 2 3 3 3" xfId="22236" xr:uid="{1D235763-2EF1-4FC1-BE3A-33C56F9761CD}"/>
    <cellStyle name="20% - Accent4 2 2 2 3 4" xfId="9583" xr:uid="{4F3A21D6-F567-468A-82D4-D5B3F2288290}"/>
    <cellStyle name="20% - Accent4 2 2 2 3 5" xfId="18019" xr:uid="{629E01B8-935D-4C35-8A83-1937CC0C932B}"/>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2 2 2" xfId="16359" xr:uid="{3158B516-E364-4EB6-90E0-28BB08DCE6AD}"/>
    <cellStyle name="20% - Accent4 2 2 2 4 2 2 3" xfId="24794" xr:uid="{BCBECEDD-F35D-4D6B-8B1B-87FAEE4CE82D}"/>
    <cellStyle name="20% - Accent4 2 2 2 4 2 3" xfId="12141" xr:uid="{27B6FF7B-FC39-44C4-96F7-B412562064D1}"/>
    <cellStyle name="20% - Accent4 2 2 2 4 2 4" xfId="20577" xr:uid="{6A33CA6E-226B-494D-9BBF-1A6B3AC759CE}"/>
    <cellStyle name="20% - Accent4 2 2 2 4 3" xfId="5772" xr:uid="{00000000-0005-0000-0000-0000F0010000}"/>
    <cellStyle name="20% - Accent4 2 2 2 4 3 2" xfId="14214" xr:uid="{E3504F1F-FF53-4775-9172-FAD586287CD9}"/>
    <cellStyle name="20% - Accent4 2 2 2 4 3 3" xfId="22649" xr:uid="{69B391BA-4FD9-4EC2-9C66-EF38ECA83EA1}"/>
    <cellStyle name="20% - Accent4 2 2 2 4 4" xfId="9996" xr:uid="{38774D9A-6C92-4D73-86BA-DAC08A84313E}"/>
    <cellStyle name="20% - Accent4 2 2 2 4 5" xfId="18432" xr:uid="{383D5F6F-90AA-4551-8500-6BFDE7153043}"/>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2 2 2" xfId="16772" xr:uid="{5BB81D05-54EA-4FB9-906C-4C5003187B2F}"/>
    <cellStyle name="20% - Accent4 2 2 2 5 2 2 3" xfId="25207" xr:uid="{73C3230A-2445-48E2-A3CC-7DEBB5598353}"/>
    <cellStyle name="20% - Accent4 2 2 2 5 2 3" xfId="12554" xr:uid="{14CCF0E1-F90C-438F-9CAF-F63898C8E1A1}"/>
    <cellStyle name="20% - Accent4 2 2 2 5 2 4" xfId="20990" xr:uid="{CA888211-7D36-44F8-862A-EA67C9862FA6}"/>
    <cellStyle name="20% - Accent4 2 2 2 5 3" xfId="6185" xr:uid="{00000000-0005-0000-0000-0000F4010000}"/>
    <cellStyle name="20% - Accent4 2 2 2 5 3 2" xfId="14627" xr:uid="{DCFAE835-AF7E-4B74-ACEA-B1E23361CD0B}"/>
    <cellStyle name="20% - Accent4 2 2 2 5 3 3" xfId="23062" xr:uid="{7EFD1791-FB59-484C-88D6-73AAFEC4A640}"/>
    <cellStyle name="20% - Accent4 2 2 2 5 4" xfId="10409" xr:uid="{B5646883-51E9-4B8D-BE75-819DD6BCEC80}"/>
    <cellStyle name="20% - Accent4 2 2 2 5 5" xfId="18845" xr:uid="{503CEE29-BA62-4DF0-A41B-5E5B606B86D1}"/>
    <cellStyle name="20% - Accent4 2 2 2 6" xfId="2291" xr:uid="{00000000-0005-0000-0000-0000F5010000}"/>
    <cellStyle name="20% - Accent4 2 2 2 6 2" xfId="6598" xr:uid="{00000000-0005-0000-0000-0000F6010000}"/>
    <cellStyle name="20% - Accent4 2 2 2 6 2 2" xfId="15040" xr:uid="{1E7C5242-06AD-4054-85D7-55D92381C381}"/>
    <cellStyle name="20% - Accent4 2 2 2 6 2 3" xfId="23475" xr:uid="{6AF88391-0588-4E84-B374-E65FBAA507B1}"/>
    <cellStyle name="20% - Accent4 2 2 2 6 3" xfId="10822" xr:uid="{B587B198-EA81-4382-B6C4-4ACF97B8520B}"/>
    <cellStyle name="20% - Accent4 2 2 2 6 4" xfId="19258" xr:uid="{042D0F3C-3F7C-4BA1-AE53-28F19B1706CB}"/>
    <cellStyle name="20% - Accent4 2 2 2 7" xfId="4532" xr:uid="{00000000-0005-0000-0000-0000F7010000}"/>
    <cellStyle name="20% - Accent4 2 2 2 7 2" xfId="12974" xr:uid="{EA28AB93-0D8D-4C04-9E3B-2820996D4CB4}"/>
    <cellStyle name="20% - Accent4 2 2 2 7 3" xfId="21409" xr:uid="{5F1E37C0-0555-4A3A-B7BB-3637DA04821B}"/>
    <cellStyle name="20% - Accent4 2 2 2 8" xfId="8756" xr:uid="{D211D43D-D955-4C87-A511-7B43DA199103}"/>
    <cellStyle name="20% - Accent4 2 2 2 9" xfId="17192" xr:uid="{F7A6314D-DFC2-4D2D-8108-B4B901080F03}"/>
    <cellStyle name="20% - Accent4 2 2 3" xfId="596" xr:uid="{00000000-0005-0000-0000-0000F8010000}"/>
    <cellStyle name="20% - Accent4 2 2 3 2" xfId="2867" xr:uid="{00000000-0005-0000-0000-0000F9010000}"/>
    <cellStyle name="20% - Accent4 2 2 3 2 2" xfId="7090" xr:uid="{00000000-0005-0000-0000-0000FA010000}"/>
    <cellStyle name="20% - Accent4 2 2 3 2 2 2" xfId="15532" xr:uid="{003F6398-3500-4344-930F-C19EA3BD9BB7}"/>
    <cellStyle name="20% - Accent4 2 2 3 2 2 3" xfId="23967" xr:uid="{D13D7377-7F8D-42C8-836C-17EBABC5F4A6}"/>
    <cellStyle name="20% - Accent4 2 2 3 2 3" xfId="11314" xr:uid="{3F5EAC7A-2934-4684-8D3F-CB5DED82A026}"/>
    <cellStyle name="20% - Accent4 2 2 3 2 4" xfId="19750" xr:uid="{9D51E1DB-343D-4671-A3A6-9606FBDB5DBF}"/>
    <cellStyle name="20% - Accent4 2 2 3 3" xfId="4945" xr:uid="{00000000-0005-0000-0000-0000FB010000}"/>
    <cellStyle name="20% - Accent4 2 2 3 3 2" xfId="13387" xr:uid="{9CFAC344-B8D3-4EB8-81C1-DDADABA6B303}"/>
    <cellStyle name="20% - Accent4 2 2 3 3 3" xfId="21822" xr:uid="{EB0EB551-5408-4340-A8E4-827FAB9D8E0F}"/>
    <cellStyle name="20% - Accent4 2 2 3 4" xfId="9169" xr:uid="{BC66284F-34E1-4CB9-8D63-4077D8661D1F}"/>
    <cellStyle name="20% - Accent4 2 2 3 5" xfId="17605" xr:uid="{F874907D-315C-47F4-A955-BC62A69DD26A}"/>
    <cellStyle name="20% - Accent4 2 2 4" xfId="1049" xr:uid="{00000000-0005-0000-0000-0000FC010000}"/>
    <cellStyle name="20% - Accent4 2 2 4 2" xfId="3280" xr:uid="{00000000-0005-0000-0000-0000FD010000}"/>
    <cellStyle name="20% - Accent4 2 2 4 2 2" xfId="7503" xr:uid="{00000000-0005-0000-0000-0000FE010000}"/>
    <cellStyle name="20% - Accent4 2 2 4 2 2 2" xfId="15945" xr:uid="{26EC810E-916C-4AC7-B79C-E1CCA2E7A944}"/>
    <cellStyle name="20% - Accent4 2 2 4 2 2 3" xfId="24380" xr:uid="{BBDD9512-0517-40FD-81EC-284A76671BE5}"/>
    <cellStyle name="20% - Accent4 2 2 4 2 3" xfId="11727" xr:uid="{36192B77-3405-4C4E-8E0C-1ECF657E0C0E}"/>
    <cellStyle name="20% - Accent4 2 2 4 2 4" xfId="20163" xr:uid="{325081F4-C9AC-4D67-A930-2DB142DA9E0D}"/>
    <cellStyle name="20% - Accent4 2 2 4 3" xfId="5358" xr:uid="{00000000-0005-0000-0000-0000FF010000}"/>
    <cellStyle name="20% - Accent4 2 2 4 3 2" xfId="13800" xr:uid="{FEB8093F-EF6E-46D8-8A38-2CF3E78E3505}"/>
    <cellStyle name="20% - Accent4 2 2 4 3 3" xfId="22235" xr:uid="{70B3CF34-A851-4A0A-8ACE-B69B583AB6E7}"/>
    <cellStyle name="20% - Accent4 2 2 4 4" xfId="9582" xr:uid="{88A3D7FF-C1D6-4C61-BAC7-82F1EC3A4D90}"/>
    <cellStyle name="20% - Accent4 2 2 4 5" xfId="18018" xr:uid="{50B61D16-6545-4C5C-862A-A0FBD386A54E}"/>
    <cellStyle name="20% - Accent4 2 2 5" xfId="1463" xr:uid="{00000000-0005-0000-0000-000000020000}"/>
    <cellStyle name="20% - Accent4 2 2 5 2" xfId="3693" xr:uid="{00000000-0005-0000-0000-000001020000}"/>
    <cellStyle name="20% - Accent4 2 2 5 2 2" xfId="7916" xr:uid="{00000000-0005-0000-0000-000002020000}"/>
    <cellStyle name="20% - Accent4 2 2 5 2 2 2" xfId="16358" xr:uid="{02510989-529E-4572-AA9A-3EB0972B5724}"/>
    <cellStyle name="20% - Accent4 2 2 5 2 2 3" xfId="24793" xr:uid="{1EDAFE3F-5385-414C-B9B7-891EBE29654E}"/>
    <cellStyle name="20% - Accent4 2 2 5 2 3" xfId="12140" xr:uid="{B52AC35E-4E0D-4DEA-8699-0415B836AFC9}"/>
    <cellStyle name="20% - Accent4 2 2 5 2 4" xfId="20576" xr:uid="{E18CA6D4-A243-4299-8B24-4503525E3382}"/>
    <cellStyle name="20% - Accent4 2 2 5 3" xfId="5771" xr:uid="{00000000-0005-0000-0000-000003020000}"/>
    <cellStyle name="20% - Accent4 2 2 5 3 2" xfId="14213" xr:uid="{41D167D6-1FA3-4703-A4AB-69D1BCAB68A8}"/>
    <cellStyle name="20% - Accent4 2 2 5 3 3" xfId="22648" xr:uid="{416488AB-1565-4EC3-BA2D-7AD6DEECA4E0}"/>
    <cellStyle name="20% - Accent4 2 2 5 4" xfId="9995" xr:uid="{CAD05981-6E5A-4E0F-9F01-9AFEB45EDFE9}"/>
    <cellStyle name="20% - Accent4 2 2 5 5" xfId="18431" xr:uid="{BCA45FDC-861E-47D4-8450-90A70AFBBECD}"/>
    <cellStyle name="20% - Accent4 2 2 6" xfId="1877" xr:uid="{00000000-0005-0000-0000-000004020000}"/>
    <cellStyle name="20% - Accent4 2 2 6 2" xfId="4106" xr:uid="{00000000-0005-0000-0000-000005020000}"/>
    <cellStyle name="20% - Accent4 2 2 6 2 2" xfId="8329" xr:uid="{00000000-0005-0000-0000-000006020000}"/>
    <cellStyle name="20% - Accent4 2 2 6 2 2 2" xfId="16771" xr:uid="{120C36F2-E177-45DD-A86A-89079551648D}"/>
    <cellStyle name="20% - Accent4 2 2 6 2 2 3" xfId="25206" xr:uid="{C0E7206D-0BBD-4A2C-905B-15C147366C3F}"/>
    <cellStyle name="20% - Accent4 2 2 6 2 3" xfId="12553" xr:uid="{0B637401-D470-4178-9DAA-E9F242DD8F62}"/>
    <cellStyle name="20% - Accent4 2 2 6 2 4" xfId="20989" xr:uid="{1E091C09-6825-469B-8155-2969AEEAD0C7}"/>
    <cellStyle name="20% - Accent4 2 2 6 3" xfId="6184" xr:uid="{00000000-0005-0000-0000-000007020000}"/>
    <cellStyle name="20% - Accent4 2 2 6 3 2" xfId="14626" xr:uid="{5B44E82F-45A2-49BD-AE1B-74EFA63D4120}"/>
    <cellStyle name="20% - Accent4 2 2 6 3 3" xfId="23061" xr:uid="{4DABFEEC-4DC5-4BE5-A605-129D55081BD9}"/>
    <cellStyle name="20% - Accent4 2 2 6 4" xfId="10408" xr:uid="{8E20EC1E-ED04-48B9-AE83-AF61E1479B5D}"/>
    <cellStyle name="20% - Accent4 2 2 6 5" xfId="18844" xr:uid="{F91B7448-4419-45ED-9460-E3E81EB2EDBB}"/>
    <cellStyle name="20% - Accent4 2 2 7" xfId="2290" xr:uid="{00000000-0005-0000-0000-000008020000}"/>
    <cellStyle name="20% - Accent4 2 2 7 2" xfId="6597" xr:uid="{00000000-0005-0000-0000-000009020000}"/>
    <cellStyle name="20% - Accent4 2 2 7 2 2" xfId="15039" xr:uid="{82657D10-BE53-404C-BE1D-4499F4466E3C}"/>
    <cellStyle name="20% - Accent4 2 2 7 2 3" xfId="23474" xr:uid="{2A808007-0E36-4A3F-98F7-801D414F1F3E}"/>
    <cellStyle name="20% - Accent4 2 2 7 3" xfId="10821" xr:uid="{200AFED5-5ACB-439B-9124-0C8B5FB78678}"/>
    <cellStyle name="20% - Accent4 2 2 7 4" xfId="19257" xr:uid="{3016D8BE-CAAF-4BB4-8DE1-69EF2126DF94}"/>
    <cellStyle name="20% - Accent4 2 2 8" xfId="4531" xr:uid="{00000000-0005-0000-0000-00000A020000}"/>
    <cellStyle name="20% - Accent4 2 2 8 2" xfId="12973" xr:uid="{F89DDCB3-4DB1-42B3-900C-75C1BB961FA3}"/>
    <cellStyle name="20% - Accent4 2 2 8 3" xfId="21408" xr:uid="{3790FEBD-49E1-4283-AB83-75483EC6BC40}"/>
    <cellStyle name="20% - Accent4 2 2 9" xfId="8755" xr:uid="{68F93BB3-8E92-4B18-9BF3-C3B052A928A1}"/>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2 2 2" xfId="15534" xr:uid="{08E26587-928F-4732-B8C8-28339F3F3399}"/>
    <cellStyle name="20% - Accent4 2 3 2 2 2 3" xfId="23969" xr:uid="{30EC8E00-E003-4843-9942-4911DBBB869A}"/>
    <cellStyle name="20% - Accent4 2 3 2 2 3" xfId="11316" xr:uid="{7239BB68-7CCE-4704-9B87-CE4CF91A89FB}"/>
    <cellStyle name="20% - Accent4 2 3 2 2 4" xfId="19752" xr:uid="{C03D8C5E-E18B-46E7-80D8-AE4DCDC1E1BB}"/>
    <cellStyle name="20% - Accent4 2 3 2 3" xfId="4947" xr:uid="{00000000-0005-0000-0000-00000F020000}"/>
    <cellStyle name="20% - Accent4 2 3 2 3 2" xfId="13389" xr:uid="{D63B9ECE-DD8B-44AC-929C-09EB191B461C}"/>
    <cellStyle name="20% - Accent4 2 3 2 3 3" xfId="21824" xr:uid="{34EDD963-EF46-4A59-95D2-7942DD0726B3}"/>
    <cellStyle name="20% - Accent4 2 3 2 4" xfId="9171" xr:uid="{9DAA5119-C063-4E38-B765-95BE4182ADFF}"/>
    <cellStyle name="20% - Accent4 2 3 2 5" xfId="17607" xr:uid="{2B314BE3-89C6-45F1-A8C1-A7058121E934}"/>
    <cellStyle name="20% - Accent4 2 3 3" xfId="1051" xr:uid="{00000000-0005-0000-0000-000010020000}"/>
    <cellStyle name="20% - Accent4 2 3 3 2" xfId="3282" xr:uid="{00000000-0005-0000-0000-000011020000}"/>
    <cellStyle name="20% - Accent4 2 3 3 2 2" xfId="7505" xr:uid="{00000000-0005-0000-0000-000012020000}"/>
    <cellStyle name="20% - Accent4 2 3 3 2 2 2" xfId="15947" xr:uid="{ED5F3841-AB61-4DC3-A11F-44A43F2EFCC9}"/>
    <cellStyle name="20% - Accent4 2 3 3 2 2 3" xfId="24382" xr:uid="{B0DB95EE-A90D-4C17-B9F9-20465EE58F39}"/>
    <cellStyle name="20% - Accent4 2 3 3 2 3" xfId="11729" xr:uid="{CB2F4084-D38A-48ED-8D02-F9C22CC9BA79}"/>
    <cellStyle name="20% - Accent4 2 3 3 2 4" xfId="20165" xr:uid="{54F871C9-4121-4A54-A948-15360734DE7A}"/>
    <cellStyle name="20% - Accent4 2 3 3 3" xfId="5360" xr:uid="{00000000-0005-0000-0000-000013020000}"/>
    <cellStyle name="20% - Accent4 2 3 3 3 2" xfId="13802" xr:uid="{14F44721-1555-4D5D-8559-24900FB3F5F9}"/>
    <cellStyle name="20% - Accent4 2 3 3 3 3" xfId="22237" xr:uid="{FB096642-9C3F-4CF1-9CF1-17DF526217C2}"/>
    <cellStyle name="20% - Accent4 2 3 3 4" xfId="9584" xr:uid="{94836159-F89A-4BE0-B5F0-CEC173E31DC8}"/>
    <cellStyle name="20% - Accent4 2 3 3 5" xfId="18020" xr:uid="{DA9F792B-F87E-4004-BAF1-D158F5364D50}"/>
    <cellStyle name="20% - Accent4 2 3 4" xfId="1465" xr:uid="{00000000-0005-0000-0000-000014020000}"/>
    <cellStyle name="20% - Accent4 2 3 4 2" xfId="3695" xr:uid="{00000000-0005-0000-0000-000015020000}"/>
    <cellStyle name="20% - Accent4 2 3 4 2 2" xfId="7918" xr:uid="{00000000-0005-0000-0000-000016020000}"/>
    <cellStyle name="20% - Accent4 2 3 4 2 2 2" xfId="16360" xr:uid="{738D0EF6-6C01-4459-8070-23A60DCD85AB}"/>
    <cellStyle name="20% - Accent4 2 3 4 2 2 3" xfId="24795" xr:uid="{1B147CB9-0D0F-4B82-A2D9-45CD68BA16FD}"/>
    <cellStyle name="20% - Accent4 2 3 4 2 3" xfId="12142" xr:uid="{836F01C4-2222-4D37-A604-0CD81A7454D1}"/>
    <cellStyle name="20% - Accent4 2 3 4 2 4" xfId="20578" xr:uid="{04E4A78C-9060-44EA-9A9C-84CFD807F503}"/>
    <cellStyle name="20% - Accent4 2 3 4 3" xfId="5773" xr:uid="{00000000-0005-0000-0000-000017020000}"/>
    <cellStyle name="20% - Accent4 2 3 4 3 2" xfId="14215" xr:uid="{F923648A-936C-4567-895F-F1221B295023}"/>
    <cellStyle name="20% - Accent4 2 3 4 3 3" xfId="22650" xr:uid="{ED6D1F30-BD22-486F-905E-2CD571E322FE}"/>
    <cellStyle name="20% - Accent4 2 3 4 4" xfId="9997" xr:uid="{C0318898-97B8-48A7-8636-76F1F31B37A4}"/>
    <cellStyle name="20% - Accent4 2 3 4 5" xfId="18433" xr:uid="{19D5226C-0940-4DAD-8325-C110C629CCB8}"/>
    <cellStyle name="20% - Accent4 2 3 5" xfId="1879" xr:uid="{00000000-0005-0000-0000-000018020000}"/>
    <cellStyle name="20% - Accent4 2 3 5 2" xfId="4108" xr:uid="{00000000-0005-0000-0000-000019020000}"/>
    <cellStyle name="20% - Accent4 2 3 5 2 2" xfId="8331" xr:uid="{00000000-0005-0000-0000-00001A020000}"/>
    <cellStyle name="20% - Accent4 2 3 5 2 2 2" xfId="16773" xr:uid="{FE4E5ACD-1A76-45D5-85FE-8DF60AF34C90}"/>
    <cellStyle name="20% - Accent4 2 3 5 2 2 3" xfId="25208" xr:uid="{4DD8DC82-596C-498A-8F0F-CB1FB5C27F68}"/>
    <cellStyle name="20% - Accent4 2 3 5 2 3" xfId="12555" xr:uid="{089C2577-92D3-45BB-9B2E-6522EF29EDE1}"/>
    <cellStyle name="20% - Accent4 2 3 5 2 4" xfId="20991" xr:uid="{875B0932-ACCB-4EA5-A7BA-2B1D572F5990}"/>
    <cellStyle name="20% - Accent4 2 3 5 3" xfId="6186" xr:uid="{00000000-0005-0000-0000-00001B020000}"/>
    <cellStyle name="20% - Accent4 2 3 5 3 2" xfId="14628" xr:uid="{9D6CAA6F-4120-4901-B383-04E3C40F7AD2}"/>
    <cellStyle name="20% - Accent4 2 3 5 3 3" xfId="23063" xr:uid="{428C1CDF-A6A3-476E-9DF8-A622C4AB9B97}"/>
    <cellStyle name="20% - Accent4 2 3 5 4" xfId="10410" xr:uid="{12F1FC5C-84F4-4991-9AFA-A147EDA09156}"/>
    <cellStyle name="20% - Accent4 2 3 5 5" xfId="18846" xr:uid="{1B38EC86-AB4A-43E8-83A5-1BA7EA14BC21}"/>
    <cellStyle name="20% - Accent4 2 3 6" xfId="2292" xr:uid="{00000000-0005-0000-0000-00001C020000}"/>
    <cellStyle name="20% - Accent4 2 3 6 2" xfId="6599" xr:uid="{00000000-0005-0000-0000-00001D020000}"/>
    <cellStyle name="20% - Accent4 2 3 6 2 2" xfId="15041" xr:uid="{BA2B1E3E-6FC5-4D68-B8FC-4EA2D5086BB3}"/>
    <cellStyle name="20% - Accent4 2 3 6 2 3" xfId="23476" xr:uid="{523AB547-5CEE-4867-AD72-5A1D6C12681E}"/>
    <cellStyle name="20% - Accent4 2 3 6 3" xfId="10823" xr:uid="{D0673033-E402-4E28-AE47-847023655689}"/>
    <cellStyle name="20% - Accent4 2 3 6 4" xfId="19259" xr:uid="{500ED332-4956-4B6A-A2FF-AF7AA2422090}"/>
    <cellStyle name="20% - Accent4 2 3 7" xfId="4533" xr:uid="{00000000-0005-0000-0000-00001E020000}"/>
    <cellStyle name="20% - Accent4 2 3 7 2" xfId="12975" xr:uid="{8C51D8E9-0A8F-48FA-B032-B01673E72CD6}"/>
    <cellStyle name="20% - Accent4 2 3 7 3" xfId="21410" xr:uid="{BFD63254-00CD-47D4-B6EF-637D786BF589}"/>
    <cellStyle name="20% - Accent4 2 3 8" xfId="8757" xr:uid="{EFAD2907-2EE2-4477-93EF-276CC8AC288A}"/>
    <cellStyle name="20% - Accent4 2 3 9" xfId="17193" xr:uid="{1639555A-9D0A-4637-8D80-D1D2A3FAAF55}"/>
    <cellStyle name="20% - Accent4 2 4" xfId="595" xr:uid="{00000000-0005-0000-0000-00001F020000}"/>
    <cellStyle name="20% - Accent4 2 4 2" xfId="2866" xr:uid="{00000000-0005-0000-0000-000020020000}"/>
    <cellStyle name="20% - Accent4 2 4 2 2" xfId="7089" xr:uid="{00000000-0005-0000-0000-000021020000}"/>
    <cellStyle name="20% - Accent4 2 4 2 2 2" xfId="15531" xr:uid="{B6C22FBC-AC65-41FB-A7BC-85697B818FD1}"/>
    <cellStyle name="20% - Accent4 2 4 2 2 3" xfId="23966" xr:uid="{7AE403B3-AD85-429A-9114-381BD15B777A}"/>
    <cellStyle name="20% - Accent4 2 4 2 3" xfId="11313" xr:uid="{2EB173BF-C164-455F-BC32-CB5805E478A1}"/>
    <cellStyle name="20% - Accent4 2 4 2 4" xfId="19749" xr:uid="{4A95B520-E707-452A-8BE4-C9E79D05CBEF}"/>
    <cellStyle name="20% - Accent4 2 4 3" xfId="4944" xr:uid="{00000000-0005-0000-0000-000022020000}"/>
    <cellStyle name="20% - Accent4 2 4 3 2" xfId="13386" xr:uid="{5EA55D19-405D-4E7F-B9FC-91274AEA7D5C}"/>
    <cellStyle name="20% - Accent4 2 4 3 3" xfId="21821" xr:uid="{166B7FC3-332F-402F-B08B-24CD6839E9B2}"/>
    <cellStyle name="20% - Accent4 2 4 4" xfId="9168" xr:uid="{6D6D2854-DC93-41BC-9EAA-A3853FEF7474}"/>
    <cellStyle name="20% - Accent4 2 4 5" xfId="17604" xr:uid="{4F5EAD08-3D2A-444E-9F44-F6095742A340}"/>
    <cellStyle name="20% - Accent4 2 5" xfId="1048" xr:uid="{00000000-0005-0000-0000-000023020000}"/>
    <cellStyle name="20% - Accent4 2 5 2" xfId="3279" xr:uid="{00000000-0005-0000-0000-000024020000}"/>
    <cellStyle name="20% - Accent4 2 5 2 2" xfId="7502" xr:uid="{00000000-0005-0000-0000-000025020000}"/>
    <cellStyle name="20% - Accent4 2 5 2 2 2" xfId="15944" xr:uid="{17656DEF-C018-452E-9AA7-9C569B2BD61C}"/>
    <cellStyle name="20% - Accent4 2 5 2 2 3" xfId="24379" xr:uid="{863E2C6E-9453-4A2E-82D4-1378B82EAC0C}"/>
    <cellStyle name="20% - Accent4 2 5 2 3" xfId="11726" xr:uid="{3067C4D3-981D-4D14-90EC-78069C9F86B1}"/>
    <cellStyle name="20% - Accent4 2 5 2 4" xfId="20162" xr:uid="{25E422D5-1EF7-4F01-BB32-266D5F9FA836}"/>
    <cellStyle name="20% - Accent4 2 5 3" xfId="5357" xr:uid="{00000000-0005-0000-0000-000026020000}"/>
    <cellStyle name="20% - Accent4 2 5 3 2" xfId="13799" xr:uid="{23E84442-6974-4B23-85AA-97F3D6CEED0E}"/>
    <cellStyle name="20% - Accent4 2 5 3 3" xfId="22234" xr:uid="{C3D8B8B1-2422-4A23-9259-2AF9BC537CAB}"/>
    <cellStyle name="20% - Accent4 2 5 4" xfId="9581" xr:uid="{9E93A429-2C68-4E13-AC86-8D3B5003EC9F}"/>
    <cellStyle name="20% - Accent4 2 5 5" xfId="18017" xr:uid="{915FE2E2-C281-4230-A5C6-7B71BF810A9E}"/>
    <cellStyle name="20% - Accent4 2 6" xfId="1462" xr:uid="{00000000-0005-0000-0000-000027020000}"/>
    <cellStyle name="20% - Accent4 2 6 2" xfId="3692" xr:uid="{00000000-0005-0000-0000-000028020000}"/>
    <cellStyle name="20% - Accent4 2 6 2 2" xfId="7915" xr:uid="{00000000-0005-0000-0000-000029020000}"/>
    <cellStyle name="20% - Accent4 2 6 2 2 2" xfId="16357" xr:uid="{3EAA9394-02AE-4029-AC63-F2E3C314643F}"/>
    <cellStyle name="20% - Accent4 2 6 2 2 3" xfId="24792" xr:uid="{59425791-9B93-4CD2-A8CC-7B9D96B90345}"/>
    <cellStyle name="20% - Accent4 2 6 2 3" xfId="12139" xr:uid="{AB1CD02B-3653-4D08-AFDF-4EBDC10378B7}"/>
    <cellStyle name="20% - Accent4 2 6 2 4" xfId="20575" xr:uid="{A34EF20F-86A2-4E21-BFD7-A625173BDF29}"/>
    <cellStyle name="20% - Accent4 2 6 3" xfId="5770" xr:uid="{00000000-0005-0000-0000-00002A020000}"/>
    <cellStyle name="20% - Accent4 2 6 3 2" xfId="14212" xr:uid="{7987C650-84EC-4DFC-B09D-4F375260A8EA}"/>
    <cellStyle name="20% - Accent4 2 6 3 3" xfId="22647" xr:uid="{AFADAFE3-449A-4463-BCEF-8B3267B0D42D}"/>
    <cellStyle name="20% - Accent4 2 6 4" xfId="9994" xr:uid="{6A7AA038-2A35-4B64-97FF-67353300DF0E}"/>
    <cellStyle name="20% - Accent4 2 6 5" xfId="18430" xr:uid="{B69A6BC4-7EB7-47E0-8E70-96B59929B62D}"/>
    <cellStyle name="20% - Accent4 2 7" xfId="1876" xr:uid="{00000000-0005-0000-0000-00002B020000}"/>
    <cellStyle name="20% - Accent4 2 7 2" xfId="4105" xr:uid="{00000000-0005-0000-0000-00002C020000}"/>
    <cellStyle name="20% - Accent4 2 7 2 2" xfId="8328" xr:uid="{00000000-0005-0000-0000-00002D020000}"/>
    <cellStyle name="20% - Accent4 2 7 2 2 2" xfId="16770" xr:uid="{D3EBFC52-7BDF-42E1-A7E9-BF5576BB954D}"/>
    <cellStyle name="20% - Accent4 2 7 2 2 3" xfId="25205" xr:uid="{28DFB0BD-FE4A-4B8B-9273-DF6B1AD0056A}"/>
    <cellStyle name="20% - Accent4 2 7 2 3" xfId="12552" xr:uid="{6E553BB4-ADAD-4D85-B4D2-A8FD2CA7BD48}"/>
    <cellStyle name="20% - Accent4 2 7 2 4" xfId="20988" xr:uid="{935F6302-E143-411D-A901-A6E6B3F1B11B}"/>
    <cellStyle name="20% - Accent4 2 7 3" xfId="6183" xr:uid="{00000000-0005-0000-0000-00002E020000}"/>
    <cellStyle name="20% - Accent4 2 7 3 2" xfId="14625" xr:uid="{00EC9124-F1B8-4306-BEE3-5B1CC25BE4FB}"/>
    <cellStyle name="20% - Accent4 2 7 3 3" xfId="23060" xr:uid="{B59E5077-CFC8-466D-8FFF-026E7BFDA6C8}"/>
    <cellStyle name="20% - Accent4 2 7 4" xfId="10407" xr:uid="{3B04FAFC-235E-4809-8210-0F10A6CA3FF0}"/>
    <cellStyle name="20% - Accent4 2 7 5" xfId="18843" xr:uid="{E62D3DDB-C6E1-4D63-96C7-D1772A2744F0}"/>
    <cellStyle name="20% - Accent4 2 8" xfId="2289" xr:uid="{00000000-0005-0000-0000-00002F020000}"/>
    <cellStyle name="20% - Accent4 2 8 2" xfId="6596" xr:uid="{00000000-0005-0000-0000-000030020000}"/>
    <cellStyle name="20% - Accent4 2 8 2 2" xfId="15038" xr:uid="{881099FF-04F2-47B3-8AF1-F8C80B48409B}"/>
    <cellStyle name="20% - Accent4 2 8 2 3" xfId="23473" xr:uid="{DB5A654F-F5F6-49A6-99B6-6F8B740DB78C}"/>
    <cellStyle name="20% - Accent4 2 8 3" xfId="10820" xr:uid="{B1665D7B-145D-4DFA-A0A5-5EA92FD989F2}"/>
    <cellStyle name="20% - Accent4 2 8 4" xfId="19256" xr:uid="{2207DD81-9637-40CC-B217-9876749C4B9C}"/>
    <cellStyle name="20% - Accent4 2 9" xfId="4530" xr:uid="{00000000-0005-0000-0000-000031020000}"/>
    <cellStyle name="20% - Accent4 2 9 2" xfId="12972" xr:uid="{8BE2FE06-88CE-49C2-B128-CF4D8F1FA231}"/>
    <cellStyle name="20% - Accent4 2 9 3" xfId="21407" xr:uid="{A09DEA0A-373A-4092-9676-18807123E4DF}"/>
    <cellStyle name="20% - Accent4 3" xfId="30" xr:uid="{00000000-0005-0000-0000-000032020000}"/>
    <cellStyle name="20% - Accent4 3 10" xfId="17194" xr:uid="{4B72D0AA-B091-4F88-BC5D-1E7451BCE87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2 2 2" xfId="15536" xr:uid="{F52461B4-B91E-4C8C-BE32-BF41B77A86F2}"/>
    <cellStyle name="20% - Accent4 3 2 2 2 2 3" xfId="23971" xr:uid="{4CEDF9E3-CBF8-44FD-873A-442560D6365D}"/>
    <cellStyle name="20% - Accent4 3 2 2 2 3" xfId="11318" xr:uid="{40C3C272-0A69-4B88-A5E9-270ACF9CEBA9}"/>
    <cellStyle name="20% - Accent4 3 2 2 2 4" xfId="19754" xr:uid="{DD6AEBCB-C304-4377-BF48-28987763C5F4}"/>
    <cellStyle name="20% - Accent4 3 2 2 3" xfId="4949" xr:uid="{00000000-0005-0000-0000-000037020000}"/>
    <cellStyle name="20% - Accent4 3 2 2 3 2" xfId="13391" xr:uid="{96C07FF9-7E7B-4904-8199-34BB58917C84}"/>
    <cellStyle name="20% - Accent4 3 2 2 3 3" xfId="21826" xr:uid="{6166F032-35A0-4ACC-9FAB-2723BB681212}"/>
    <cellStyle name="20% - Accent4 3 2 2 4" xfId="9173" xr:uid="{F9D992D2-87F2-4355-B268-F216845E425E}"/>
    <cellStyle name="20% - Accent4 3 2 2 5" xfId="17609" xr:uid="{B55E437B-4C81-4092-8C5D-C0369F08C6C5}"/>
    <cellStyle name="20% - Accent4 3 2 3" xfId="1053" xr:uid="{00000000-0005-0000-0000-000038020000}"/>
    <cellStyle name="20% - Accent4 3 2 3 2" xfId="3284" xr:uid="{00000000-0005-0000-0000-000039020000}"/>
    <cellStyle name="20% - Accent4 3 2 3 2 2" xfId="7507" xr:uid="{00000000-0005-0000-0000-00003A020000}"/>
    <cellStyle name="20% - Accent4 3 2 3 2 2 2" xfId="15949" xr:uid="{608B89F5-ECDB-4015-B3D6-A0253C77D3F4}"/>
    <cellStyle name="20% - Accent4 3 2 3 2 2 3" xfId="24384" xr:uid="{21DBE517-4094-4EC5-9D66-2A7707FFF3BF}"/>
    <cellStyle name="20% - Accent4 3 2 3 2 3" xfId="11731" xr:uid="{AFF621C4-8E54-4E06-9912-6AF3A9424990}"/>
    <cellStyle name="20% - Accent4 3 2 3 2 4" xfId="20167" xr:uid="{CCFDB183-DC44-4B97-85F9-EC29E9DB94F6}"/>
    <cellStyle name="20% - Accent4 3 2 3 3" xfId="5362" xr:uid="{00000000-0005-0000-0000-00003B020000}"/>
    <cellStyle name="20% - Accent4 3 2 3 3 2" xfId="13804" xr:uid="{821DCF4B-A0BF-4D69-BA96-4D643191A006}"/>
    <cellStyle name="20% - Accent4 3 2 3 3 3" xfId="22239" xr:uid="{C4959E32-4C63-4B47-8C2A-C570183CEE29}"/>
    <cellStyle name="20% - Accent4 3 2 3 4" xfId="9586" xr:uid="{8C41E5E9-33F8-4A6D-B18C-8CFC435A44BB}"/>
    <cellStyle name="20% - Accent4 3 2 3 5" xfId="18022" xr:uid="{F64EBB87-AA80-44FC-BCAB-15D87A60A3BE}"/>
    <cellStyle name="20% - Accent4 3 2 4" xfId="1467" xr:uid="{00000000-0005-0000-0000-00003C020000}"/>
    <cellStyle name="20% - Accent4 3 2 4 2" xfId="3697" xr:uid="{00000000-0005-0000-0000-00003D020000}"/>
    <cellStyle name="20% - Accent4 3 2 4 2 2" xfId="7920" xr:uid="{00000000-0005-0000-0000-00003E020000}"/>
    <cellStyle name="20% - Accent4 3 2 4 2 2 2" xfId="16362" xr:uid="{0C520D63-0576-47A7-B6C0-DE87ECB261D9}"/>
    <cellStyle name="20% - Accent4 3 2 4 2 2 3" xfId="24797" xr:uid="{19856584-CAED-48B0-B987-CED58AE39C3F}"/>
    <cellStyle name="20% - Accent4 3 2 4 2 3" xfId="12144" xr:uid="{7D096121-F7FD-40C2-AE21-A7487C10BDD0}"/>
    <cellStyle name="20% - Accent4 3 2 4 2 4" xfId="20580" xr:uid="{CEE604B9-5D11-4D1E-AC96-3EFC33CAEA62}"/>
    <cellStyle name="20% - Accent4 3 2 4 3" xfId="5775" xr:uid="{00000000-0005-0000-0000-00003F020000}"/>
    <cellStyle name="20% - Accent4 3 2 4 3 2" xfId="14217" xr:uid="{2D7CDCDA-CC8E-4450-8566-C4EC71718B83}"/>
    <cellStyle name="20% - Accent4 3 2 4 3 3" xfId="22652" xr:uid="{E1EC172C-C598-42FD-AE3B-86EBB48E3CD5}"/>
    <cellStyle name="20% - Accent4 3 2 4 4" xfId="9999" xr:uid="{78A2AA26-E948-4534-B093-5CC9D1D8C5E1}"/>
    <cellStyle name="20% - Accent4 3 2 4 5" xfId="18435" xr:uid="{BAF7BF43-DE3F-49CC-BCD3-3A140DE3D339}"/>
    <cellStyle name="20% - Accent4 3 2 5" xfId="1881" xr:uid="{00000000-0005-0000-0000-000040020000}"/>
    <cellStyle name="20% - Accent4 3 2 5 2" xfId="4110" xr:uid="{00000000-0005-0000-0000-000041020000}"/>
    <cellStyle name="20% - Accent4 3 2 5 2 2" xfId="8333" xr:uid="{00000000-0005-0000-0000-000042020000}"/>
    <cellStyle name="20% - Accent4 3 2 5 2 2 2" xfId="16775" xr:uid="{1A73AD8D-D1B1-4FDE-ABC1-7E1DCC0FE620}"/>
    <cellStyle name="20% - Accent4 3 2 5 2 2 3" xfId="25210" xr:uid="{56507FC7-8449-4EC5-AC63-A703E4A15CDD}"/>
    <cellStyle name="20% - Accent4 3 2 5 2 3" xfId="12557" xr:uid="{EF20B5E0-946A-4BE8-981F-A59A6D392CB3}"/>
    <cellStyle name="20% - Accent4 3 2 5 2 4" xfId="20993" xr:uid="{FFAF0001-0F7B-4724-9E19-863E20A1BE1D}"/>
    <cellStyle name="20% - Accent4 3 2 5 3" xfId="6188" xr:uid="{00000000-0005-0000-0000-000043020000}"/>
    <cellStyle name="20% - Accent4 3 2 5 3 2" xfId="14630" xr:uid="{0392193F-D48A-46FB-9262-45F8DC3178B1}"/>
    <cellStyle name="20% - Accent4 3 2 5 3 3" xfId="23065" xr:uid="{A6AB14A7-B5EF-4305-ABB5-6388F407F102}"/>
    <cellStyle name="20% - Accent4 3 2 5 4" xfId="10412" xr:uid="{970EB811-2F05-45DF-9F05-EDE0C15E4DA3}"/>
    <cellStyle name="20% - Accent4 3 2 5 5" xfId="18848" xr:uid="{FA769059-3026-4FAB-8B63-C87170A9363F}"/>
    <cellStyle name="20% - Accent4 3 2 6" xfId="2294" xr:uid="{00000000-0005-0000-0000-000044020000}"/>
    <cellStyle name="20% - Accent4 3 2 6 2" xfId="6601" xr:uid="{00000000-0005-0000-0000-000045020000}"/>
    <cellStyle name="20% - Accent4 3 2 6 2 2" xfId="15043" xr:uid="{F9F39B45-6DF0-417D-9BFD-037EC5910EE3}"/>
    <cellStyle name="20% - Accent4 3 2 6 2 3" xfId="23478" xr:uid="{C8B8F20E-4892-4BDC-8810-450FDFEC4789}"/>
    <cellStyle name="20% - Accent4 3 2 6 3" xfId="10825" xr:uid="{61EE701D-9420-47D1-B003-63C28188D914}"/>
    <cellStyle name="20% - Accent4 3 2 6 4" xfId="19261" xr:uid="{64AEA649-6725-4849-B761-D98A89B2C007}"/>
    <cellStyle name="20% - Accent4 3 2 7" xfId="4535" xr:uid="{00000000-0005-0000-0000-000046020000}"/>
    <cellStyle name="20% - Accent4 3 2 7 2" xfId="12977" xr:uid="{36EB22E0-711E-4D41-BFB6-3335C748DB8C}"/>
    <cellStyle name="20% - Accent4 3 2 7 3" xfId="21412" xr:uid="{6F670A18-79EB-4964-A9D6-9B6516F617F6}"/>
    <cellStyle name="20% - Accent4 3 2 8" xfId="8759" xr:uid="{D726BA00-456A-48EE-B795-99E23B9BB4CC}"/>
    <cellStyle name="20% - Accent4 3 2 9" xfId="17195" xr:uid="{9937DB10-4EF4-4785-ADEB-1F9D61AF2167}"/>
    <cellStyle name="20% - Accent4 3 3" xfId="599" xr:uid="{00000000-0005-0000-0000-000047020000}"/>
    <cellStyle name="20% - Accent4 3 3 2" xfId="2870" xr:uid="{00000000-0005-0000-0000-000048020000}"/>
    <cellStyle name="20% - Accent4 3 3 2 2" xfId="7093" xr:uid="{00000000-0005-0000-0000-000049020000}"/>
    <cellStyle name="20% - Accent4 3 3 2 2 2" xfId="15535" xr:uid="{74060B51-C8DE-4380-B4BD-10FAE841C57F}"/>
    <cellStyle name="20% - Accent4 3 3 2 2 3" xfId="23970" xr:uid="{F3CB6734-B29C-46EF-BF6E-DAAB88A7F6C2}"/>
    <cellStyle name="20% - Accent4 3 3 2 3" xfId="11317" xr:uid="{1B1D9E28-6717-433B-9FED-2A1F468C02D6}"/>
    <cellStyle name="20% - Accent4 3 3 2 4" xfId="19753" xr:uid="{EDD29A85-68D2-4FE4-9F8B-BBB4EB139BF5}"/>
    <cellStyle name="20% - Accent4 3 3 3" xfId="4948" xr:uid="{00000000-0005-0000-0000-00004A020000}"/>
    <cellStyle name="20% - Accent4 3 3 3 2" xfId="13390" xr:uid="{1AD6881A-AA3A-424B-A687-A755786FB923}"/>
    <cellStyle name="20% - Accent4 3 3 3 3" xfId="21825" xr:uid="{F9122D7B-1EAB-438E-8CEC-43BB922C307B}"/>
    <cellStyle name="20% - Accent4 3 3 4" xfId="9172" xr:uid="{6953D2C1-6273-43A7-92DA-36319DCDD61D}"/>
    <cellStyle name="20% - Accent4 3 3 5" xfId="17608" xr:uid="{C5F03539-E3B4-4057-91F0-9B343AC85D2C}"/>
    <cellStyle name="20% - Accent4 3 4" xfId="1052" xr:uid="{00000000-0005-0000-0000-00004B020000}"/>
    <cellStyle name="20% - Accent4 3 4 2" xfId="3283" xr:uid="{00000000-0005-0000-0000-00004C020000}"/>
    <cellStyle name="20% - Accent4 3 4 2 2" xfId="7506" xr:uid="{00000000-0005-0000-0000-00004D020000}"/>
    <cellStyle name="20% - Accent4 3 4 2 2 2" xfId="15948" xr:uid="{EBC98C12-E1D6-4423-9B14-FD3D7B62A620}"/>
    <cellStyle name="20% - Accent4 3 4 2 2 3" xfId="24383" xr:uid="{AB6C8155-B705-4A9D-B00B-1DB256A35A56}"/>
    <cellStyle name="20% - Accent4 3 4 2 3" xfId="11730" xr:uid="{F032E07B-7076-474D-9934-9047E0ECA6AF}"/>
    <cellStyle name="20% - Accent4 3 4 2 4" xfId="20166" xr:uid="{F5AEC5C2-C816-466D-9231-65DDEAE32FD4}"/>
    <cellStyle name="20% - Accent4 3 4 3" xfId="5361" xr:uid="{00000000-0005-0000-0000-00004E020000}"/>
    <cellStyle name="20% - Accent4 3 4 3 2" xfId="13803" xr:uid="{DC9830C9-85FF-41DC-BCAF-F33922C0DFB0}"/>
    <cellStyle name="20% - Accent4 3 4 3 3" xfId="22238" xr:uid="{CBB60353-500E-473C-ABB3-4ECD7F00E2DC}"/>
    <cellStyle name="20% - Accent4 3 4 4" xfId="9585" xr:uid="{C5875851-BE1A-4066-9BA9-CF7E668EBBF4}"/>
    <cellStyle name="20% - Accent4 3 4 5" xfId="18021" xr:uid="{16BC7C59-1116-4140-92F1-E97A87FD9B42}"/>
    <cellStyle name="20% - Accent4 3 5" xfId="1466" xr:uid="{00000000-0005-0000-0000-00004F020000}"/>
    <cellStyle name="20% - Accent4 3 5 2" xfId="3696" xr:uid="{00000000-0005-0000-0000-000050020000}"/>
    <cellStyle name="20% - Accent4 3 5 2 2" xfId="7919" xr:uid="{00000000-0005-0000-0000-000051020000}"/>
    <cellStyle name="20% - Accent4 3 5 2 2 2" xfId="16361" xr:uid="{81AA74A8-1EA5-4681-8754-5AA0EC303AEC}"/>
    <cellStyle name="20% - Accent4 3 5 2 2 3" xfId="24796" xr:uid="{DD0FFD2C-3471-464D-86EF-5C8F6CCAEB1D}"/>
    <cellStyle name="20% - Accent4 3 5 2 3" xfId="12143" xr:uid="{64A2BA6B-2151-4F30-93C6-91AF0009107C}"/>
    <cellStyle name="20% - Accent4 3 5 2 4" xfId="20579" xr:uid="{AD96A86B-AA4A-4F47-AEE2-E701AE764D49}"/>
    <cellStyle name="20% - Accent4 3 5 3" xfId="5774" xr:uid="{00000000-0005-0000-0000-000052020000}"/>
    <cellStyle name="20% - Accent4 3 5 3 2" xfId="14216" xr:uid="{33CB80A7-3157-4B97-AA36-C00C46D29EE2}"/>
    <cellStyle name="20% - Accent4 3 5 3 3" xfId="22651" xr:uid="{FFE4340A-D2ED-4C41-A00F-C49C390BCF11}"/>
    <cellStyle name="20% - Accent4 3 5 4" xfId="9998" xr:uid="{866C803F-411F-46E9-AB06-65E5D18974C8}"/>
    <cellStyle name="20% - Accent4 3 5 5" xfId="18434" xr:uid="{4EBFF629-86BF-4352-9D59-43F5DB11AD70}"/>
    <cellStyle name="20% - Accent4 3 6" xfId="1880" xr:uid="{00000000-0005-0000-0000-000053020000}"/>
    <cellStyle name="20% - Accent4 3 6 2" xfId="4109" xr:uid="{00000000-0005-0000-0000-000054020000}"/>
    <cellStyle name="20% - Accent4 3 6 2 2" xfId="8332" xr:uid="{00000000-0005-0000-0000-000055020000}"/>
    <cellStyle name="20% - Accent4 3 6 2 2 2" xfId="16774" xr:uid="{AC31780A-CAC1-445B-83FE-F2AE9E5E3AED}"/>
    <cellStyle name="20% - Accent4 3 6 2 2 3" xfId="25209" xr:uid="{260E60CB-466D-46A2-9FAA-92BA1E40EEC5}"/>
    <cellStyle name="20% - Accent4 3 6 2 3" xfId="12556" xr:uid="{8FB2628F-6DC3-481D-B80C-38BAA15C818D}"/>
    <cellStyle name="20% - Accent4 3 6 2 4" xfId="20992" xr:uid="{11ABF62C-21AC-4B85-AA1E-AB63BD89B856}"/>
    <cellStyle name="20% - Accent4 3 6 3" xfId="6187" xr:uid="{00000000-0005-0000-0000-000056020000}"/>
    <cellStyle name="20% - Accent4 3 6 3 2" xfId="14629" xr:uid="{CA6EA90A-AF58-4539-B550-80A337AE6861}"/>
    <cellStyle name="20% - Accent4 3 6 3 3" xfId="23064" xr:uid="{CD8DBB3B-9C14-4E41-A4D5-693DC74CC53D}"/>
    <cellStyle name="20% - Accent4 3 6 4" xfId="10411" xr:uid="{8DB49C4A-576B-4E41-8EBE-15B3290135D2}"/>
    <cellStyle name="20% - Accent4 3 6 5" xfId="18847" xr:uid="{9336EDCF-1E40-429E-9EC8-E2BC9C8A6BDC}"/>
    <cellStyle name="20% - Accent4 3 7" xfId="2293" xr:uid="{00000000-0005-0000-0000-000057020000}"/>
    <cellStyle name="20% - Accent4 3 7 2" xfId="6600" xr:uid="{00000000-0005-0000-0000-000058020000}"/>
    <cellStyle name="20% - Accent4 3 7 2 2" xfId="15042" xr:uid="{3EF594E8-C0C2-4B91-9921-4AFC99DE3671}"/>
    <cellStyle name="20% - Accent4 3 7 2 3" xfId="23477" xr:uid="{D5F838F3-800E-4841-8C29-EDD728FB4444}"/>
    <cellStyle name="20% - Accent4 3 7 3" xfId="10824" xr:uid="{348942AF-3C95-4717-9F10-33EE7858F2FB}"/>
    <cellStyle name="20% - Accent4 3 7 4" xfId="19260" xr:uid="{01AFEA45-3B12-4DDE-9D89-550CDE55AFD9}"/>
    <cellStyle name="20% - Accent4 3 8" xfId="4534" xr:uid="{00000000-0005-0000-0000-000059020000}"/>
    <cellStyle name="20% - Accent4 3 8 2" xfId="12976" xr:uid="{AEFC2A7E-61A8-4B83-BEE6-41A6AC23026E}"/>
    <cellStyle name="20% - Accent4 3 8 3" xfId="21411" xr:uid="{0C6E89DB-CE44-4F62-B6A2-256B0B5818BA}"/>
    <cellStyle name="20% - Accent4 3 9" xfId="8758" xr:uid="{A1310007-7813-43F9-B5B0-053E3E12D9BA}"/>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2 2 2" xfId="15537" xr:uid="{C4D5DF30-4BD2-41AA-8A36-4EF14377A271}"/>
    <cellStyle name="20% - Accent4 4 2 2 2 3" xfId="23972" xr:uid="{D02E1850-DAB8-4D2F-B634-69A3A0B53650}"/>
    <cellStyle name="20% - Accent4 4 2 2 3" xfId="11319" xr:uid="{5ECA266F-2247-4F46-9E48-0AFD26B8AD92}"/>
    <cellStyle name="20% - Accent4 4 2 2 4" xfId="19755" xr:uid="{6E87056A-3E88-4152-A85F-B7B0F5D59619}"/>
    <cellStyle name="20% - Accent4 4 2 3" xfId="4950" xr:uid="{00000000-0005-0000-0000-00005E020000}"/>
    <cellStyle name="20% - Accent4 4 2 3 2" xfId="13392" xr:uid="{0EF08550-A6C0-478F-8BAA-F142462E9AC5}"/>
    <cellStyle name="20% - Accent4 4 2 3 3" xfId="21827" xr:uid="{A3F59836-3E11-4BCA-A5A3-F7B7958F7CB8}"/>
    <cellStyle name="20% - Accent4 4 2 4" xfId="9174" xr:uid="{3B5D2AB6-5B69-4ABC-9EDF-87D12C2D0ABE}"/>
    <cellStyle name="20% - Accent4 4 2 5" xfId="17610" xr:uid="{1A6CFE0E-C20F-498B-9612-3A91CEB0ED85}"/>
    <cellStyle name="20% - Accent4 4 3" xfId="1054" xr:uid="{00000000-0005-0000-0000-00005F020000}"/>
    <cellStyle name="20% - Accent4 4 3 2" xfId="3285" xr:uid="{00000000-0005-0000-0000-000060020000}"/>
    <cellStyle name="20% - Accent4 4 3 2 2" xfId="7508" xr:uid="{00000000-0005-0000-0000-000061020000}"/>
    <cellStyle name="20% - Accent4 4 3 2 2 2" xfId="15950" xr:uid="{7B11606C-AB31-4C44-9F91-8CCA43367D38}"/>
    <cellStyle name="20% - Accent4 4 3 2 2 3" xfId="24385" xr:uid="{600300F7-5EFD-4EFD-B62D-DE7F3D094538}"/>
    <cellStyle name="20% - Accent4 4 3 2 3" xfId="11732" xr:uid="{CF2C479F-3E04-4AEB-A506-D39F97C08C93}"/>
    <cellStyle name="20% - Accent4 4 3 2 4" xfId="20168" xr:uid="{A8C8C1FB-4C0A-4C6A-B1BC-0EF6667D5ECB}"/>
    <cellStyle name="20% - Accent4 4 3 3" xfId="5363" xr:uid="{00000000-0005-0000-0000-000062020000}"/>
    <cellStyle name="20% - Accent4 4 3 3 2" xfId="13805" xr:uid="{313AD87F-A9DB-4473-9A55-57D24E766492}"/>
    <cellStyle name="20% - Accent4 4 3 3 3" xfId="22240" xr:uid="{28F30263-A054-4159-9098-1DBC5E983CCF}"/>
    <cellStyle name="20% - Accent4 4 3 4" xfId="9587" xr:uid="{94679C23-6282-44BF-9E15-F30A6DFB2275}"/>
    <cellStyle name="20% - Accent4 4 3 5" xfId="18023" xr:uid="{CEAE9FAB-F647-4F27-8290-FC1FB2AE7210}"/>
    <cellStyle name="20% - Accent4 4 4" xfId="1468" xr:uid="{00000000-0005-0000-0000-000063020000}"/>
    <cellStyle name="20% - Accent4 4 4 2" xfId="3698" xr:uid="{00000000-0005-0000-0000-000064020000}"/>
    <cellStyle name="20% - Accent4 4 4 2 2" xfId="7921" xr:uid="{00000000-0005-0000-0000-000065020000}"/>
    <cellStyle name="20% - Accent4 4 4 2 2 2" xfId="16363" xr:uid="{D647AD77-D431-46DD-8C53-4CE1008CD649}"/>
    <cellStyle name="20% - Accent4 4 4 2 2 3" xfId="24798" xr:uid="{33B6C7C8-BC49-48E2-99E7-6D575532DAB6}"/>
    <cellStyle name="20% - Accent4 4 4 2 3" xfId="12145" xr:uid="{0F677253-79A6-4ED8-872A-5662B915A795}"/>
    <cellStyle name="20% - Accent4 4 4 2 4" xfId="20581" xr:uid="{CBED2DF3-477F-48AA-BCEF-1B813ECD03A2}"/>
    <cellStyle name="20% - Accent4 4 4 3" xfId="5776" xr:uid="{00000000-0005-0000-0000-000066020000}"/>
    <cellStyle name="20% - Accent4 4 4 3 2" xfId="14218" xr:uid="{B60D9A08-417B-4938-BF16-9F0F20AFCFE9}"/>
    <cellStyle name="20% - Accent4 4 4 3 3" xfId="22653" xr:uid="{916DAD1D-1FDC-4627-B265-6974CC183963}"/>
    <cellStyle name="20% - Accent4 4 4 4" xfId="10000" xr:uid="{0B186381-EF59-412B-ADD3-4E42D9C2F3FF}"/>
    <cellStyle name="20% - Accent4 4 4 5" xfId="18436" xr:uid="{2BAD251C-D7B8-4918-868F-B19CA2858F17}"/>
    <cellStyle name="20% - Accent4 4 5" xfId="1882" xr:uid="{00000000-0005-0000-0000-000067020000}"/>
    <cellStyle name="20% - Accent4 4 5 2" xfId="4111" xr:uid="{00000000-0005-0000-0000-000068020000}"/>
    <cellStyle name="20% - Accent4 4 5 2 2" xfId="8334" xr:uid="{00000000-0005-0000-0000-000069020000}"/>
    <cellStyle name="20% - Accent4 4 5 2 2 2" xfId="16776" xr:uid="{D1A93E23-5DB6-4FAC-AA0A-EF5B9227E004}"/>
    <cellStyle name="20% - Accent4 4 5 2 2 3" xfId="25211" xr:uid="{128ABDB3-3E0D-4C8D-A777-6EB8F2B3607E}"/>
    <cellStyle name="20% - Accent4 4 5 2 3" xfId="12558" xr:uid="{E26709A9-5625-4D43-81EB-D0CADE06C515}"/>
    <cellStyle name="20% - Accent4 4 5 2 4" xfId="20994" xr:uid="{F0DE4666-4BC4-491F-B044-34854445F11D}"/>
    <cellStyle name="20% - Accent4 4 5 3" xfId="6189" xr:uid="{00000000-0005-0000-0000-00006A020000}"/>
    <cellStyle name="20% - Accent4 4 5 3 2" xfId="14631" xr:uid="{D1908555-214E-4640-ADF9-513321F07A6B}"/>
    <cellStyle name="20% - Accent4 4 5 3 3" xfId="23066" xr:uid="{29A4E228-54A4-46A6-81F8-990EF0007E9E}"/>
    <cellStyle name="20% - Accent4 4 5 4" xfId="10413" xr:uid="{A8A7A42F-7F98-430A-AF55-EDA50934C50D}"/>
    <cellStyle name="20% - Accent4 4 5 5" xfId="18849" xr:uid="{916D4ACD-004B-46DA-BAB8-5B22A1D65F11}"/>
    <cellStyle name="20% - Accent4 4 6" xfId="2295" xr:uid="{00000000-0005-0000-0000-00006B020000}"/>
    <cellStyle name="20% - Accent4 4 6 2" xfId="6602" xr:uid="{00000000-0005-0000-0000-00006C020000}"/>
    <cellStyle name="20% - Accent4 4 6 2 2" xfId="15044" xr:uid="{2EFFCD6D-3E9E-468A-A34A-E55980C6440F}"/>
    <cellStyle name="20% - Accent4 4 6 2 3" xfId="23479" xr:uid="{826726E0-AB80-4262-A713-82A1D8F27615}"/>
    <cellStyle name="20% - Accent4 4 6 3" xfId="10826" xr:uid="{0C7BFC25-B301-4BB6-B8BD-02A87E53C924}"/>
    <cellStyle name="20% - Accent4 4 6 4" xfId="19262" xr:uid="{8416C6FB-5A25-4343-BBE0-7C4AE546F232}"/>
    <cellStyle name="20% - Accent4 4 7" xfId="4536" xr:uid="{00000000-0005-0000-0000-00006D020000}"/>
    <cellStyle name="20% - Accent4 4 7 2" xfId="12978" xr:uid="{6EC78886-1EE9-4519-944E-56440920FD60}"/>
    <cellStyle name="20% - Accent4 4 7 3" xfId="21413" xr:uid="{6448210E-0B64-40F1-A577-F7A86412A145}"/>
    <cellStyle name="20% - Accent4 4 8" xfId="8760" xr:uid="{728F81DA-A94A-43B1-8F01-EF3894AD8602}"/>
    <cellStyle name="20% - Accent4 4 9" xfId="17196" xr:uid="{FCEA85A8-7930-4A47-8F18-5543F44ED62B}"/>
    <cellStyle name="20% - Accent4 5" xfId="594" xr:uid="{00000000-0005-0000-0000-00006E020000}"/>
    <cellStyle name="20% - Accent4 5 2" xfId="2865" xr:uid="{00000000-0005-0000-0000-00006F020000}"/>
    <cellStyle name="20% - Accent4 5 2 2" xfId="7088" xr:uid="{00000000-0005-0000-0000-000070020000}"/>
    <cellStyle name="20% - Accent4 5 2 2 2" xfId="15530" xr:uid="{0A278706-2BC8-4427-91F1-2A5D8F0E3DCD}"/>
    <cellStyle name="20% - Accent4 5 2 2 3" xfId="23965" xr:uid="{FDDDA830-575B-4232-8EEC-5F9799D84BB9}"/>
    <cellStyle name="20% - Accent4 5 2 3" xfId="11312" xr:uid="{B211A49D-01F6-4BD9-8DD7-E664C81DA74B}"/>
    <cellStyle name="20% - Accent4 5 2 4" xfId="19748" xr:uid="{025B1677-A59A-4FE0-8E80-609E2F8CFA35}"/>
    <cellStyle name="20% - Accent4 5 3" xfId="4943" xr:uid="{00000000-0005-0000-0000-000071020000}"/>
    <cellStyle name="20% - Accent4 5 3 2" xfId="13385" xr:uid="{05B29FB4-9D63-4996-9320-6076F5F089E2}"/>
    <cellStyle name="20% - Accent4 5 3 3" xfId="21820" xr:uid="{BDC5628B-972D-4F9F-95AA-354C60CD3DA8}"/>
    <cellStyle name="20% - Accent4 5 4" xfId="9167" xr:uid="{9AD93521-B328-453B-8799-16F52200DD0E}"/>
    <cellStyle name="20% - Accent4 5 5" xfId="17603" xr:uid="{2D5DE2C6-9685-4CEB-B64F-854409769BD5}"/>
    <cellStyle name="20% - Accent4 6" xfId="1047" xr:uid="{00000000-0005-0000-0000-000072020000}"/>
    <cellStyle name="20% - Accent4 6 2" xfId="3278" xr:uid="{00000000-0005-0000-0000-000073020000}"/>
    <cellStyle name="20% - Accent4 6 2 2" xfId="7501" xr:uid="{00000000-0005-0000-0000-000074020000}"/>
    <cellStyle name="20% - Accent4 6 2 2 2" xfId="15943" xr:uid="{BF534665-DA63-4988-BD7A-F47E63196B99}"/>
    <cellStyle name="20% - Accent4 6 2 2 3" xfId="24378" xr:uid="{51B71F54-448C-4065-A40E-5D594EFD215D}"/>
    <cellStyle name="20% - Accent4 6 2 3" xfId="11725" xr:uid="{F90C7088-68BB-4610-9FBD-B6DCDA91160A}"/>
    <cellStyle name="20% - Accent4 6 2 4" xfId="20161" xr:uid="{B940C15E-25EA-4E65-BBF6-03C6AFD9EE4C}"/>
    <cellStyle name="20% - Accent4 6 3" xfId="5356" xr:uid="{00000000-0005-0000-0000-000075020000}"/>
    <cellStyle name="20% - Accent4 6 3 2" xfId="13798" xr:uid="{E01B52F3-FBC0-47D4-9B6E-C204FB272680}"/>
    <cellStyle name="20% - Accent4 6 3 3" xfId="22233" xr:uid="{AFB8A616-1255-4DA9-A92F-9DA34B54AF3F}"/>
    <cellStyle name="20% - Accent4 6 4" xfId="9580" xr:uid="{092A63F4-5871-4557-921B-9DCD54358864}"/>
    <cellStyle name="20% - Accent4 6 5" xfId="18016" xr:uid="{F6A3AA27-6BE1-487E-ABF2-E8953C4A4A1A}"/>
    <cellStyle name="20% - Accent4 7" xfId="1461" xr:uid="{00000000-0005-0000-0000-000076020000}"/>
    <cellStyle name="20% - Accent4 7 2" xfId="3691" xr:uid="{00000000-0005-0000-0000-000077020000}"/>
    <cellStyle name="20% - Accent4 7 2 2" xfId="7914" xr:uid="{00000000-0005-0000-0000-000078020000}"/>
    <cellStyle name="20% - Accent4 7 2 2 2" xfId="16356" xr:uid="{1B078339-D602-4AD7-81B6-EB48412794C7}"/>
    <cellStyle name="20% - Accent4 7 2 2 3" xfId="24791" xr:uid="{A04116F0-8A66-4822-8AFC-563F3F718B1E}"/>
    <cellStyle name="20% - Accent4 7 2 3" xfId="12138" xr:uid="{315642C1-7C9B-461B-964D-EF4E206BA4D6}"/>
    <cellStyle name="20% - Accent4 7 2 4" xfId="20574" xr:uid="{1FFF152D-5E2C-4A7F-A567-619CDF25AF9B}"/>
    <cellStyle name="20% - Accent4 7 3" xfId="5769" xr:uid="{00000000-0005-0000-0000-000079020000}"/>
    <cellStyle name="20% - Accent4 7 3 2" xfId="14211" xr:uid="{BE4EC95B-E4B0-4ED8-998D-A5E78C34C1C5}"/>
    <cellStyle name="20% - Accent4 7 3 3" xfId="22646" xr:uid="{36B01A92-0EBF-48DC-9F0C-C53A6517EF92}"/>
    <cellStyle name="20% - Accent4 7 4" xfId="9993" xr:uid="{D2ED3C8B-CBB9-4741-BCF8-845C7514A848}"/>
    <cellStyle name="20% - Accent4 7 5" xfId="18429" xr:uid="{31FBE586-9BA1-423C-BD2D-8D67E65225CA}"/>
    <cellStyle name="20% - Accent4 8" xfId="1875" xr:uid="{00000000-0005-0000-0000-00007A020000}"/>
    <cellStyle name="20% - Accent4 8 2" xfId="4104" xr:uid="{00000000-0005-0000-0000-00007B020000}"/>
    <cellStyle name="20% - Accent4 8 2 2" xfId="8327" xr:uid="{00000000-0005-0000-0000-00007C020000}"/>
    <cellStyle name="20% - Accent4 8 2 2 2" xfId="16769" xr:uid="{0DD98875-36FB-4DB0-9545-EE32DEAA53AB}"/>
    <cellStyle name="20% - Accent4 8 2 2 3" xfId="25204" xr:uid="{CBA1EF1F-8D69-425D-B4AA-ECF77CE38EB0}"/>
    <cellStyle name="20% - Accent4 8 2 3" xfId="12551" xr:uid="{9A9D1D36-71D6-4359-92A5-4CE9C294D4F9}"/>
    <cellStyle name="20% - Accent4 8 2 4" xfId="20987" xr:uid="{E76AAD7F-0169-41E2-8F1C-1B9BF045C586}"/>
    <cellStyle name="20% - Accent4 8 3" xfId="6182" xr:uid="{00000000-0005-0000-0000-00007D020000}"/>
    <cellStyle name="20% - Accent4 8 3 2" xfId="14624" xr:uid="{9AB074E4-73E7-4020-8A9B-6F627804161B}"/>
    <cellStyle name="20% - Accent4 8 3 3" xfId="23059" xr:uid="{FFF3EC57-7533-4DB2-BD03-8A20EFDAD25D}"/>
    <cellStyle name="20% - Accent4 8 4" xfId="10406" xr:uid="{4C9A3969-EA3A-46C4-B0C6-B8E4E4234394}"/>
    <cellStyle name="20% - Accent4 8 5" xfId="18842" xr:uid="{4948BE1F-C23D-4218-BE49-B746EBFFD53E}"/>
    <cellStyle name="20% - Accent4 9" xfId="2288" xr:uid="{00000000-0005-0000-0000-00007E020000}"/>
    <cellStyle name="20% - Accent4 9 2" xfId="6595" xr:uid="{00000000-0005-0000-0000-00007F020000}"/>
    <cellStyle name="20% - Accent4 9 2 2" xfId="15037" xr:uid="{D9303FB7-C7F6-45A5-A6AD-9C921FB913E8}"/>
    <cellStyle name="20% - Accent4 9 2 3" xfId="23472" xr:uid="{A837A548-119A-45E4-A1A4-3429C3EA62E9}"/>
    <cellStyle name="20% - Accent4 9 3" xfId="10819" xr:uid="{2FBAFC15-BF51-4A2D-87CE-1F9BA9E6EFC5}"/>
    <cellStyle name="20% - Accent4 9 4" xfId="19255" xr:uid="{78B74802-8A88-4E2C-A9B6-1764B2E972CB}"/>
    <cellStyle name="20% - Accent5" xfId="33" builtinId="46" customBuiltin="1"/>
    <cellStyle name="20% - Accent5 10" xfId="4537" xr:uid="{00000000-0005-0000-0000-000081020000}"/>
    <cellStyle name="20% - Accent5 10 2" xfId="12979" xr:uid="{47ED6A89-9B38-45B6-8739-2FA18D415D5C}"/>
    <cellStyle name="20% - Accent5 10 3" xfId="21414" xr:uid="{A53B4E8D-41A3-4B06-A92C-E6DAA8CB0394}"/>
    <cellStyle name="20% - Accent5 11" xfId="8761" xr:uid="{B4669C94-6B85-44C0-9125-0987BB03F409}"/>
    <cellStyle name="20% - Accent5 12" xfId="17197" xr:uid="{817A4E63-742B-4253-999D-FABA230EC5F6}"/>
    <cellStyle name="20% - Accent5 2" xfId="34" xr:uid="{00000000-0005-0000-0000-000082020000}"/>
    <cellStyle name="20% - Accent5 2 10" xfId="8762" xr:uid="{CDEE2E47-18B6-436C-AEDC-75A8FD713781}"/>
    <cellStyle name="20% - Accent5 2 11" xfId="17198" xr:uid="{DD2F9B42-CCB2-4D3A-99DD-C42CC845DE32}"/>
    <cellStyle name="20% - Accent5 2 2" xfId="35" xr:uid="{00000000-0005-0000-0000-000083020000}"/>
    <cellStyle name="20% - Accent5 2 2 10" xfId="17199" xr:uid="{702905C0-FCE8-4CF6-8C5B-A2E3930DE003}"/>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2 2 2" xfId="15541" xr:uid="{76ACF458-9B6D-498A-BEE4-D63E9C6846FC}"/>
    <cellStyle name="20% - Accent5 2 2 2 2 2 2 3" xfId="23976" xr:uid="{7C195BE1-75CD-47BE-9554-47BC7754BC1C}"/>
    <cellStyle name="20% - Accent5 2 2 2 2 2 3" xfId="11323" xr:uid="{A6D6C6EB-BA30-4996-A3F2-7FEDB7DAF57F}"/>
    <cellStyle name="20% - Accent5 2 2 2 2 2 4" xfId="19759" xr:uid="{6CEEE982-BA3B-4AA5-9D03-2FA64800576C}"/>
    <cellStyle name="20% - Accent5 2 2 2 2 3" xfId="4954" xr:uid="{00000000-0005-0000-0000-000088020000}"/>
    <cellStyle name="20% - Accent5 2 2 2 2 3 2" xfId="13396" xr:uid="{351532AC-3F84-44EB-8291-387475D599D1}"/>
    <cellStyle name="20% - Accent5 2 2 2 2 3 3" xfId="21831" xr:uid="{FAD685B8-FB7D-4C93-874A-1A4D5113AE49}"/>
    <cellStyle name="20% - Accent5 2 2 2 2 4" xfId="9178" xr:uid="{DE5762F8-48E9-4D9A-A6DA-A471366B2F4E}"/>
    <cellStyle name="20% - Accent5 2 2 2 2 5" xfId="17614" xr:uid="{89F4FEB6-C9FE-4B0D-B152-41091D6D211E}"/>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2 2 2" xfId="15954" xr:uid="{A11A892C-32DA-4EAE-87E5-000D2839CA20}"/>
    <cellStyle name="20% - Accent5 2 2 2 3 2 2 3" xfId="24389" xr:uid="{FB9AF578-9B02-4C30-B8DA-245FDDD76BE4}"/>
    <cellStyle name="20% - Accent5 2 2 2 3 2 3" xfId="11736" xr:uid="{14E7C89A-6034-4F80-94C2-CAC0579A46BF}"/>
    <cellStyle name="20% - Accent5 2 2 2 3 2 4" xfId="20172" xr:uid="{F71B18B6-5FBB-4131-85A2-5287F61980D1}"/>
    <cellStyle name="20% - Accent5 2 2 2 3 3" xfId="5367" xr:uid="{00000000-0005-0000-0000-00008C020000}"/>
    <cellStyle name="20% - Accent5 2 2 2 3 3 2" xfId="13809" xr:uid="{3A671E90-BD31-48D8-8814-6E0AB5EFD3A6}"/>
    <cellStyle name="20% - Accent5 2 2 2 3 3 3" xfId="22244" xr:uid="{EA28B048-5766-4DB9-B83A-9DADCA3A5E5C}"/>
    <cellStyle name="20% - Accent5 2 2 2 3 4" xfId="9591" xr:uid="{6BEE30A8-83A4-4EE4-91A8-6E700518332C}"/>
    <cellStyle name="20% - Accent5 2 2 2 3 5" xfId="18027" xr:uid="{33D0647E-12D4-4A9F-98D0-E98A0F56914A}"/>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2 2 2" xfId="16367" xr:uid="{7EBC6697-EE98-43D3-9D8F-742A4F09E393}"/>
    <cellStyle name="20% - Accent5 2 2 2 4 2 2 3" xfId="24802" xr:uid="{5792341C-F9A6-4BD2-A90D-5C141F479A29}"/>
    <cellStyle name="20% - Accent5 2 2 2 4 2 3" xfId="12149" xr:uid="{3406C62E-EDA9-45CE-B0D9-46CA2A5D4D3B}"/>
    <cellStyle name="20% - Accent5 2 2 2 4 2 4" xfId="20585" xr:uid="{AED9DA62-A3D2-4B93-B4C6-47A53DDF8E2C}"/>
    <cellStyle name="20% - Accent5 2 2 2 4 3" xfId="5780" xr:uid="{00000000-0005-0000-0000-000090020000}"/>
    <cellStyle name="20% - Accent5 2 2 2 4 3 2" xfId="14222" xr:uid="{6B6BC2A4-FE9D-47AC-8EE4-302090A9581B}"/>
    <cellStyle name="20% - Accent5 2 2 2 4 3 3" xfId="22657" xr:uid="{D2912C92-164F-4A57-A245-A2BD43D59E90}"/>
    <cellStyle name="20% - Accent5 2 2 2 4 4" xfId="10004" xr:uid="{A68BBCE9-81BF-4E25-A6CA-9E82569905A5}"/>
    <cellStyle name="20% - Accent5 2 2 2 4 5" xfId="18440" xr:uid="{F492FAB7-7EB4-4353-B81F-55D8CDDD531F}"/>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2 2 2" xfId="16780" xr:uid="{1D19EEDF-66CB-4CFF-800B-172AEC1FF4F1}"/>
    <cellStyle name="20% - Accent5 2 2 2 5 2 2 3" xfId="25215" xr:uid="{A07D6369-9E98-490E-A52C-37146E5A210F}"/>
    <cellStyle name="20% - Accent5 2 2 2 5 2 3" xfId="12562" xr:uid="{D161AE43-B972-43C0-BBB4-DF6898175178}"/>
    <cellStyle name="20% - Accent5 2 2 2 5 2 4" xfId="20998" xr:uid="{B4FA08B2-2BEE-40D1-B4FB-F9DB91524301}"/>
    <cellStyle name="20% - Accent5 2 2 2 5 3" xfId="6193" xr:uid="{00000000-0005-0000-0000-000094020000}"/>
    <cellStyle name="20% - Accent5 2 2 2 5 3 2" xfId="14635" xr:uid="{757DA4D8-D06B-4A46-BA7B-4E4E6E188DFC}"/>
    <cellStyle name="20% - Accent5 2 2 2 5 3 3" xfId="23070" xr:uid="{F9108944-E9BE-4487-861E-F606C502AC9D}"/>
    <cellStyle name="20% - Accent5 2 2 2 5 4" xfId="10417" xr:uid="{471C8451-4706-4476-B3D9-BC8A917F8EEC}"/>
    <cellStyle name="20% - Accent5 2 2 2 5 5" xfId="18853" xr:uid="{EAC4ED15-45FB-4884-BC8A-D8858723F3AF}"/>
    <cellStyle name="20% - Accent5 2 2 2 6" xfId="2299" xr:uid="{00000000-0005-0000-0000-000095020000}"/>
    <cellStyle name="20% - Accent5 2 2 2 6 2" xfId="6606" xr:uid="{00000000-0005-0000-0000-000096020000}"/>
    <cellStyle name="20% - Accent5 2 2 2 6 2 2" xfId="15048" xr:uid="{F1A40A72-3B8F-4787-9576-5671939770C7}"/>
    <cellStyle name="20% - Accent5 2 2 2 6 2 3" xfId="23483" xr:uid="{E515EDDD-BE78-4A04-9099-657C5CA0E7AF}"/>
    <cellStyle name="20% - Accent5 2 2 2 6 3" xfId="10830" xr:uid="{6E380460-9412-4AD6-ADED-7D916FED30B0}"/>
    <cellStyle name="20% - Accent5 2 2 2 6 4" xfId="19266" xr:uid="{B06A8A9F-D707-4D44-8208-ECC499F07009}"/>
    <cellStyle name="20% - Accent5 2 2 2 7" xfId="4540" xr:uid="{00000000-0005-0000-0000-000097020000}"/>
    <cellStyle name="20% - Accent5 2 2 2 7 2" xfId="12982" xr:uid="{30DD8151-51A8-4825-9E55-178B3F0066CD}"/>
    <cellStyle name="20% - Accent5 2 2 2 7 3" xfId="21417" xr:uid="{1B8707CF-5231-447E-9595-27DA7F02766E}"/>
    <cellStyle name="20% - Accent5 2 2 2 8" xfId="8764" xr:uid="{42112248-4934-4D3E-93E6-2C9388F194D5}"/>
    <cellStyle name="20% - Accent5 2 2 2 9" xfId="17200" xr:uid="{99B08135-508F-490C-842A-C43ACBE08A0A}"/>
    <cellStyle name="20% - Accent5 2 2 3" xfId="604" xr:uid="{00000000-0005-0000-0000-000098020000}"/>
    <cellStyle name="20% - Accent5 2 2 3 2" xfId="2875" xr:uid="{00000000-0005-0000-0000-000099020000}"/>
    <cellStyle name="20% - Accent5 2 2 3 2 2" xfId="7098" xr:uid="{00000000-0005-0000-0000-00009A020000}"/>
    <cellStyle name="20% - Accent5 2 2 3 2 2 2" xfId="15540" xr:uid="{D0B991B6-C3C9-406F-9DA4-DFEC2EEF0368}"/>
    <cellStyle name="20% - Accent5 2 2 3 2 2 3" xfId="23975" xr:uid="{8063E79B-96A5-49D3-B750-2702C1D5AEE1}"/>
    <cellStyle name="20% - Accent5 2 2 3 2 3" xfId="11322" xr:uid="{5C41D8AA-176F-4AA9-B732-2315B2298961}"/>
    <cellStyle name="20% - Accent5 2 2 3 2 4" xfId="19758" xr:uid="{FBF7EB01-A369-4A6F-B63B-6D294EE92239}"/>
    <cellStyle name="20% - Accent5 2 2 3 3" xfId="4953" xr:uid="{00000000-0005-0000-0000-00009B020000}"/>
    <cellStyle name="20% - Accent5 2 2 3 3 2" xfId="13395" xr:uid="{1A1B3ECC-E79A-41B7-917D-F40B93FC3CC4}"/>
    <cellStyle name="20% - Accent5 2 2 3 3 3" xfId="21830" xr:uid="{782C2FFE-3756-470B-9879-31906B8D948E}"/>
    <cellStyle name="20% - Accent5 2 2 3 4" xfId="9177" xr:uid="{E02EA335-9B81-4132-A04A-EEF4E346EAE2}"/>
    <cellStyle name="20% - Accent5 2 2 3 5" xfId="17613" xr:uid="{511B07C0-9B04-49FB-9803-AD3CCB113564}"/>
    <cellStyle name="20% - Accent5 2 2 4" xfId="1057" xr:uid="{00000000-0005-0000-0000-00009C020000}"/>
    <cellStyle name="20% - Accent5 2 2 4 2" xfId="3288" xr:uid="{00000000-0005-0000-0000-00009D020000}"/>
    <cellStyle name="20% - Accent5 2 2 4 2 2" xfId="7511" xr:uid="{00000000-0005-0000-0000-00009E020000}"/>
    <cellStyle name="20% - Accent5 2 2 4 2 2 2" xfId="15953" xr:uid="{3419347D-EBF9-4ABE-ABC6-957FB43F3B2F}"/>
    <cellStyle name="20% - Accent5 2 2 4 2 2 3" xfId="24388" xr:uid="{82B51C56-85E0-4A9E-9E3E-40799905B424}"/>
    <cellStyle name="20% - Accent5 2 2 4 2 3" xfId="11735" xr:uid="{9EA151B5-83F7-4723-B570-4A2E79146CE4}"/>
    <cellStyle name="20% - Accent5 2 2 4 2 4" xfId="20171" xr:uid="{DD527B7F-7E04-45BD-B54C-ABCED3D2B399}"/>
    <cellStyle name="20% - Accent5 2 2 4 3" xfId="5366" xr:uid="{00000000-0005-0000-0000-00009F020000}"/>
    <cellStyle name="20% - Accent5 2 2 4 3 2" xfId="13808" xr:uid="{07791236-DA31-4F1A-B613-232A043BB827}"/>
    <cellStyle name="20% - Accent5 2 2 4 3 3" xfId="22243" xr:uid="{2359F45F-7A4A-4CCE-B426-8DC0D25C272B}"/>
    <cellStyle name="20% - Accent5 2 2 4 4" xfId="9590" xr:uid="{D7FC1B7F-9FEF-42B5-A816-6010618024BD}"/>
    <cellStyle name="20% - Accent5 2 2 4 5" xfId="18026" xr:uid="{FD30E68C-5DE8-40E8-BC56-E55520C5BB63}"/>
    <cellStyle name="20% - Accent5 2 2 5" xfId="1471" xr:uid="{00000000-0005-0000-0000-0000A0020000}"/>
    <cellStyle name="20% - Accent5 2 2 5 2" xfId="3701" xr:uid="{00000000-0005-0000-0000-0000A1020000}"/>
    <cellStyle name="20% - Accent5 2 2 5 2 2" xfId="7924" xr:uid="{00000000-0005-0000-0000-0000A2020000}"/>
    <cellStyle name="20% - Accent5 2 2 5 2 2 2" xfId="16366" xr:uid="{687FC712-CF03-45B1-88B2-E2C8582E08F8}"/>
    <cellStyle name="20% - Accent5 2 2 5 2 2 3" xfId="24801" xr:uid="{F756E406-306F-4D86-83E9-D4EFC92F7026}"/>
    <cellStyle name="20% - Accent5 2 2 5 2 3" xfId="12148" xr:uid="{960E1784-A212-4802-9B91-D8FDFCA124CA}"/>
    <cellStyle name="20% - Accent5 2 2 5 2 4" xfId="20584" xr:uid="{1E49D2BB-E44F-4B6A-A54A-F6543710437D}"/>
    <cellStyle name="20% - Accent5 2 2 5 3" xfId="5779" xr:uid="{00000000-0005-0000-0000-0000A3020000}"/>
    <cellStyle name="20% - Accent5 2 2 5 3 2" xfId="14221" xr:uid="{722B2253-5384-4D98-B1AC-21443E587336}"/>
    <cellStyle name="20% - Accent5 2 2 5 3 3" xfId="22656" xr:uid="{1A6CE33B-3F64-41AC-B28A-DFE0363BE08B}"/>
    <cellStyle name="20% - Accent5 2 2 5 4" xfId="10003" xr:uid="{92B5FCC1-6589-4408-ACD6-B21D5890B62D}"/>
    <cellStyle name="20% - Accent5 2 2 5 5" xfId="18439" xr:uid="{67C80DDE-9229-4BCB-BC1C-36851D17C6CD}"/>
    <cellStyle name="20% - Accent5 2 2 6" xfId="1885" xr:uid="{00000000-0005-0000-0000-0000A4020000}"/>
    <cellStyle name="20% - Accent5 2 2 6 2" xfId="4114" xr:uid="{00000000-0005-0000-0000-0000A5020000}"/>
    <cellStyle name="20% - Accent5 2 2 6 2 2" xfId="8337" xr:uid="{00000000-0005-0000-0000-0000A6020000}"/>
    <cellStyle name="20% - Accent5 2 2 6 2 2 2" xfId="16779" xr:uid="{F7452B00-3B6F-4BA8-9A66-819B93C5FB6E}"/>
    <cellStyle name="20% - Accent5 2 2 6 2 2 3" xfId="25214" xr:uid="{0AF69CAB-CD6A-47CC-8417-3A347F04D3C4}"/>
    <cellStyle name="20% - Accent5 2 2 6 2 3" xfId="12561" xr:uid="{0E1D7F2D-DBFD-4BBF-9F46-70EEFEA03EBA}"/>
    <cellStyle name="20% - Accent5 2 2 6 2 4" xfId="20997" xr:uid="{ED743F87-CFC3-49AD-8B00-70C2D13319ED}"/>
    <cellStyle name="20% - Accent5 2 2 6 3" xfId="6192" xr:uid="{00000000-0005-0000-0000-0000A7020000}"/>
    <cellStyle name="20% - Accent5 2 2 6 3 2" xfId="14634" xr:uid="{957ED59B-3CCB-49D1-BBF7-318045630C30}"/>
    <cellStyle name="20% - Accent5 2 2 6 3 3" xfId="23069" xr:uid="{9B88535B-5017-4F45-BA86-3C46851C4336}"/>
    <cellStyle name="20% - Accent5 2 2 6 4" xfId="10416" xr:uid="{A1E579CB-C084-4AA8-9D91-1492F26341DA}"/>
    <cellStyle name="20% - Accent5 2 2 6 5" xfId="18852" xr:uid="{8AF79F3E-88C3-42EF-9977-67728B8E4169}"/>
    <cellStyle name="20% - Accent5 2 2 7" xfId="2298" xr:uid="{00000000-0005-0000-0000-0000A8020000}"/>
    <cellStyle name="20% - Accent5 2 2 7 2" xfId="6605" xr:uid="{00000000-0005-0000-0000-0000A9020000}"/>
    <cellStyle name="20% - Accent5 2 2 7 2 2" xfId="15047" xr:uid="{7E26E7B8-4B9F-4D08-8CB8-D285AEAD508A}"/>
    <cellStyle name="20% - Accent5 2 2 7 2 3" xfId="23482" xr:uid="{5385A409-7342-4903-A82D-B1A15F8CB755}"/>
    <cellStyle name="20% - Accent5 2 2 7 3" xfId="10829" xr:uid="{820147EA-3305-4F4D-8A7B-E021ACDC3613}"/>
    <cellStyle name="20% - Accent5 2 2 7 4" xfId="19265" xr:uid="{36E9F3AD-1922-4B24-B298-946DA2867B44}"/>
    <cellStyle name="20% - Accent5 2 2 8" xfId="4539" xr:uid="{00000000-0005-0000-0000-0000AA020000}"/>
    <cellStyle name="20% - Accent5 2 2 8 2" xfId="12981" xr:uid="{E40A031D-1688-4560-8230-197D461405F9}"/>
    <cellStyle name="20% - Accent5 2 2 8 3" xfId="21416" xr:uid="{8B431B3E-E374-4020-A82B-76F4A38C38EB}"/>
    <cellStyle name="20% - Accent5 2 2 9" xfId="8763" xr:uid="{80820603-0E18-4A87-AA12-B2D301F95991}"/>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2 2 2" xfId="15542" xr:uid="{3B26DB0A-EE7E-4193-A039-A7072AE1CFB1}"/>
    <cellStyle name="20% - Accent5 2 3 2 2 2 3" xfId="23977" xr:uid="{2AA79235-3E4E-463E-ABC1-3D5E7551B215}"/>
    <cellStyle name="20% - Accent5 2 3 2 2 3" xfId="11324" xr:uid="{5264C5C1-1C27-47B6-BB8B-C1259B3EA293}"/>
    <cellStyle name="20% - Accent5 2 3 2 2 4" xfId="19760" xr:uid="{46EAE02B-3034-4FE2-AFBB-EE6B7B01B961}"/>
    <cellStyle name="20% - Accent5 2 3 2 3" xfId="4955" xr:uid="{00000000-0005-0000-0000-0000AF020000}"/>
    <cellStyle name="20% - Accent5 2 3 2 3 2" xfId="13397" xr:uid="{1301C73E-2C5D-4286-B9D4-2BB1675BD340}"/>
    <cellStyle name="20% - Accent5 2 3 2 3 3" xfId="21832" xr:uid="{DA97227C-3CC1-4DB5-A1AB-6B4A13A8D9A1}"/>
    <cellStyle name="20% - Accent5 2 3 2 4" xfId="9179" xr:uid="{CE86A591-E52E-46FF-A9A3-7AAEC945B179}"/>
    <cellStyle name="20% - Accent5 2 3 2 5" xfId="17615" xr:uid="{BF2C787A-C538-4E0A-BD60-B440537B7D38}"/>
    <cellStyle name="20% - Accent5 2 3 3" xfId="1059" xr:uid="{00000000-0005-0000-0000-0000B0020000}"/>
    <cellStyle name="20% - Accent5 2 3 3 2" xfId="3290" xr:uid="{00000000-0005-0000-0000-0000B1020000}"/>
    <cellStyle name="20% - Accent5 2 3 3 2 2" xfId="7513" xr:uid="{00000000-0005-0000-0000-0000B2020000}"/>
    <cellStyle name="20% - Accent5 2 3 3 2 2 2" xfId="15955" xr:uid="{C83A734E-1BC8-4DC1-8E98-9665C0A530B4}"/>
    <cellStyle name="20% - Accent5 2 3 3 2 2 3" xfId="24390" xr:uid="{6CCCE8F4-5287-4B2C-BCAF-80D97427A880}"/>
    <cellStyle name="20% - Accent5 2 3 3 2 3" xfId="11737" xr:uid="{D5DCBD5B-BCF4-478B-8621-FAEDAF790D89}"/>
    <cellStyle name="20% - Accent5 2 3 3 2 4" xfId="20173" xr:uid="{C3AAC140-E2FD-4037-B794-6EE69CF066CA}"/>
    <cellStyle name="20% - Accent5 2 3 3 3" xfId="5368" xr:uid="{00000000-0005-0000-0000-0000B3020000}"/>
    <cellStyle name="20% - Accent5 2 3 3 3 2" xfId="13810" xr:uid="{44E5B2C8-8F49-4437-B02C-1E8A4880D4E9}"/>
    <cellStyle name="20% - Accent5 2 3 3 3 3" xfId="22245" xr:uid="{DE4CC836-409D-49DD-97AA-D9605FE0D2B3}"/>
    <cellStyle name="20% - Accent5 2 3 3 4" xfId="9592" xr:uid="{99BB9988-2DE0-4640-BE12-95B9281A6C53}"/>
    <cellStyle name="20% - Accent5 2 3 3 5" xfId="18028" xr:uid="{51D14CA8-2B1D-446F-85B7-D8A9AE2D761D}"/>
    <cellStyle name="20% - Accent5 2 3 4" xfId="1473" xr:uid="{00000000-0005-0000-0000-0000B4020000}"/>
    <cellStyle name="20% - Accent5 2 3 4 2" xfId="3703" xr:uid="{00000000-0005-0000-0000-0000B5020000}"/>
    <cellStyle name="20% - Accent5 2 3 4 2 2" xfId="7926" xr:uid="{00000000-0005-0000-0000-0000B6020000}"/>
    <cellStyle name="20% - Accent5 2 3 4 2 2 2" xfId="16368" xr:uid="{2977C699-E015-4C6E-B577-C9004B54ED89}"/>
    <cellStyle name="20% - Accent5 2 3 4 2 2 3" xfId="24803" xr:uid="{09CF787B-FFE4-4D51-860F-972E65259C58}"/>
    <cellStyle name="20% - Accent5 2 3 4 2 3" xfId="12150" xr:uid="{0500F6DB-8E21-47E4-859D-937049A86408}"/>
    <cellStyle name="20% - Accent5 2 3 4 2 4" xfId="20586" xr:uid="{1AFDE318-6269-45D7-8A44-F621326761C6}"/>
    <cellStyle name="20% - Accent5 2 3 4 3" xfId="5781" xr:uid="{00000000-0005-0000-0000-0000B7020000}"/>
    <cellStyle name="20% - Accent5 2 3 4 3 2" xfId="14223" xr:uid="{85A5ADB8-E75A-4C3F-8B3A-3D9DD41FEBEF}"/>
    <cellStyle name="20% - Accent5 2 3 4 3 3" xfId="22658" xr:uid="{521851E7-00BC-4E17-9A20-FB4E3F227C4A}"/>
    <cellStyle name="20% - Accent5 2 3 4 4" xfId="10005" xr:uid="{ED22E10F-4994-4B0A-9F15-285954304CD7}"/>
    <cellStyle name="20% - Accent5 2 3 4 5" xfId="18441" xr:uid="{443FF6E1-C357-47A6-B840-06DCAA258E2B}"/>
    <cellStyle name="20% - Accent5 2 3 5" xfId="1887" xr:uid="{00000000-0005-0000-0000-0000B8020000}"/>
    <cellStyle name="20% - Accent5 2 3 5 2" xfId="4116" xr:uid="{00000000-0005-0000-0000-0000B9020000}"/>
    <cellStyle name="20% - Accent5 2 3 5 2 2" xfId="8339" xr:uid="{00000000-0005-0000-0000-0000BA020000}"/>
    <cellStyle name="20% - Accent5 2 3 5 2 2 2" xfId="16781" xr:uid="{BF88B5C1-C8B4-4079-8847-E03F7F5D4121}"/>
    <cellStyle name="20% - Accent5 2 3 5 2 2 3" xfId="25216" xr:uid="{8CEA9D1A-CD9F-4F73-BCB7-4FBC88BF65D3}"/>
    <cellStyle name="20% - Accent5 2 3 5 2 3" xfId="12563" xr:uid="{979C29E0-2BCC-4EB5-9F48-135A961DF5AB}"/>
    <cellStyle name="20% - Accent5 2 3 5 2 4" xfId="20999" xr:uid="{C02EE7DD-186B-4773-973F-0167C2FF7ABA}"/>
    <cellStyle name="20% - Accent5 2 3 5 3" xfId="6194" xr:uid="{00000000-0005-0000-0000-0000BB020000}"/>
    <cellStyle name="20% - Accent5 2 3 5 3 2" xfId="14636" xr:uid="{E2808E19-B2DA-4AD4-9F08-7EF88CA01F59}"/>
    <cellStyle name="20% - Accent5 2 3 5 3 3" xfId="23071" xr:uid="{8B517567-3606-4102-A3D3-30B3A9A12270}"/>
    <cellStyle name="20% - Accent5 2 3 5 4" xfId="10418" xr:uid="{B077E4D4-E2FB-4B9E-8FD8-ABA8E74AF956}"/>
    <cellStyle name="20% - Accent5 2 3 5 5" xfId="18854" xr:uid="{12CAA4AE-E00C-446D-9F7D-D6BC3EE96312}"/>
    <cellStyle name="20% - Accent5 2 3 6" xfId="2300" xr:uid="{00000000-0005-0000-0000-0000BC020000}"/>
    <cellStyle name="20% - Accent5 2 3 6 2" xfId="6607" xr:uid="{00000000-0005-0000-0000-0000BD020000}"/>
    <cellStyle name="20% - Accent5 2 3 6 2 2" xfId="15049" xr:uid="{1ED967A3-32A6-4354-8BFB-D3B3F48D2114}"/>
    <cellStyle name="20% - Accent5 2 3 6 2 3" xfId="23484" xr:uid="{59F91953-E936-49C1-91CF-0828EC71B4CF}"/>
    <cellStyle name="20% - Accent5 2 3 6 3" xfId="10831" xr:uid="{69A6936F-9C09-4086-B3C2-65ACF1F3D58C}"/>
    <cellStyle name="20% - Accent5 2 3 6 4" xfId="19267" xr:uid="{045DDD97-CC56-435C-9AB6-E2204FED735D}"/>
    <cellStyle name="20% - Accent5 2 3 7" xfId="4541" xr:uid="{00000000-0005-0000-0000-0000BE020000}"/>
    <cellStyle name="20% - Accent5 2 3 7 2" xfId="12983" xr:uid="{49498824-679C-4F58-BF21-AFB9362294FC}"/>
    <cellStyle name="20% - Accent5 2 3 7 3" xfId="21418" xr:uid="{3EC35576-56BE-484B-A099-589EAB13DADA}"/>
    <cellStyle name="20% - Accent5 2 3 8" xfId="8765" xr:uid="{B2CC58E0-E515-4F7D-90F5-20795A92962D}"/>
    <cellStyle name="20% - Accent5 2 3 9" xfId="17201" xr:uid="{AAA55D56-3E1F-445B-8F2E-92D555ACC7E4}"/>
    <cellStyle name="20% - Accent5 2 4" xfId="603" xr:uid="{00000000-0005-0000-0000-0000BF020000}"/>
    <cellStyle name="20% - Accent5 2 4 2" xfId="2874" xr:uid="{00000000-0005-0000-0000-0000C0020000}"/>
    <cellStyle name="20% - Accent5 2 4 2 2" xfId="7097" xr:uid="{00000000-0005-0000-0000-0000C1020000}"/>
    <cellStyle name="20% - Accent5 2 4 2 2 2" xfId="15539" xr:uid="{E9B63186-F263-40EA-B1C0-8C6C5E21FA42}"/>
    <cellStyle name="20% - Accent5 2 4 2 2 3" xfId="23974" xr:uid="{C8076EDE-4137-4DE3-83F2-6B61F9400F97}"/>
    <cellStyle name="20% - Accent5 2 4 2 3" xfId="11321" xr:uid="{76C3CA1C-8570-43C4-9891-E5973DA2BC9F}"/>
    <cellStyle name="20% - Accent5 2 4 2 4" xfId="19757" xr:uid="{2DE85C90-29C6-4B0C-BE0A-3CD769A5A539}"/>
    <cellStyle name="20% - Accent5 2 4 3" xfId="4952" xr:uid="{00000000-0005-0000-0000-0000C2020000}"/>
    <cellStyle name="20% - Accent5 2 4 3 2" xfId="13394" xr:uid="{D78079D6-C7CC-4DB0-B664-FC3E4C74CB60}"/>
    <cellStyle name="20% - Accent5 2 4 3 3" xfId="21829" xr:uid="{73C00062-C55F-4580-9ABA-AAAA4BB7EE38}"/>
    <cellStyle name="20% - Accent5 2 4 4" xfId="9176" xr:uid="{B498C234-7232-47BA-A931-78AEDB8F9DAC}"/>
    <cellStyle name="20% - Accent5 2 4 5" xfId="17612" xr:uid="{BBF15548-B102-461A-BA19-69F648331FA8}"/>
    <cellStyle name="20% - Accent5 2 5" xfId="1056" xr:uid="{00000000-0005-0000-0000-0000C3020000}"/>
    <cellStyle name="20% - Accent5 2 5 2" xfId="3287" xr:uid="{00000000-0005-0000-0000-0000C4020000}"/>
    <cellStyle name="20% - Accent5 2 5 2 2" xfId="7510" xr:uid="{00000000-0005-0000-0000-0000C5020000}"/>
    <cellStyle name="20% - Accent5 2 5 2 2 2" xfId="15952" xr:uid="{D1563734-BF8C-46F9-8FD8-C0F6526D22F3}"/>
    <cellStyle name="20% - Accent5 2 5 2 2 3" xfId="24387" xr:uid="{68E096F9-D576-4863-85CD-4ED5BFD2798D}"/>
    <cellStyle name="20% - Accent5 2 5 2 3" xfId="11734" xr:uid="{E24DC7E7-ED76-4497-819D-85AFBC2F113F}"/>
    <cellStyle name="20% - Accent5 2 5 2 4" xfId="20170" xr:uid="{2E9ACBEF-E6B2-47BC-AF32-92A5B8D8A884}"/>
    <cellStyle name="20% - Accent5 2 5 3" xfId="5365" xr:uid="{00000000-0005-0000-0000-0000C6020000}"/>
    <cellStyle name="20% - Accent5 2 5 3 2" xfId="13807" xr:uid="{54995622-6113-4FC3-98D4-72CD544F6D49}"/>
    <cellStyle name="20% - Accent5 2 5 3 3" xfId="22242" xr:uid="{25BCC8E6-9966-4E8B-AC1F-90FE6FC152E2}"/>
    <cellStyle name="20% - Accent5 2 5 4" xfId="9589" xr:uid="{4F0A1AFE-36CE-4AFD-8F8C-BE33C8153092}"/>
    <cellStyle name="20% - Accent5 2 5 5" xfId="18025" xr:uid="{CC78FE7A-ED38-480F-9A26-C12F20D9D257}"/>
    <cellStyle name="20% - Accent5 2 6" xfId="1470" xr:uid="{00000000-0005-0000-0000-0000C7020000}"/>
    <cellStyle name="20% - Accent5 2 6 2" xfId="3700" xr:uid="{00000000-0005-0000-0000-0000C8020000}"/>
    <cellStyle name="20% - Accent5 2 6 2 2" xfId="7923" xr:uid="{00000000-0005-0000-0000-0000C9020000}"/>
    <cellStyle name="20% - Accent5 2 6 2 2 2" xfId="16365" xr:uid="{92CF534D-3E7F-473A-A953-270FA32C3855}"/>
    <cellStyle name="20% - Accent5 2 6 2 2 3" xfId="24800" xr:uid="{F2F9DE02-E857-43E3-A4C2-DD9A22A28078}"/>
    <cellStyle name="20% - Accent5 2 6 2 3" xfId="12147" xr:uid="{8A62C7CE-ABC6-476A-B46D-E30289AB06D2}"/>
    <cellStyle name="20% - Accent5 2 6 2 4" xfId="20583" xr:uid="{22AD6869-2390-4C46-8EAB-317088DEE95E}"/>
    <cellStyle name="20% - Accent5 2 6 3" xfId="5778" xr:uid="{00000000-0005-0000-0000-0000CA020000}"/>
    <cellStyle name="20% - Accent5 2 6 3 2" xfId="14220" xr:uid="{65E32F84-FF63-413E-83FD-3ED922D283B9}"/>
    <cellStyle name="20% - Accent5 2 6 3 3" xfId="22655" xr:uid="{0B123DD6-B998-4A57-AE2D-63F5EA692752}"/>
    <cellStyle name="20% - Accent5 2 6 4" xfId="10002" xr:uid="{D48F0A5F-5835-4BD6-A965-37F1BE5E69CF}"/>
    <cellStyle name="20% - Accent5 2 6 5" xfId="18438" xr:uid="{D61A3D88-C556-4400-A460-06E423A13B99}"/>
    <cellStyle name="20% - Accent5 2 7" xfId="1884" xr:uid="{00000000-0005-0000-0000-0000CB020000}"/>
    <cellStyle name="20% - Accent5 2 7 2" xfId="4113" xr:uid="{00000000-0005-0000-0000-0000CC020000}"/>
    <cellStyle name="20% - Accent5 2 7 2 2" xfId="8336" xr:uid="{00000000-0005-0000-0000-0000CD020000}"/>
    <cellStyle name="20% - Accent5 2 7 2 2 2" xfId="16778" xr:uid="{1A371863-E51B-4DE7-A6F0-FFE8F1B4590F}"/>
    <cellStyle name="20% - Accent5 2 7 2 2 3" xfId="25213" xr:uid="{08D250E7-BCA5-44F9-A7C7-28D4D07D9F72}"/>
    <cellStyle name="20% - Accent5 2 7 2 3" xfId="12560" xr:uid="{72DEAC2C-7881-4D55-8FF3-5CF4E99E43A1}"/>
    <cellStyle name="20% - Accent5 2 7 2 4" xfId="20996" xr:uid="{DFD138F2-5AA1-4B9A-B822-AFB250439A83}"/>
    <cellStyle name="20% - Accent5 2 7 3" xfId="6191" xr:uid="{00000000-0005-0000-0000-0000CE020000}"/>
    <cellStyle name="20% - Accent5 2 7 3 2" xfId="14633" xr:uid="{5E293E66-BA60-4972-BA13-A5655C9342F0}"/>
    <cellStyle name="20% - Accent5 2 7 3 3" xfId="23068" xr:uid="{9BE5151C-1943-4A11-8289-ADA1E6D0FF36}"/>
    <cellStyle name="20% - Accent5 2 7 4" xfId="10415" xr:uid="{E6CC0DE4-054C-44C6-8737-35B080E09487}"/>
    <cellStyle name="20% - Accent5 2 7 5" xfId="18851" xr:uid="{96082F56-2B35-48DE-9F4F-2F18C623F07E}"/>
    <cellStyle name="20% - Accent5 2 8" xfId="2297" xr:uid="{00000000-0005-0000-0000-0000CF020000}"/>
    <cellStyle name="20% - Accent5 2 8 2" xfId="6604" xr:uid="{00000000-0005-0000-0000-0000D0020000}"/>
    <cellStyle name="20% - Accent5 2 8 2 2" xfId="15046" xr:uid="{4098532C-6528-41CD-8176-692B165792AD}"/>
    <cellStyle name="20% - Accent5 2 8 2 3" xfId="23481" xr:uid="{446D1D7E-1F25-4D41-89CF-BBE9851709C5}"/>
    <cellStyle name="20% - Accent5 2 8 3" xfId="10828" xr:uid="{EA1476E0-1037-47F2-8CAE-6A843CEF1516}"/>
    <cellStyle name="20% - Accent5 2 8 4" xfId="19264" xr:uid="{A3646C6B-FC25-4E8B-84A6-8A7656DD6957}"/>
    <cellStyle name="20% - Accent5 2 9" xfId="4538" xr:uid="{00000000-0005-0000-0000-0000D1020000}"/>
    <cellStyle name="20% - Accent5 2 9 2" xfId="12980" xr:uid="{7B300AF4-7326-4CD3-B820-BFDB7EB18B25}"/>
    <cellStyle name="20% - Accent5 2 9 3" xfId="21415" xr:uid="{3D4EB541-47C2-4A29-8C6F-4F4E912FD451}"/>
    <cellStyle name="20% - Accent5 3" xfId="38" xr:uid="{00000000-0005-0000-0000-0000D2020000}"/>
    <cellStyle name="20% - Accent5 3 10" xfId="17202" xr:uid="{B26448E9-78AD-4377-AF63-51ACF76FB7CC}"/>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2 2 2" xfId="15544" xr:uid="{C23B4707-109C-48F5-A7E6-43B9D68509CB}"/>
    <cellStyle name="20% - Accent5 3 2 2 2 2 3" xfId="23979" xr:uid="{4AF51CB1-B354-4583-8D26-C6F21AFBB373}"/>
    <cellStyle name="20% - Accent5 3 2 2 2 3" xfId="11326" xr:uid="{05F23416-F792-4549-B5F4-F6FA569D7C72}"/>
    <cellStyle name="20% - Accent5 3 2 2 2 4" xfId="19762" xr:uid="{2A72C63B-F3A3-4162-A687-8F17B8446FD6}"/>
    <cellStyle name="20% - Accent5 3 2 2 3" xfId="4957" xr:uid="{00000000-0005-0000-0000-0000D7020000}"/>
    <cellStyle name="20% - Accent5 3 2 2 3 2" xfId="13399" xr:uid="{8B58B7E0-82DA-4156-BDCB-7E2BC72C146F}"/>
    <cellStyle name="20% - Accent5 3 2 2 3 3" xfId="21834" xr:uid="{BB2C54A1-5DDD-42B8-98C3-930C8FE78AFA}"/>
    <cellStyle name="20% - Accent5 3 2 2 4" xfId="9181" xr:uid="{66338F5A-7C08-40F0-8811-2A6797FDEAC7}"/>
    <cellStyle name="20% - Accent5 3 2 2 5" xfId="17617" xr:uid="{B2B64F64-3B43-4E74-B9FA-5105FDD3814B}"/>
    <cellStyle name="20% - Accent5 3 2 3" xfId="1061" xr:uid="{00000000-0005-0000-0000-0000D8020000}"/>
    <cellStyle name="20% - Accent5 3 2 3 2" xfId="3292" xr:uid="{00000000-0005-0000-0000-0000D9020000}"/>
    <cellStyle name="20% - Accent5 3 2 3 2 2" xfId="7515" xr:uid="{00000000-0005-0000-0000-0000DA020000}"/>
    <cellStyle name="20% - Accent5 3 2 3 2 2 2" xfId="15957" xr:uid="{C6E311F3-0D19-49DA-AD12-8C4BCC03592E}"/>
    <cellStyle name="20% - Accent5 3 2 3 2 2 3" xfId="24392" xr:uid="{249F328D-DB0B-4948-BCD7-909CC1ADB1D2}"/>
    <cellStyle name="20% - Accent5 3 2 3 2 3" xfId="11739" xr:uid="{7BAAB3E6-ADD8-4E1D-9ED4-BE9000FFEEC1}"/>
    <cellStyle name="20% - Accent5 3 2 3 2 4" xfId="20175" xr:uid="{CA03C8D7-9C16-48A1-B5B2-BCA56B292927}"/>
    <cellStyle name="20% - Accent5 3 2 3 3" xfId="5370" xr:uid="{00000000-0005-0000-0000-0000DB020000}"/>
    <cellStyle name="20% - Accent5 3 2 3 3 2" xfId="13812" xr:uid="{AE9CFDDF-DB73-496D-A5B5-FB9068ACEA8B}"/>
    <cellStyle name="20% - Accent5 3 2 3 3 3" xfId="22247" xr:uid="{D275C686-0A58-4D9B-A162-618DF72C623E}"/>
    <cellStyle name="20% - Accent5 3 2 3 4" xfId="9594" xr:uid="{F9E54CC4-E4BC-4EFB-A4EA-798D2B7CFD80}"/>
    <cellStyle name="20% - Accent5 3 2 3 5" xfId="18030" xr:uid="{14FD8128-0234-4BD7-8F30-383703B1AB8E}"/>
    <cellStyle name="20% - Accent5 3 2 4" xfId="1475" xr:uid="{00000000-0005-0000-0000-0000DC020000}"/>
    <cellStyle name="20% - Accent5 3 2 4 2" xfId="3705" xr:uid="{00000000-0005-0000-0000-0000DD020000}"/>
    <cellStyle name="20% - Accent5 3 2 4 2 2" xfId="7928" xr:uid="{00000000-0005-0000-0000-0000DE020000}"/>
    <cellStyle name="20% - Accent5 3 2 4 2 2 2" xfId="16370" xr:uid="{3A3D17AB-E498-4D10-8140-D434402A42DE}"/>
    <cellStyle name="20% - Accent5 3 2 4 2 2 3" xfId="24805" xr:uid="{78197A62-1E54-46DC-8263-D484F365DE9E}"/>
    <cellStyle name="20% - Accent5 3 2 4 2 3" xfId="12152" xr:uid="{DDEA7580-5902-4DE8-BCB7-70A7027FFE97}"/>
    <cellStyle name="20% - Accent5 3 2 4 2 4" xfId="20588" xr:uid="{477E6BCA-3598-4844-8521-282378B7FD8C}"/>
    <cellStyle name="20% - Accent5 3 2 4 3" xfId="5783" xr:uid="{00000000-0005-0000-0000-0000DF020000}"/>
    <cellStyle name="20% - Accent5 3 2 4 3 2" xfId="14225" xr:uid="{E9533882-0994-4EC2-9879-39FE119DA82D}"/>
    <cellStyle name="20% - Accent5 3 2 4 3 3" xfId="22660" xr:uid="{9AA3278B-5F84-41CF-AAE8-1FAB4D1D6343}"/>
    <cellStyle name="20% - Accent5 3 2 4 4" xfId="10007" xr:uid="{C9C6B75A-7641-47BC-944A-A29107A1A68B}"/>
    <cellStyle name="20% - Accent5 3 2 4 5" xfId="18443" xr:uid="{F691937B-3E28-412E-879F-004DB19A4201}"/>
    <cellStyle name="20% - Accent5 3 2 5" xfId="1889" xr:uid="{00000000-0005-0000-0000-0000E0020000}"/>
    <cellStyle name="20% - Accent5 3 2 5 2" xfId="4118" xr:uid="{00000000-0005-0000-0000-0000E1020000}"/>
    <cellStyle name="20% - Accent5 3 2 5 2 2" xfId="8341" xr:uid="{00000000-0005-0000-0000-0000E2020000}"/>
    <cellStyle name="20% - Accent5 3 2 5 2 2 2" xfId="16783" xr:uid="{38ED8F0F-920A-4A39-9904-5C5656D5AA4F}"/>
    <cellStyle name="20% - Accent5 3 2 5 2 2 3" xfId="25218" xr:uid="{E56FB3EB-A723-4ECB-B076-144DEA30C2AD}"/>
    <cellStyle name="20% - Accent5 3 2 5 2 3" xfId="12565" xr:uid="{D706449C-6DD7-4995-B093-A53425070990}"/>
    <cellStyle name="20% - Accent5 3 2 5 2 4" xfId="21001" xr:uid="{7FE8AA44-A6A4-4B5C-B68A-3A241D1293D8}"/>
    <cellStyle name="20% - Accent5 3 2 5 3" xfId="6196" xr:uid="{00000000-0005-0000-0000-0000E3020000}"/>
    <cellStyle name="20% - Accent5 3 2 5 3 2" xfId="14638" xr:uid="{EDE7A582-617E-4EB5-8C56-FB1210115ACA}"/>
    <cellStyle name="20% - Accent5 3 2 5 3 3" xfId="23073" xr:uid="{773D1A39-4912-4941-B242-981371C6008F}"/>
    <cellStyle name="20% - Accent5 3 2 5 4" xfId="10420" xr:uid="{97B12714-12BE-4D60-912D-CD4A82FBA564}"/>
    <cellStyle name="20% - Accent5 3 2 5 5" xfId="18856" xr:uid="{933F7245-2355-45B0-A727-2794617A06C4}"/>
    <cellStyle name="20% - Accent5 3 2 6" xfId="2302" xr:uid="{00000000-0005-0000-0000-0000E4020000}"/>
    <cellStyle name="20% - Accent5 3 2 6 2" xfId="6609" xr:uid="{00000000-0005-0000-0000-0000E5020000}"/>
    <cellStyle name="20% - Accent5 3 2 6 2 2" xfId="15051" xr:uid="{33338884-CFAB-4F81-B1F8-91B88074AA20}"/>
    <cellStyle name="20% - Accent5 3 2 6 2 3" xfId="23486" xr:uid="{F121310B-857D-44E9-9003-363FAC3CD39F}"/>
    <cellStyle name="20% - Accent5 3 2 6 3" xfId="10833" xr:uid="{47732433-BE4B-4951-9B7A-F47D615ECD50}"/>
    <cellStyle name="20% - Accent5 3 2 6 4" xfId="19269" xr:uid="{997C1E7F-E133-4A91-A56E-26F85DCFCCD2}"/>
    <cellStyle name="20% - Accent5 3 2 7" xfId="4543" xr:uid="{00000000-0005-0000-0000-0000E6020000}"/>
    <cellStyle name="20% - Accent5 3 2 7 2" xfId="12985" xr:uid="{4329CE53-D504-4345-934D-67CE82BE6305}"/>
    <cellStyle name="20% - Accent5 3 2 7 3" xfId="21420" xr:uid="{424BA575-C7A4-4303-8132-4FFF7DAFD27A}"/>
    <cellStyle name="20% - Accent5 3 2 8" xfId="8767" xr:uid="{02063651-2EF2-4F9C-AC7E-BD12311CA71D}"/>
    <cellStyle name="20% - Accent5 3 2 9" xfId="17203" xr:uid="{9F784728-D447-4431-9974-78DEFE064B37}"/>
    <cellStyle name="20% - Accent5 3 3" xfId="607" xr:uid="{00000000-0005-0000-0000-0000E7020000}"/>
    <cellStyle name="20% - Accent5 3 3 2" xfId="2878" xr:uid="{00000000-0005-0000-0000-0000E8020000}"/>
    <cellStyle name="20% - Accent5 3 3 2 2" xfId="7101" xr:uid="{00000000-0005-0000-0000-0000E9020000}"/>
    <cellStyle name="20% - Accent5 3 3 2 2 2" xfId="15543" xr:uid="{3ADA7746-40B3-42AA-BFDF-9344721E831A}"/>
    <cellStyle name="20% - Accent5 3 3 2 2 3" xfId="23978" xr:uid="{24E2E65C-6590-422B-A36E-6BF68E46B162}"/>
    <cellStyle name="20% - Accent5 3 3 2 3" xfId="11325" xr:uid="{0AB52C24-8148-4363-A8DB-82EA80633179}"/>
    <cellStyle name="20% - Accent5 3 3 2 4" xfId="19761" xr:uid="{33FA3282-0B55-401D-B04B-91347337060D}"/>
    <cellStyle name="20% - Accent5 3 3 3" xfId="4956" xr:uid="{00000000-0005-0000-0000-0000EA020000}"/>
    <cellStyle name="20% - Accent5 3 3 3 2" xfId="13398" xr:uid="{C8DBA60E-6445-4F55-A99E-43A407D14517}"/>
    <cellStyle name="20% - Accent5 3 3 3 3" xfId="21833" xr:uid="{6275C692-C3EB-46C7-9FBF-68D6827F76DD}"/>
    <cellStyle name="20% - Accent5 3 3 4" xfId="9180" xr:uid="{F439DCD4-2B52-40FC-ABCC-B99F62042DD6}"/>
    <cellStyle name="20% - Accent5 3 3 5" xfId="17616" xr:uid="{10639F17-1766-40E1-B38E-BA41D46AF4B8}"/>
    <cellStyle name="20% - Accent5 3 4" xfId="1060" xr:uid="{00000000-0005-0000-0000-0000EB020000}"/>
    <cellStyle name="20% - Accent5 3 4 2" xfId="3291" xr:uid="{00000000-0005-0000-0000-0000EC020000}"/>
    <cellStyle name="20% - Accent5 3 4 2 2" xfId="7514" xr:uid="{00000000-0005-0000-0000-0000ED020000}"/>
    <cellStyle name="20% - Accent5 3 4 2 2 2" xfId="15956" xr:uid="{F6420E80-3F8C-4E6C-9BA6-DEBD899C2683}"/>
    <cellStyle name="20% - Accent5 3 4 2 2 3" xfId="24391" xr:uid="{C312C7DA-C8E6-4273-A499-5586AE456FD4}"/>
    <cellStyle name="20% - Accent5 3 4 2 3" xfId="11738" xr:uid="{43692AB6-DB43-407C-A010-B2E877A2A568}"/>
    <cellStyle name="20% - Accent5 3 4 2 4" xfId="20174" xr:uid="{29168893-C0C2-4938-B2D3-FA1F2131D09C}"/>
    <cellStyle name="20% - Accent5 3 4 3" xfId="5369" xr:uid="{00000000-0005-0000-0000-0000EE020000}"/>
    <cellStyle name="20% - Accent5 3 4 3 2" xfId="13811" xr:uid="{72C31E0D-1021-4C46-AAE2-A598411CCFAC}"/>
    <cellStyle name="20% - Accent5 3 4 3 3" xfId="22246" xr:uid="{93DB6251-6109-499D-81E8-7971265CEC10}"/>
    <cellStyle name="20% - Accent5 3 4 4" xfId="9593" xr:uid="{1C94ADC6-E18A-4ABA-ACA9-49B79671E5A5}"/>
    <cellStyle name="20% - Accent5 3 4 5" xfId="18029" xr:uid="{6E1380C7-F453-4533-8E4F-9DB27265D5D7}"/>
    <cellStyle name="20% - Accent5 3 5" xfId="1474" xr:uid="{00000000-0005-0000-0000-0000EF020000}"/>
    <cellStyle name="20% - Accent5 3 5 2" xfId="3704" xr:uid="{00000000-0005-0000-0000-0000F0020000}"/>
    <cellStyle name="20% - Accent5 3 5 2 2" xfId="7927" xr:uid="{00000000-0005-0000-0000-0000F1020000}"/>
    <cellStyle name="20% - Accent5 3 5 2 2 2" xfId="16369" xr:uid="{864AC048-F73F-4BCF-8F5B-0DAD71C3D19B}"/>
    <cellStyle name="20% - Accent5 3 5 2 2 3" xfId="24804" xr:uid="{05505E11-390A-4B6A-B4EB-8C278F87F24D}"/>
    <cellStyle name="20% - Accent5 3 5 2 3" xfId="12151" xr:uid="{E87F83AC-7527-4ECB-8F5C-14ACFBA8FE3C}"/>
    <cellStyle name="20% - Accent5 3 5 2 4" xfId="20587" xr:uid="{FA7F7607-F84E-4D8C-809F-E5EF46988E56}"/>
    <cellStyle name="20% - Accent5 3 5 3" xfId="5782" xr:uid="{00000000-0005-0000-0000-0000F2020000}"/>
    <cellStyle name="20% - Accent5 3 5 3 2" xfId="14224" xr:uid="{FC15FFE9-0ED0-4DE8-BDD4-2A5FC335B910}"/>
    <cellStyle name="20% - Accent5 3 5 3 3" xfId="22659" xr:uid="{BF074793-9E62-43AB-8161-E8E67D8F5B7A}"/>
    <cellStyle name="20% - Accent5 3 5 4" xfId="10006" xr:uid="{4960AFF2-DCC6-4CF7-80AD-21C774DFE8E6}"/>
    <cellStyle name="20% - Accent5 3 5 5" xfId="18442" xr:uid="{00490B46-80AC-4A38-91FB-61456814AD38}"/>
    <cellStyle name="20% - Accent5 3 6" xfId="1888" xr:uid="{00000000-0005-0000-0000-0000F3020000}"/>
    <cellStyle name="20% - Accent5 3 6 2" xfId="4117" xr:uid="{00000000-0005-0000-0000-0000F4020000}"/>
    <cellStyle name="20% - Accent5 3 6 2 2" xfId="8340" xr:uid="{00000000-0005-0000-0000-0000F5020000}"/>
    <cellStyle name="20% - Accent5 3 6 2 2 2" xfId="16782" xr:uid="{00816F7B-4504-4BCE-A474-EABC59F2D2A6}"/>
    <cellStyle name="20% - Accent5 3 6 2 2 3" xfId="25217" xr:uid="{949AB278-27A9-45ED-A7AE-6C87C20FA177}"/>
    <cellStyle name="20% - Accent5 3 6 2 3" xfId="12564" xr:uid="{1AE15733-7820-4F3C-8C63-503B4A024351}"/>
    <cellStyle name="20% - Accent5 3 6 2 4" xfId="21000" xr:uid="{8588F181-D477-43A5-A65A-48E7C092E574}"/>
    <cellStyle name="20% - Accent5 3 6 3" xfId="6195" xr:uid="{00000000-0005-0000-0000-0000F6020000}"/>
    <cellStyle name="20% - Accent5 3 6 3 2" xfId="14637" xr:uid="{785A435B-8787-4BD5-8782-8560D9C54D41}"/>
    <cellStyle name="20% - Accent5 3 6 3 3" xfId="23072" xr:uid="{348874B6-FB42-4B9E-959E-C6C5AE4A3447}"/>
    <cellStyle name="20% - Accent5 3 6 4" xfId="10419" xr:uid="{22148111-453B-4FF5-B7B4-BBE62103E43A}"/>
    <cellStyle name="20% - Accent5 3 6 5" xfId="18855" xr:uid="{02D037E8-88E5-47DA-BEF6-D4C25222DE7C}"/>
    <cellStyle name="20% - Accent5 3 7" xfId="2301" xr:uid="{00000000-0005-0000-0000-0000F7020000}"/>
    <cellStyle name="20% - Accent5 3 7 2" xfId="6608" xr:uid="{00000000-0005-0000-0000-0000F8020000}"/>
    <cellStyle name="20% - Accent5 3 7 2 2" xfId="15050" xr:uid="{DDCB873A-4F43-42DA-B3DF-A1ACA5E8F0A5}"/>
    <cellStyle name="20% - Accent5 3 7 2 3" xfId="23485" xr:uid="{AA94D013-487C-4654-8D5D-33D861BA32D6}"/>
    <cellStyle name="20% - Accent5 3 7 3" xfId="10832" xr:uid="{15890906-744B-4051-B673-2676D84EC806}"/>
    <cellStyle name="20% - Accent5 3 7 4" xfId="19268" xr:uid="{A08A15DA-406D-45DA-81F2-87F4167D9576}"/>
    <cellStyle name="20% - Accent5 3 8" xfId="4542" xr:uid="{00000000-0005-0000-0000-0000F9020000}"/>
    <cellStyle name="20% - Accent5 3 8 2" xfId="12984" xr:uid="{446F20D6-D5C6-4B3F-8FF4-FBC10FF9B5C9}"/>
    <cellStyle name="20% - Accent5 3 8 3" xfId="21419" xr:uid="{9622883F-C6F9-4776-939F-F7BE3E762969}"/>
    <cellStyle name="20% - Accent5 3 9" xfId="8766" xr:uid="{7C047E6F-5D26-4CA1-AF94-88A534F57B6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2 2 2" xfId="15545" xr:uid="{98329D98-9592-4F3E-A95B-FACD041A8B30}"/>
    <cellStyle name="20% - Accent5 4 2 2 2 3" xfId="23980" xr:uid="{78EB537E-642D-4EFF-895C-F91C3D89AE9D}"/>
    <cellStyle name="20% - Accent5 4 2 2 3" xfId="11327" xr:uid="{D559546E-700F-47DC-983F-0F7126EFA199}"/>
    <cellStyle name="20% - Accent5 4 2 2 4" xfId="19763" xr:uid="{8FC0C139-5DDC-4D9C-ACA3-A07C2300A91D}"/>
    <cellStyle name="20% - Accent5 4 2 3" xfId="4958" xr:uid="{00000000-0005-0000-0000-0000FE020000}"/>
    <cellStyle name="20% - Accent5 4 2 3 2" xfId="13400" xr:uid="{9081B509-5EEE-4447-8244-0CA83A5CBE8D}"/>
    <cellStyle name="20% - Accent5 4 2 3 3" xfId="21835" xr:uid="{52809660-CB50-4E4F-A101-2778CB9578F0}"/>
    <cellStyle name="20% - Accent5 4 2 4" xfId="9182" xr:uid="{2082ACF3-DA3C-4D5B-88D8-C8A1E02FE856}"/>
    <cellStyle name="20% - Accent5 4 2 5" xfId="17618" xr:uid="{0AD65D6A-39CB-4079-B068-9D83C43DD542}"/>
    <cellStyle name="20% - Accent5 4 3" xfId="1062" xr:uid="{00000000-0005-0000-0000-0000FF020000}"/>
    <cellStyle name="20% - Accent5 4 3 2" xfId="3293" xr:uid="{00000000-0005-0000-0000-000000030000}"/>
    <cellStyle name="20% - Accent5 4 3 2 2" xfId="7516" xr:uid="{00000000-0005-0000-0000-000001030000}"/>
    <cellStyle name="20% - Accent5 4 3 2 2 2" xfId="15958" xr:uid="{5EE1CA30-9784-46AB-A984-3D031DCF5E6C}"/>
    <cellStyle name="20% - Accent5 4 3 2 2 3" xfId="24393" xr:uid="{9DDCF5E6-12B7-474E-B680-DCA098A24DA5}"/>
    <cellStyle name="20% - Accent5 4 3 2 3" xfId="11740" xr:uid="{28DCBB3A-5AA4-42C2-877C-222FF565717D}"/>
    <cellStyle name="20% - Accent5 4 3 2 4" xfId="20176" xr:uid="{EDF7AD53-DDF8-42E8-BF87-FA2AC129ABE1}"/>
    <cellStyle name="20% - Accent5 4 3 3" xfId="5371" xr:uid="{00000000-0005-0000-0000-000002030000}"/>
    <cellStyle name="20% - Accent5 4 3 3 2" xfId="13813" xr:uid="{31696B57-9C49-476D-90C7-872CE9012639}"/>
    <cellStyle name="20% - Accent5 4 3 3 3" xfId="22248" xr:uid="{9272ED31-0B05-4319-9B6F-7624CAF4AAD5}"/>
    <cellStyle name="20% - Accent5 4 3 4" xfId="9595" xr:uid="{FDA09B73-3F61-45A1-8F93-CB3A46BC5BFB}"/>
    <cellStyle name="20% - Accent5 4 3 5" xfId="18031" xr:uid="{7A530AF3-DBE9-4CE3-ABC3-7AF034927DE8}"/>
    <cellStyle name="20% - Accent5 4 4" xfId="1476" xr:uid="{00000000-0005-0000-0000-000003030000}"/>
    <cellStyle name="20% - Accent5 4 4 2" xfId="3706" xr:uid="{00000000-0005-0000-0000-000004030000}"/>
    <cellStyle name="20% - Accent5 4 4 2 2" xfId="7929" xr:uid="{00000000-0005-0000-0000-000005030000}"/>
    <cellStyle name="20% - Accent5 4 4 2 2 2" xfId="16371" xr:uid="{56BAC8FD-8DDF-4082-9ABE-8D24AA133D61}"/>
    <cellStyle name="20% - Accent5 4 4 2 2 3" xfId="24806" xr:uid="{DE7FFDB1-D62F-49B6-B96B-149581828B2E}"/>
    <cellStyle name="20% - Accent5 4 4 2 3" xfId="12153" xr:uid="{D621362E-6444-4BAD-BB1D-F08CB2BA1849}"/>
    <cellStyle name="20% - Accent5 4 4 2 4" xfId="20589" xr:uid="{F1999F2F-D1C1-4EF5-9D2E-9839B53D321B}"/>
    <cellStyle name="20% - Accent5 4 4 3" xfId="5784" xr:uid="{00000000-0005-0000-0000-000006030000}"/>
    <cellStyle name="20% - Accent5 4 4 3 2" xfId="14226" xr:uid="{B71F6A98-8518-43C8-87AE-00D0798716FD}"/>
    <cellStyle name="20% - Accent5 4 4 3 3" xfId="22661" xr:uid="{2E4768E1-86A0-4C73-B10B-F42E172FA771}"/>
    <cellStyle name="20% - Accent5 4 4 4" xfId="10008" xr:uid="{3CA9A821-BFA3-414D-8B9F-1BAFA1140978}"/>
    <cellStyle name="20% - Accent5 4 4 5" xfId="18444" xr:uid="{C54D43C0-4FD5-4E3D-8FA7-6E0C2937BD96}"/>
    <cellStyle name="20% - Accent5 4 5" xfId="1890" xr:uid="{00000000-0005-0000-0000-000007030000}"/>
    <cellStyle name="20% - Accent5 4 5 2" xfId="4119" xr:uid="{00000000-0005-0000-0000-000008030000}"/>
    <cellStyle name="20% - Accent5 4 5 2 2" xfId="8342" xr:uid="{00000000-0005-0000-0000-000009030000}"/>
    <cellStyle name="20% - Accent5 4 5 2 2 2" xfId="16784" xr:uid="{FE14B0D3-72C3-4D60-A433-946CB2E70565}"/>
    <cellStyle name="20% - Accent5 4 5 2 2 3" xfId="25219" xr:uid="{81C4E771-6E43-4D54-BF8B-FC4BB9D243C3}"/>
    <cellStyle name="20% - Accent5 4 5 2 3" xfId="12566" xr:uid="{FD60EB49-7FF4-4536-BCD2-D308D30C9613}"/>
    <cellStyle name="20% - Accent5 4 5 2 4" xfId="21002" xr:uid="{3C7DDEAF-F8A0-4A23-964E-093654006266}"/>
    <cellStyle name="20% - Accent5 4 5 3" xfId="6197" xr:uid="{00000000-0005-0000-0000-00000A030000}"/>
    <cellStyle name="20% - Accent5 4 5 3 2" xfId="14639" xr:uid="{A3A654BA-EAFD-4BE0-A4CD-C79F238A8C85}"/>
    <cellStyle name="20% - Accent5 4 5 3 3" xfId="23074" xr:uid="{38C3C9F9-E161-4C3E-90DD-9B3D7106B541}"/>
    <cellStyle name="20% - Accent5 4 5 4" xfId="10421" xr:uid="{0060CCD8-F9A5-4542-B6D7-5DC37DC77767}"/>
    <cellStyle name="20% - Accent5 4 5 5" xfId="18857" xr:uid="{D3319C83-DCBC-4244-88A9-C9098FAD2733}"/>
    <cellStyle name="20% - Accent5 4 6" xfId="2303" xr:uid="{00000000-0005-0000-0000-00000B030000}"/>
    <cellStyle name="20% - Accent5 4 6 2" xfId="6610" xr:uid="{00000000-0005-0000-0000-00000C030000}"/>
    <cellStyle name="20% - Accent5 4 6 2 2" xfId="15052" xr:uid="{9AF7899D-53A0-469D-9970-6B96C28BCB5E}"/>
    <cellStyle name="20% - Accent5 4 6 2 3" xfId="23487" xr:uid="{3CCAFF46-A522-40C8-9CBF-A7CCF7A7E413}"/>
    <cellStyle name="20% - Accent5 4 6 3" xfId="10834" xr:uid="{5DD1065F-C12F-45BA-ADD2-F243AF3A174D}"/>
    <cellStyle name="20% - Accent5 4 6 4" xfId="19270" xr:uid="{98AF996A-6D26-4662-ACA4-8E407478DCE1}"/>
    <cellStyle name="20% - Accent5 4 7" xfId="4544" xr:uid="{00000000-0005-0000-0000-00000D030000}"/>
    <cellStyle name="20% - Accent5 4 7 2" xfId="12986" xr:uid="{46C59808-D717-49A7-926B-FD63371F72FB}"/>
    <cellStyle name="20% - Accent5 4 7 3" xfId="21421" xr:uid="{5FC5E042-B5C1-4F90-93CD-05DB6E6445E9}"/>
    <cellStyle name="20% - Accent5 4 8" xfId="8768" xr:uid="{4BCDF668-097A-428E-A475-5076E14EDC62}"/>
    <cellStyle name="20% - Accent5 4 9" xfId="17204" xr:uid="{052E7F3F-027B-4958-BCB0-9ECF32A28C25}"/>
    <cellStyle name="20% - Accent5 5" xfId="602" xr:uid="{00000000-0005-0000-0000-00000E030000}"/>
    <cellStyle name="20% - Accent5 5 2" xfId="2873" xr:uid="{00000000-0005-0000-0000-00000F030000}"/>
    <cellStyle name="20% - Accent5 5 2 2" xfId="7096" xr:uid="{00000000-0005-0000-0000-000010030000}"/>
    <cellStyle name="20% - Accent5 5 2 2 2" xfId="15538" xr:uid="{A366B0F3-4DBF-47A8-B989-9C4DE1DF2093}"/>
    <cellStyle name="20% - Accent5 5 2 2 3" xfId="23973" xr:uid="{E01F92E3-D6F3-4C58-8950-F2A75FA9E123}"/>
    <cellStyle name="20% - Accent5 5 2 3" xfId="11320" xr:uid="{38CE2280-70E7-4CD9-ADD7-3D933631B5F6}"/>
    <cellStyle name="20% - Accent5 5 2 4" xfId="19756" xr:uid="{8C413C92-5EBE-4FAF-922D-4DAA2BA72B60}"/>
    <cellStyle name="20% - Accent5 5 3" xfId="4951" xr:uid="{00000000-0005-0000-0000-000011030000}"/>
    <cellStyle name="20% - Accent5 5 3 2" xfId="13393" xr:uid="{9EF804EC-7B6C-4C8A-AB7B-4635E83ADA97}"/>
    <cellStyle name="20% - Accent5 5 3 3" xfId="21828" xr:uid="{53D30B32-D3CC-4272-A359-5A9065243BCB}"/>
    <cellStyle name="20% - Accent5 5 4" xfId="9175" xr:uid="{A6762C2A-8F7E-4EBB-8115-3E0B05D3760E}"/>
    <cellStyle name="20% - Accent5 5 5" xfId="17611" xr:uid="{AA4B7234-8823-47E1-9FF2-BEFA4A7D447C}"/>
    <cellStyle name="20% - Accent5 6" xfId="1055" xr:uid="{00000000-0005-0000-0000-000012030000}"/>
    <cellStyle name="20% - Accent5 6 2" xfId="3286" xr:uid="{00000000-0005-0000-0000-000013030000}"/>
    <cellStyle name="20% - Accent5 6 2 2" xfId="7509" xr:uid="{00000000-0005-0000-0000-000014030000}"/>
    <cellStyle name="20% - Accent5 6 2 2 2" xfId="15951" xr:uid="{1A91C3CC-67C9-4C29-A60E-73B5048A0506}"/>
    <cellStyle name="20% - Accent5 6 2 2 3" xfId="24386" xr:uid="{9AEAB4D1-CBD8-49C2-88AD-3DFDC8BECCF5}"/>
    <cellStyle name="20% - Accent5 6 2 3" xfId="11733" xr:uid="{72E9928C-EB87-4853-8FC4-968A32946423}"/>
    <cellStyle name="20% - Accent5 6 2 4" xfId="20169" xr:uid="{B74E4017-0D1A-4ECC-AD77-B4C69C836B60}"/>
    <cellStyle name="20% - Accent5 6 3" xfId="5364" xr:uid="{00000000-0005-0000-0000-000015030000}"/>
    <cellStyle name="20% - Accent5 6 3 2" xfId="13806" xr:uid="{C9F962F3-B5E1-469D-9836-266D6C635B0A}"/>
    <cellStyle name="20% - Accent5 6 3 3" xfId="22241" xr:uid="{AA3F392F-7D7C-474C-B06E-B3D1B0F22E1C}"/>
    <cellStyle name="20% - Accent5 6 4" xfId="9588" xr:uid="{4FAD92DF-CFA7-41F6-B2B9-A9B7CEC901DB}"/>
    <cellStyle name="20% - Accent5 6 5" xfId="18024" xr:uid="{9231FDC0-2B94-46E6-AD6F-A923BA64F6FF}"/>
    <cellStyle name="20% - Accent5 7" xfId="1469" xr:uid="{00000000-0005-0000-0000-000016030000}"/>
    <cellStyle name="20% - Accent5 7 2" xfId="3699" xr:uid="{00000000-0005-0000-0000-000017030000}"/>
    <cellStyle name="20% - Accent5 7 2 2" xfId="7922" xr:uid="{00000000-0005-0000-0000-000018030000}"/>
    <cellStyle name="20% - Accent5 7 2 2 2" xfId="16364" xr:uid="{BED0F76D-7D94-4C3F-9A47-F835A12FA753}"/>
    <cellStyle name="20% - Accent5 7 2 2 3" xfId="24799" xr:uid="{517F7B31-90D2-4F55-A095-1E3FE56E6C43}"/>
    <cellStyle name="20% - Accent5 7 2 3" xfId="12146" xr:uid="{10E355F1-E1C1-40C1-8737-FCC9D35A0704}"/>
    <cellStyle name="20% - Accent5 7 2 4" xfId="20582" xr:uid="{E12F7145-448F-46A7-B1DA-432419EE1DAB}"/>
    <cellStyle name="20% - Accent5 7 3" xfId="5777" xr:uid="{00000000-0005-0000-0000-000019030000}"/>
    <cellStyle name="20% - Accent5 7 3 2" xfId="14219" xr:uid="{795C1EBD-3030-46AF-90C4-8573D62951AA}"/>
    <cellStyle name="20% - Accent5 7 3 3" xfId="22654" xr:uid="{8EDD8328-F753-409F-9AFF-4D7D2315111B}"/>
    <cellStyle name="20% - Accent5 7 4" xfId="10001" xr:uid="{E0637A24-6571-4AF6-B33D-1E9BD28B8485}"/>
    <cellStyle name="20% - Accent5 7 5" xfId="18437" xr:uid="{B655F97C-4ADA-4F48-B030-57FA9BDC4E87}"/>
    <cellStyle name="20% - Accent5 8" xfId="1883" xr:uid="{00000000-0005-0000-0000-00001A030000}"/>
    <cellStyle name="20% - Accent5 8 2" xfId="4112" xr:uid="{00000000-0005-0000-0000-00001B030000}"/>
    <cellStyle name="20% - Accent5 8 2 2" xfId="8335" xr:uid="{00000000-0005-0000-0000-00001C030000}"/>
    <cellStyle name="20% - Accent5 8 2 2 2" xfId="16777" xr:uid="{53AA7216-A50A-4580-9787-C0A7811FDE00}"/>
    <cellStyle name="20% - Accent5 8 2 2 3" xfId="25212" xr:uid="{7B9FB221-0D57-47F6-982D-A825181925F9}"/>
    <cellStyle name="20% - Accent5 8 2 3" xfId="12559" xr:uid="{06293393-12E7-418E-BB1F-33ECF1F67F7F}"/>
    <cellStyle name="20% - Accent5 8 2 4" xfId="20995" xr:uid="{D7EC4175-5837-49F9-BEF0-5C4BA02BD11D}"/>
    <cellStyle name="20% - Accent5 8 3" xfId="6190" xr:uid="{00000000-0005-0000-0000-00001D030000}"/>
    <cellStyle name="20% - Accent5 8 3 2" xfId="14632" xr:uid="{7D6E59C5-1513-4075-8B10-701E8EEBEE2C}"/>
    <cellStyle name="20% - Accent5 8 3 3" xfId="23067" xr:uid="{0C83BE2B-94C4-4A76-93D7-28A0CC6A1EBC}"/>
    <cellStyle name="20% - Accent5 8 4" xfId="10414" xr:uid="{205CEB3D-7B17-41F3-8BC3-53AFB5118FC5}"/>
    <cellStyle name="20% - Accent5 8 5" xfId="18850" xr:uid="{496951F1-58A0-43EA-8748-67C4C88A99AE}"/>
    <cellStyle name="20% - Accent5 9" xfId="2296" xr:uid="{00000000-0005-0000-0000-00001E030000}"/>
    <cellStyle name="20% - Accent5 9 2" xfId="6603" xr:uid="{00000000-0005-0000-0000-00001F030000}"/>
    <cellStyle name="20% - Accent5 9 2 2" xfId="15045" xr:uid="{05C4F0DB-4AD3-4B2E-A93C-C6AB57897E91}"/>
    <cellStyle name="20% - Accent5 9 2 3" xfId="23480" xr:uid="{6C54E375-5B17-4A10-A397-E8400FAAFBFB}"/>
    <cellStyle name="20% - Accent5 9 3" xfId="10827" xr:uid="{D604402E-55F0-4641-8D38-764278DC6683}"/>
    <cellStyle name="20% - Accent5 9 4" xfId="19263" xr:uid="{7B73B9B8-91A7-4B92-81A6-9C275F2D6AA1}"/>
    <cellStyle name="20% - Accent6" xfId="41" builtinId="50" customBuiltin="1"/>
    <cellStyle name="20% - Accent6 10" xfId="4545" xr:uid="{00000000-0005-0000-0000-000021030000}"/>
    <cellStyle name="20% - Accent6 10 2" xfId="12987" xr:uid="{07E19DBE-9205-445A-BC69-841E50A6C992}"/>
    <cellStyle name="20% - Accent6 10 3" xfId="21422" xr:uid="{0ABD678B-969E-4783-978C-B641C2C65894}"/>
    <cellStyle name="20% - Accent6 11" xfId="8769" xr:uid="{6794DBDB-139B-48DC-B345-6E726D6E868C}"/>
    <cellStyle name="20% - Accent6 12" xfId="17205" xr:uid="{141003BC-3378-454C-BC46-CCADD6625B16}"/>
    <cellStyle name="20% - Accent6 2" xfId="42" xr:uid="{00000000-0005-0000-0000-000022030000}"/>
    <cellStyle name="20% - Accent6 2 10" xfId="8770" xr:uid="{BC4EF28F-09C4-4112-8B8A-3BB9D0B80E4D}"/>
    <cellStyle name="20% - Accent6 2 11" xfId="17206" xr:uid="{43FD43FD-D8FD-4788-8708-8910DB1609FF}"/>
    <cellStyle name="20% - Accent6 2 2" xfId="43" xr:uid="{00000000-0005-0000-0000-000023030000}"/>
    <cellStyle name="20% - Accent6 2 2 10" xfId="17207" xr:uid="{B24C3918-8A6B-456B-B269-9FC78E504C49}"/>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2 2 2" xfId="15549" xr:uid="{A2791C8F-B74B-481A-B1CF-59CF2C327B50}"/>
    <cellStyle name="20% - Accent6 2 2 2 2 2 2 3" xfId="23984" xr:uid="{A5ECC213-9163-4FFB-8485-C2BD89FF810F}"/>
    <cellStyle name="20% - Accent6 2 2 2 2 2 3" xfId="11331" xr:uid="{6A60C03D-36F8-4369-9D2C-6250FB7135CD}"/>
    <cellStyle name="20% - Accent6 2 2 2 2 2 4" xfId="19767" xr:uid="{62879AD1-BD8A-46F4-80C1-76349AE51666}"/>
    <cellStyle name="20% - Accent6 2 2 2 2 3" xfId="4962" xr:uid="{00000000-0005-0000-0000-000028030000}"/>
    <cellStyle name="20% - Accent6 2 2 2 2 3 2" xfId="13404" xr:uid="{818FD3FD-A6F2-4012-8A34-6345F978FD22}"/>
    <cellStyle name="20% - Accent6 2 2 2 2 3 3" xfId="21839" xr:uid="{A3B95F84-3599-4065-ABB9-E62257530B66}"/>
    <cellStyle name="20% - Accent6 2 2 2 2 4" xfId="9186" xr:uid="{9CCD00B7-5874-420D-9A9B-8B5AEC9DDAD8}"/>
    <cellStyle name="20% - Accent6 2 2 2 2 5" xfId="17622" xr:uid="{FCAE95AA-B636-4C95-B516-38D6FD8B50B2}"/>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2 2 2" xfId="15962" xr:uid="{2538E8BF-8EE1-48D3-AF44-FF19E4671324}"/>
    <cellStyle name="20% - Accent6 2 2 2 3 2 2 3" xfId="24397" xr:uid="{8E86505E-3A10-43C6-8185-2973B3FAE4C6}"/>
    <cellStyle name="20% - Accent6 2 2 2 3 2 3" xfId="11744" xr:uid="{D88DC19D-E1B3-4B89-BD1D-B8862B584DF8}"/>
    <cellStyle name="20% - Accent6 2 2 2 3 2 4" xfId="20180" xr:uid="{EAECA0E6-8DAC-4B9F-B9C5-54087FDF0CAB}"/>
    <cellStyle name="20% - Accent6 2 2 2 3 3" xfId="5375" xr:uid="{00000000-0005-0000-0000-00002C030000}"/>
    <cellStyle name="20% - Accent6 2 2 2 3 3 2" xfId="13817" xr:uid="{2208577D-E91A-4A13-BA58-80A050BAE5BC}"/>
    <cellStyle name="20% - Accent6 2 2 2 3 3 3" xfId="22252" xr:uid="{F4CDB07D-1BDF-4105-B316-FA9083EB812C}"/>
    <cellStyle name="20% - Accent6 2 2 2 3 4" xfId="9599" xr:uid="{5F9DA2CA-9987-40A4-8314-AA30113B93AA}"/>
    <cellStyle name="20% - Accent6 2 2 2 3 5" xfId="18035" xr:uid="{13EF9ED1-3837-421F-AC33-0E1ADF7EF43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2 2 2" xfId="16375" xr:uid="{F0273ABB-B489-4475-8FD0-14F47FBF8EE0}"/>
    <cellStyle name="20% - Accent6 2 2 2 4 2 2 3" xfId="24810" xr:uid="{6EC13FF2-0335-4514-83CC-A4AB81ACB3C9}"/>
    <cellStyle name="20% - Accent6 2 2 2 4 2 3" xfId="12157" xr:uid="{5A87AF94-06E0-4A9C-86F8-A5FF9D37303C}"/>
    <cellStyle name="20% - Accent6 2 2 2 4 2 4" xfId="20593" xr:uid="{9FB218B2-8265-44F2-A0BF-97C116A00294}"/>
    <cellStyle name="20% - Accent6 2 2 2 4 3" xfId="5788" xr:uid="{00000000-0005-0000-0000-000030030000}"/>
    <cellStyle name="20% - Accent6 2 2 2 4 3 2" xfId="14230" xr:uid="{949373A6-227C-4DDE-8E71-D369F5AE8F7B}"/>
    <cellStyle name="20% - Accent6 2 2 2 4 3 3" xfId="22665" xr:uid="{B66C6254-A077-431C-BD87-B29E6A786177}"/>
    <cellStyle name="20% - Accent6 2 2 2 4 4" xfId="10012" xr:uid="{93954A8E-C2DE-4208-89C0-E352190B53FF}"/>
    <cellStyle name="20% - Accent6 2 2 2 4 5" xfId="18448" xr:uid="{5B2B08E7-96C8-4D04-8565-E4773485F8E9}"/>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2 2 2" xfId="16788" xr:uid="{DF5EB452-A1C8-49F6-8CBD-F14B3CB210C6}"/>
    <cellStyle name="20% - Accent6 2 2 2 5 2 2 3" xfId="25223" xr:uid="{31DA61DE-B723-40F0-9A4E-4BAED96A0107}"/>
    <cellStyle name="20% - Accent6 2 2 2 5 2 3" xfId="12570" xr:uid="{885D0550-2E3B-4E14-AD6C-8F85CC0BA774}"/>
    <cellStyle name="20% - Accent6 2 2 2 5 2 4" xfId="21006" xr:uid="{5E91EB40-5007-4CF9-9602-FA959A3F84C8}"/>
    <cellStyle name="20% - Accent6 2 2 2 5 3" xfId="6201" xr:uid="{00000000-0005-0000-0000-000034030000}"/>
    <cellStyle name="20% - Accent6 2 2 2 5 3 2" xfId="14643" xr:uid="{D009CBA6-BAF7-464B-9BBD-B69F80896B23}"/>
    <cellStyle name="20% - Accent6 2 2 2 5 3 3" xfId="23078" xr:uid="{273BA7EF-D861-4EA8-9C2C-9D824F5499D7}"/>
    <cellStyle name="20% - Accent6 2 2 2 5 4" xfId="10425" xr:uid="{B867D43E-118E-4A86-8364-D82EA1909D65}"/>
    <cellStyle name="20% - Accent6 2 2 2 5 5" xfId="18861" xr:uid="{97A3A1E3-1697-477F-B89C-1182DB13F0FB}"/>
    <cellStyle name="20% - Accent6 2 2 2 6" xfId="2307" xr:uid="{00000000-0005-0000-0000-000035030000}"/>
    <cellStyle name="20% - Accent6 2 2 2 6 2" xfId="6614" xr:uid="{00000000-0005-0000-0000-000036030000}"/>
    <cellStyle name="20% - Accent6 2 2 2 6 2 2" xfId="15056" xr:uid="{1A0DEB20-80B0-423F-A31C-7412EF028929}"/>
    <cellStyle name="20% - Accent6 2 2 2 6 2 3" xfId="23491" xr:uid="{E8396DE6-9A81-46D8-BCE2-6EEE6175E39E}"/>
    <cellStyle name="20% - Accent6 2 2 2 6 3" xfId="10838" xr:uid="{A9CF9F1C-881B-4E52-A5ED-C430D069F3DE}"/>
    <cellStyle name="20% - Accent6 2 2 2 6 4" xfId="19274" xr:uid="{ED1F66ED-FC3E-406B-8B23-EA0114471CB3}"/>
    <cellStyle name="20% - Accent6 2 2 2 7" xfId="4548" xr:uid="{00000000-0005-0000-0000-000037030000}"/>
    <cellStyle name="20% - Accent6 2 2 2 7 2" xfId="12990" xr:uid="{17559B1E-78E3-43B0-8F28-F53D3D41B70F}"/>
    <cellStyle name="20% - Accent6 2 2 2 7 3" xfId="21425" xr:uid="{DC7B352E-D76A-4F87-8FA6-5804206B9DC5}"/>
    <cellStyle name="20% - Accent6 2 2 2 8" xfId="8772" xr:uid="{3E02FDDC-B9E2-4ED6-8D70-B204BCEF8200}"/>
    <cellStyle name="20% - Accent6 2 2 2 9" xfId="17208" xr:uid="{895C4A1A-63A1-4966-8FA9-712A1805C494}"/>
    <cellStyle name="20% - Accent6 2 2 3" xfId="612" xr:uid="{00000000-0005-0000-0000-000038030000}"/>
    <cellStyle name="20% - Accent6 2 2 3 2" xfId="2883" xr:uid="{00000000-0005-0000-0000-000039030000}"/>
    <cellStyle name="20% - Accent6 2 2 3 2 2" xfId="7106" xr:uid="{00000000-0005-0000-0000-00003A030000}"/>
    <cellStyle name="20% - Accent6 2 2 3 2 2 2" xfId="15548" xr:uid="{705C0C24-4BA5-443F-AE7C-1BFAA5955797}"/>
    <cellStyle name="20% - Accent6 2 2 3 2 2 3" xfId="23983" xr:uid="{EAB4EA90-3817-4553-848D-7659C2F177C5}"/>
    <cellStyle name="20% - Accent6 2 2 3 2 3" xfId="11330" xr:uid="{6DE9E2BE-41E0-4A9B-BA6D-1F5DFF96CBA6}"/>
    <cellStyle name="20% - Accent6 2 2 3 2 4" xfId="19766" xr:uid="{4056E4B4-0829-4CCB-892B-DFC56B38C790}"/>
    <cellStyle name="20% - Accent6 2 2 3 3" xfId="4961" xr:uid="{00000000-0005-0000-0000-00003B030000}"/>
    <cellStyle name="20% - Accent6 2 2 3 3 2" xfId="13403" xr:uid="{BF65F421-8A85-4D1F-A21A-F62AF2B86799}"/>
    <cellStyle name="20% - Accent6 2 2 3 3 3" xfId="21838" xr:uid="{C111D179-BAA9-4D86-8B3C-2786E67FB8DF}"/>
    <cellStyle name="20% - Accent6 2 2 3 4" xfId="9185" xr:uid="{DBF4EF52-448C-4045-B53D-AA33CF965931}"/>
    <cellStyle name="20% - Accent6 2 2 3 5" xfId="17621" xr:uid="{B39ECF31-6ECB-4F09-9594-A4A2CF855210}"/>
    <cellStyle name="20% - Accent6 2 2 4" xfId="1065" xr:uid="{00000000-0005-0000-0000-00003C030000}"/>
    <cellStyle name="20% - Accent6 2 2 4 2" xfId="3296" xr:uid="{00000000-0005-0000-0000-00003D030000}"/>
    <cellStyle name="20% - Accent6 2 2 4 2 2" xfId="7519" xr:uid="{00000000-0005-0000-0000-00003E030000}"/>
    <cellStyle name="20% - Accent6 2 2 4 2 2 2" xfId="15961" xr:uid="{BF5D2AA4-28E5-4E79-BE80-D2BC58D13C54}"/>
    <cellStyle name="20% - Accent6 2 2 4 2 2 3" xfId="24396" xr:uid="{D778B4E8-099E-48B9-800E-3BC74C15E26E}"/>
    <cellStyle name="20% - Accent6 2 2 4 2 3" xfId="11743" xr:uid="{03976EF0-ADD8-439B-99C4-98D39AEFB695}"/>
    <cellStyle name="20% - Accent6 2 2 4 2 4" xfId="20179" xr:uid="{C84C9BC8-35FA-4E19-AC47-105441FAABD6}"/>
    <cellStyle name="20% - Accent6 2 2 4 3" xfId="5374" xr:uid="{00000000-0005-0000-0000-00003F030000}"/>
    <cellStyle name="20% - Accent6 2 2 4 3 2" xfId="13816" xr:uid="{3699FECC-DC93-4A55-9D3F-13B31B64F992}"/>
    <cellStyle name="20% - Accent6 2 2 4 3 3" xfId="22251" xr:uid="{8183A639-E0B1-40FD-A75A-781D02BFEB59}"/>
    <cellStyle name="20% - Accent6 2 2 4 4" xfId="9598" xr:uid="{C3B51FB0-5E78-4758-82C4-1E085BEBE630}"/>
    <cellStyle name="20% - Accent6 2 2 4 5" xfId="18034" xr:uid="{72BC6442-C64D-47FB-B98E-00A2FBA40621}"/>
    <cellStyle name="20% - Accent6 2 2 5" xfId="1479" xr:uid="{00000000-0005-0000-0000-000040030000}"/>
    <cellStyle name="20% - Accent6 2 2 5 2" xfId="3709" xr:uid="{00000000-0005-0000-0000-000041030000}"/>
    <cellStyle name="20% - Accent6 2 2 5 2 2" xfId="7932" xr:uid="{00000000-0005-0000-0000-000042030000}"/>
    <cellStyle name="20% - Accent6 2 2 5 2 2 2" xfId="16374" xr:uid="{CEE0D150-7A38-4DAF-B984-E523314E1C94}"/>
    <cellStyle name="20% - Accent6 2 2 5 2 2 3" xfId="24809" xr:uid="{4BCC08EF-0C38-4371-AB90-4E2118642E93}"/>
    <cellStyle name="20% - Accent6 2 2 5 2 3" xfId="12156" xr:uid="{E1578575-7AAF-4F19-AC4C-D9099B9EE9C7}"/>
    <cellStyle name="20% - Accent6 2 2 5 2 4" xfId="20592" xr:uid="{85B16CD3-F48B-45CF-88A9-EAEB283C8D29}"/>
    <cellStyle name="20% - Accent6 2 2 5 3" xfId="5787" xr:uid="{00000000-0005-0000-0000-000043030000}"/>
    <cellStyle name="20% - Accent6 2 2 5 3 2" xfId="14229" xr:uid="{5450E9F5-D279-4679-9ECC-F6E7C20FC22C}"/>
    <cellStyle name="20% - Accent6 2 2 5 3 3" xfId="22664" xr:uid="{BE9AD863-E3D7-4574-829A-7F6C26E44D88}"/>
    <cellStyle name="20% - Accent6 2 2 5 4" xfId="10011" xr:uid="{96A651E0-370E-494E-AE00-61A092F21263}"/>
    <cellStyle name="20% - Accent6 2 2 5 5" xfId="18447" xr:uid="{1B605B1A-46E0-4D2A-8C03-E5BCC4C01D64}"/>
    <cellStyle name="20% - Accent6 2 2 6" xfId="1893" xr:uid="{00000000-0005-0000-0000-000044030000}"/>
    <cellStyle name="20% - Accent6 2 2 6 2" xfId="4122" xr:uid="{00000000-0005-0000-0000-000045030000}"/>
    <cellStyle name="20% - Accent6 2 2 6 2 2" xfId="8345" xr:uid="{00000000-0005-0000-0000-000046030000}"/>
    <cellStyle name="20% - Accent6 2 2 6 2 2 2" xfId="16787" xr:uid="{B89048E7-F69E-425C-BB73-88E121576807}"/>
    <cellStyle name="20% - Accent6 2 2 6 2 2 3" xfId="25222" xr:uid="{89B4B5E3-C0B4-4332-87E5-7D77C9351FB2}"/>
    <cellStyle name="20% - Accent6 2 2 6 2 3" xfId="12569" xr:uid="{C19C8873-E1D4-4529-BA1B-3B6F63A4F56E}"/>
    <cellStyle name="20% - Accent6 2 2 6 2 4" xfId="21005" xr:uid="{0F8D0EF9-48EF-423D-9BDD-7D0082BDB8DF}"/>
    <cellStyle name="20% - Accent6 2 2 6 3" xfId="6200" xr:uid="{00000000-0005-0000-0000-000047030000}"/>
    <cellStyle name="20% - Accent6 2 2 6 3 2" xfId="14642" xr:uid="{ED880233-A687-4843-AC80-3DB43FF2486E}"/>
    <cellStyle name="20% - Accent6 2 2 6 3 3" xfId="23077" xr:uid="{DB989D16-E1D0-485E-9FCC-AC1B1C9AF677}"/>
    <cellStyle name="20% - Accent6 2 2 6 4" xfId="10424" xr:uid="{EA5CC113-BB08-4D1F-8CD1-225A044DCF6C}"/>
    <cellStyle name="20% - Accent6 2 2 6 5" xfId="18860" xr:uid="{C24A70E1-D812-4D3B-96E2-67F6B160E4D6}"/>
    <cellStyle name="20% - Accent6 2 2 7" xfId="2306" xr:uid="{00000000-0005-0000-0000-000048030000}"/>
    <cellStyle name="20% - Accent6 2 2 7 2" xfId="6613" xr:uid="{00000000-0005-0000-0000-000049030000}"/>
    <cellStyle name="20% - Accent6 2 2 7 2 2" xfId="15055" xr:uid="{543DE7F2-9F70-443E-BB59-938D02A7AADC}"/>
    <cellStyle name="20% - Accent6 2 2 7 2 3" xfId="23490" xr:uid="{44C94677-B596-45E5-AEAC-AC2C4AC4900E}"/>
    <cellStyle name="20% - Accent6 2 2 7 3" xfId="10837" xr:uid="{D6AFFA31-5BC9-40C9-94F5-46499EA71D07}"/>
    <cellStyle name="20% - Accent6 2 2 7 4" xfId="19273" xr:uid="{5A760428-C8E1-492D-AEAD-43FC1CDEF969}"/>
    <cellStyle name="20% - Accent6 2 2 8" xfId="4547" xr:uid="{00000000-0005-0000-0000-00004A030000}"/>
    <cellStyle name="20% - Accent6 2 2 8 2" xfId="12989" xr:uid="{098A99D1-BFB0-4BA1-A2A0-0F9E400E5DF9}"/>
    <cellStyle name="20% - Accent6 2 2 8 3" xfId="21424" xr:uid="{FF60BE21-4DAC-465A-AE40-A006C9A0764B}"/>
    <cellStyle name="20% - Accent6 2 2 9" xfId="8771" xr:uid="{EEFBB2EC-ADFB-43C7-85BB-E0BABE8F179F}"/>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2 2 2" xfId="15550" xr:uid="{4099E1EA-2628-40DF-8C2E-F2EA72E1F133}"/>
    <cellStyle name="20% - Accent6 2 3 2 2 2 3" xfId="23985" xr:uid="{885CEB2B-2B18-478B-B847-D60E9743DE9D}"/>
    <cellStyle name="20% - Accent6 2 3 2 2 3" xfId="11332" xr:uid="{84563052-FB73-4DBD-B728-83CD6E68E406}"/>
    <cellStyle name="20% - Accent6 2 3 2 2 4" xfId="19768" xr:uid="{64BFBA6A-3A80-4207-9900-4895827B78CF}"/>
    <cellStyle name="20% - Accent6 2 3 2 3" xfId="4963" xr:uid="{00000000-0005-0000-0000-00004F030000}"/>
    <cellStyle name="20% - Accent6 2 3 2 3 2" xfId="13405" xr:uid="{D681C76E-BC73-4D4B-8725-B7D43359B14F}"/>
    <cellStyle name="20% - Accent6 2 3 2 3 3" xfId="21840" xr:uid="{4EF8CF95-5073-4994-84FC-46488BC69DF2}"/>
    <cellStyle name="20% - Accent6 2 3 2 4" xfId="9187" xr:uid="{A1919929-79E1-4EBF-93A1-54CDDC5B85A6}"/>
    <cellStyle name="20% - Accent6 2 3 2 5" xfId="17623" xr:uid="{477006FB-6916-4D3E-9CCA-CE7DB57F039E}"/>
    <cellStyle name="20% - Accent6 2 3 3" xfId="1067" xr:uid="{00000000-0005-0000-0000-000050030000}"/>
    <cellStyle name="20% - Accent6 2 3 3 2" xfId="3298" xr:uid="{00000000-0005-0000-0000-000051030000}"/>
    <cellStyle name="20% - Accent6 2 3 3 2 2" xfId="7521" xr:uid="{00000000-0005-0000-0000-000052030000}"/>
    <cellStyle name="20% - Accent6 2 3 3 2 2 2" xfId="15963" xr:uid="{A36378B5-F159-464C-B561-F00548921EDD}"/>
    <cellStyle name="20% - Accent6 2 3 3 2 2 3" xfId="24398" xr:uid="{E6DEED76-17D0-4BA4-B129-E289EA23CC84}"/>
    <cellStyle name="20% - Accent6 2 3 3 2 3" xfId="11745" xr:uid="{B3C7137D-A6FE-4694-832B-D6E44348406A}"/>
    <cellStyle name="20% - Accent6 2 3 3 2 4" xfId="20181" xr:uid="{73D1545B-01E3-49AF-9D69-5C38DA08BF23}"/>
    <cellStyle name="20% - Accent6 2 3 3 3" xfId="5376" xr:uid="{00000000-0005-0000-0000-000053030000}"/>
    <cellStyle name="20% - Accent6 2 3 3 3 2" xfId="13818" xr:uid="{253FE242-A204-4496-9EC1-7F1E8CA603E7}"/>
    <cellStyle name="20% - Accent6 2 3 3 3 3" xfId="22253" xr:uid="{53394DD9-2A3F-4C60-B1AC-36299C5477CA}"/>
    <cellStyle name="20% - Accent6 2 3 3 4" xfId="9600" xr:uid="{FF8D8C49-DABB-4629-89B0-C680CA003E56}"/>
    <cellStyle name="20% - Accent6 2 3 3 5" xfId="18036" xr:uid="{2D620FAD-E285-493D-926F-0FA1F4F39BDA}"/>
    <cellStyle name="20% - Accent6 2 3 4" xfId="1481" xr:uid="{00000000-0005-0000-0000-000054030000}"/>
    <cellStyle name="20% - Accent6 2 3 4 2" xfId="3711" xr:uid="{00000000-0005-0000-0000-000055030000}"/>
    <cellStyle name="20% - Accent6 2 3 4 2 2" xfId="7934" xr:uid="{00000000-0005-0000-0000-000056030000}"/>
    <cellStyle name="20% - Accent6 2 3 4 2 2 2" xfId="16376" xr:uid="{A07964F9-681E-4F38-8E36-26AB4E8D4C1A}"/>
    <cellStyle name="20% - Accent6 2 3 4 2 2 3" xfId="24811" xr:uid="{6DECEAFF-2DDC-4794-8AE2-97FF7C143C8B}"/>
    <cellStyle name="20% - Accent6 2 3 4 2 3" xfId="12158" xr:uid="{F625A9A3-353A-4030-B65D-2C8A8EABE575}"/>
    <cellStyle name="20% - Accent6 2 3 4 2 4" xfId="20594" xr:uid="{268658E5-E854-4B1F-B836-7FBFE597D31B}"/>
    <cellStyle name="20% - Accent6 2 3 4 3" xfId="5789" xr:uid="{00000000-0005-0000-0000-000057030000}"/>
    <cellStyle name="20% - Accent6 2 3 4 3 2" xfId="14231" xr:uid="{CEECA90C-D814-47D1-B6FD-64AE91EB353A}"/>
    <cellStyle name="20% - Accent6 2 3 4 3 3" xfId="22666" xr:uid="{EF7B4D2C-33A2-4206-AB08-37C8DFCD215E}"/>
    <cellStyle name="20% - Accent6 2 3 4 4" xfId="10013" xr:uid="{911C4F75-3DFD-4E1F-B97A-F23106D03F0C}"/>
    <cellStyle name="20% - Accent6 2 3 4 5" xfId="18449" xr:uid="{DD8549BE-F99F-4A49-9924-068CCDB06EE4}"/>
    <cellStyle name="20% - Accent6 2 3 5" xfId="1895" xr:uid="{00000000-0005-0000-0000-000058030000}"/>
    <cellStyle name="20% - Accent6 2 3 5 2" xfId="4124" xr:uid="{00000000-0005-0000-0000-000059030000}"/>
    <cellStyle name="20% - Accent6 2 3 5 2 2" xfId="8347" xr:uid="{00000000-0005-0000-0000-00005A030000}"/>
    <cellStyle name="20% - Accent6 2 3 5 2 2 2" xfId="16789" xr:uid="{F1AC9A37-8B99-4A79-8679-4C8B8D51FF47}"/>
    <cellStyle name="20% - Accent6 2 3 5 2 2 3" xfId="25224" xr:uid="{B98F3A84-B763-4E02-890B-2E13A31F3BD9}"/>
    <cellStyle name="20% - Accent6 2 3 5 2 3" xfId="12571" xr:uid="{FA13BD94-BA0B-42EC-AE94-D2D1862F67E7}"/>
    <cellStyle name="20% - Accent6 2 3 5 2 4" xfId="21007" xr:uid="{0ED1A006-AA01-4A72-8B2A-5BC636009BBF}"/>
    <cellStyle name="20% - Accent6 2 3 5 3" xfId="6202" xr:uid="{00000000-0005-0000-0000-00005B030000}"/>
    <cellStyle name="20% - Accent6 2 3 5 3 2" xfId="14644" xr:uid="{A92C33C0-7388-4D11-9753-C119B5AB4D9E}"/>
    <cellStyle name="20% - Accent6 2 3 5 3 3" xfId="23079" xr:uid="{CD2328BF-2826-4E74-A1FC-18FF5AAE6BB7}"/>
    <cellStyle name="20% - Accent6 2 3 5 4" xfId="10426" xr:uid="{5887FF40-2DCF-426E-AC43-803122F5D0DE}"/>
    <cellStyle name="20% - Accent6 2 3 5 5" xfId="18862" xr:uid="{BCE5D4AF-99FA-44E4-B5B9-99F461984D6A}"/>
    <cellStyle name="20% - Accent6 2 3 6" xfId="2308" xr:uid="{00000000-0005-0000-0000-00005C030000}"/>
    <cellStyle name="20% - Accent6 2 3 6 2" xfId="6615" xr:uid="{00000000-0005-0000-0000-00005D030000}"/>
    <cellStyle name="20% - Accent6 2 3 6 2 2" xfId="15057" xr:uid="{D56DDB66-0770-4705-AE31-C585B819AB60}"/>
    <cellStyle name="20% - Accent6 2 3 6 2 3" xfId="23492" xr:uid="{0B1BE29B-05FA-4894-9BCE-A58B717E3CBA}"/>
    <cellStyle name="20% - Accent6 2 3 6 3" xfId="10839" xr:uid="{D587FFA8-9E3D-4B8D-890F-5099FB1462E3}"/>
    <cellStyle name="20% - Accent6 2 3 6 4" xfId="19275" xr:uid="{C18E7A33-34CD-45D4-9AF0-93E3689F5D94}"/>
    <cellStyle name="20% - Accent6 2 3 7" xfId="4549" xr:uid="{00000000-0005-0000-0000-00005E030000}"/>
    <cellStyle name="20% - Accent6 2 3 7 2" xfId="12991" xr:uid="{97D145BB-7F9A-4ED2-8A7E-F0B7E1261181}"/>
    <cellStyle name="20% - Accent6 2 3 7 3" xfId="21426" xr:uid="{7FCAF832-C01A-4680-B009-894B3915F4D9}"/>
    <cellStyle name="20% - Accent6 2 3 8" xfId="8773" xr:uid="{6F3656DE-54AB-46D5-B116-FE676FCEE850}"/>
    <cellStyle name="20% - Accent6 2 3 9" xfId="17209" xr:uid="{B1E4A105-B20C-4A4C-A375-F1954B69DA74}"/>
    <cellStyle name="20% - Accent6 2 4" xfId="611" xr:uid="{00000000-0005-0000-0000-00005F030000}"/>
    <cellStyle name="20% - Accent6 2 4 2" xfId="2882" xr:uid="{00000000-0005-0000-0000-000060030000}"/>
    <cellStyle name="20% - Accent6 2 4 2 2" xfId="7105" xr:uid="{00000000-0005-0000-0000-000061030000}"/>
    <cellStyle name="20% - Accent6 2 4 2 2 2" xfId="15547" xr:uid="{1564E169-CDB0-4D53-A218-66EDE13A3E00}"/>
    <cellStyle name="20% - Accent6 2 4 2 2 3" xfId="23982" xr:uid="{BB8D56EC-7FBD-4569-8445-0B89AD79AEB1}"/>
    <cellStyle name="20% - Accent6 2 4 2 3" xfId="11329" xr:uid="{93FE856C-A365-421F-B694-B80591A6A3AB}"/>
    <cellStyle name="20% - Accent6 2 4 2 4" xfId="19765" xr:uid="{579C72EE-700D-4542-A422-5241C736A5AE}"/>
    <cellStyle name="20% - Accent6 2 4 3" xfId="4960" xr:uid="{00000000-0005-0000-0000-000062030000}"/>
    <cellStyle name="20% - Accent6 2 4 3 2" xfId="13402" xr:uid="{4597B1C7-AD1B-47D0-9CA2-00452EF93FB5}"/>
    <cellStyle name="20% - Accent6 2 4 3 3" xfId="21837" xr:uid="{350744AC-7D0B-4772-9AE7-4A99024D2C41}"/>
    <cellStyle name="20% - Accent6 2 4 4" xfId="9184" xr:uid="{AA295C72-30E2-4D1A-93DB-3B6667D7211C}"/>
    <cellStyle name="20% - Accent6 2 4 5" xfId="17620" xr:uid="{0AB967FE-C2C5-486E-A081-5B0F867BFC14}"/>
    <cellStyle name="20% - Accent6 2 5" xfId="1064" xr:uid="{00000000-0005-0000-0000-000063030000}"/>
    <cellStyle name="20% - Accent6 2 5 2" xfId="3295" xr:uid="{00000000-0005-0000-0000-000064030000}"/>
    <cellStyle name="20% - Accent6 2 5 2 2" xfId="7518" xr:uid="{00000000-0005-0000-0000-000065030000}"/>
    <cellStyle name="20% - Accent6 2 5 2 2 2" xfId="15960" xr:uid="{5980EE80-004E-45E7-B4A4-4DCCD29912B4}"/>
    <cellStyle name="20% - Accent6 2 5 2 2 3" xfId="24395" xr:uid="{582DF273-4005-4C56-A2A6-6F173C2E1FAD}"/>
    <cellStyle name="20% - Accent6 2 5 2 3" xfId="11742" xr:uid="{831F7669-F096-4D48-81E4-C3002734C3B4}"/>
    <cellStyle name="20% - Accent6 2 5 2 4" xfId="20178" xr:uid="{95EA3FF2-9D8F-4B02-87D4-3D115C199D4C}"/>
    <cellStyle name="20% - Accent6 2 5 3" xfId="5373" xr:uid="{00000000-0005-0000-0000-000066030000}"/>
    <cellStyle name="20% - Accent6 2 5 3 2" xfId="13815" xr:uid="{04EC74FE-9262-4C95-87BC-B2405F53F5A3}"/>
    <cellStyle name="20% - Accent6 2 5 3 3" xfId="22250" xr:uid="{5CE6FD08-22FC-4149-8BE2-E56FE0785D19}"/>
    <cellStyle name="20% - Accent6 2 5 4" xfId="9597" xr:uid="{44F70A86-D6F1-40A4-B9F8-9F40EDA4A043}"/>
    <cellStyle name="20% - Accent6 2 5 5" xfId="18033" xr:uid="{ABF6BDED-101B-40D7-9757-6EC145C5BAA9}"/>
    <cellStyle name="20% - Accent6 2 6" xfId="1478" xr:uid="{00000000-0005-0000-0000-000067030000}"/>
    <cellStyle name="20% - Accent6 2 6 2" xfId="3708" xr:uid="{00000000-0005-0000-0000-000068030000}"/>
    <cellStyle name="20% - Accent6 2 6 2 2" xfId="7931" xr:uid="{00000000-0005-0000-0000-000069030000}"/>
    <cellStyle name="20% - Accent6 2 6 2 2 2" xfId="16373" xr:uid="{C2373A9C-B07E-4A09-9AE3-4EDC1DDCFA6C}"/>
    <cellStyle name="20% - Accent6 2 6 2 2 3" xfId="24808" xr:uid="{78656B4F-2431-4FD0-9A13-6E1B5B1F3DB7}"/>
    <cellStyle name="20% - Accent6 2 6 2 3" xfId="12155" xr:uid="{62BB7D1E-0C5D-41AA-A583-D77533FB7D4A}"/>
    <cellStyle name="20% - Accent6 2 6 2 4" xfId="20591" xr:uid="{58FF6D3A-A6E3-4364-BCF0-115A2E399A22}"/>
    <cellStyle name="20% - Accent6 2 6 3" xfId="5786" xr:uid="{00000000-0005-0000-0000-00006A030000}"/>
    <cellStyle name="20% - Accent6 2 6 3 2" xfId="14228" xr:uid="{485A0757-5123-4DA4-A229-808A23BDC299}"/>
    <cellStyle name="20% - Accent6 2 6 3 3" xfId="22663" xr:uid="{52807A22-347E-4B5C-BB32-B42FCF1C89B1}"/>
    <cellStyle name="20% - Accent6 2 6 4" xfId="10010" xr:uid="{A2705E5E-30C9-46C3-A301-45A41B6B6FA1}"/>
    <cellStyle name="20% - Accent6 2 6 5" xfId="18446" xr:uid="{5381497A-A8DF-493F-921D-3FD9DE4D6B19}"/>
    <cellStyle name="20% - Accent6 2 7" xfId="1892" xr:uid="{00000000-0005-0000-0000-00006B030000}"/>
    <cellStyle name="20% - Accent6 2 7 2" xfId="4121" xr:uid="{00000000-0005-0000-0000-00006C030000}"/>
    <cellStyle name="20% - Accent6 2 7 2 2" xfId="8344" xr:uid="{00000000-0005-0000-0000-00006D030000}"/>
    <cellStyle name="20% - Accent6 2 7 2 2 2" xfId="16786" xr:uid="{D0264F25-BD1E-4B58-A518-097A9C543E33}"/>
    <cellStyle name="20% - Accent6 2 7 2 2 3" xfId="25221" xr:uid="{B3ED1B29-17B7-4116-ADF5-F4A4BB302ACA}"/>
    <cellStyle name="20% - Accent6 2 7 2 3" xfId="12568" xr:uid="{C85BFF63-A330-478D-84AD-E8057B255BAF}"/>
    <cellStyle name="20% - Accent6 2 7 2 4" xfId="21004" xr:uid="{68C22792-7297-4B5D-8451-E7A4B35F71B8}"/>
    <cellStyle name="20% - Accent6 2 7 3" xfId="6199" xr:uid="{00000000-0005-0000-0000-00006E030000}"/>
    <cellStyle name="20% - Accent6 2 7 3 2" xfId="14641" xr:uid="{C69B1773-B712-4241-9B2E-8622915D39B7}"/>
    <cellStyle name="20% - Accent6 2 7 3 3" xfId="23076" xr:uid="{BCBF1DF0-AB28-4AC9-9246-9C2F516F9EDD}"/>
    <cellStyle name="20% - Accent6 2 7 4" xfId="10423" xr:uid="{D61C87BF-4FCF-473B-89D2-C9F66B89A7D8}"/>
    <cellStyle name="20% - Accent6 2 7 5" xfId="18859" xr:uid="{15982D7E-ADF5-4BD8-85C5-74F57534D1A5}"/>
    <cellStyle name="20% - Accent6 2 8" xfId="2305" xr:uid="{00000000-0005-0000-0000-00006F030000}"/>
    <cellStyle name="20% - Accent6 2 8 2" xfId="6612" xr:uid="{00000000-0005-0000-0000-000070030000}"/>
    <cellStyle name="20% - Accent6 2 8 2 2" xfId="15054" xr:uid="{9DFBD57A-4DB6-4D8A-B72E-FE15F3D82209}"/>
    <cellStyle name="20% - Accent6 2 8 2 3" xfId="23489" xr:uid="{43CD16DF-D1B4-4BDB-9968-F02F1ED1F8A5}"/>
    <cellStyle name="20% - Accent6 2 8 3" xfId="10836" xr:uid="{A7FAD4A9-C861-4D16-BCD0-9DFDF8EDB612}"/>
    <cellStyle name="20% - Accent6 2 8 4" xfId="19272" xr:uid="{FB26ABC7-A8A3-46E2-A2B1-20B67307C3CE}"/>
    <cellStyle name="20% - Accent6 2 9" xfId="4546" xr:uid="{00000000-0005-0000-0000-000071030000}"/>
    <cellStyle name="20% - Accent6 2 9 2" xfId="12988" xr:uid="{807F7179-9C9D-4FC3-9429-92C1961DD7E7}"/>
    <cellStyle name="20% - Accent6 2 9 3" xfId="21423" xr:uid="{2F51C529-6C56-4789-B061-EFB462855F6A}"/>
    <cellStyle name="20% - Accent6 3" xfId="46" xr:uid="{00000000-0005-0000-0000-000072030000}"/>
    <cellStyle name="20% - Accent6 3 10" xfId="17210" xr:uid="{14BD0E57-A9B1-498E-BECF-6E0C29C93BBB}"/>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2 2 2" xfId="15552" xr:uid="{543F95EE-626C-4411-B068-EAA8812C850A}"/>
    <cellStyle name="20% - Accent6 3 2 2 2 2 3" xfId="23987" xr:uid="{F9E8BFB0-8844-4514-A6A3-37B681E7474A}"/>
    <cellStyle name="20% - Accent6 3 2 2 2 3" xfId="11334" xr:uid="{80380F9D-14AE-428F-BDD4-0F86D85A2447}"/>
    <cellStyle name="20% - Accent6 3 2 2 2 4" xfId="19770" xr:uid="{2C9248C4-48D1-4E47-A733-F527758E47CA}"/>
    <cellStyle name="20% - Accent6 3 2 2 3" xfId="4965" xr:uid="{00000000-0005-0000-0000-000077030000}"/>
    <cellStyle name="20% - Accent6 3 2 2 3 2" xfId="13407" xr:uid="{4FC8746D-0EA7-4E55-AADB-89F4EE6BA39D}"/>
    <cellStyle name="20% - Accent6 3 2 2 3 3" xfId="21842" xr:uid="{229640AC-4751-4EB8-BE57-B8EB19159DED}"/>
    <cellStyle name="20% - Accent6 3 2 2 4" xfId="9189" xr:uid="{FA7A7B90-ABF6-4CD4-8F5D-F2AC01D0582B}"/>
    <cellStyle name="20% - Accent6 3 2 2 5" xfId="17625" xr:uid="{78B6C38F-CC74-4FFA-820F-15F049609C3C}"/>
    <cellStyle name="20% - Accent6 3 2 3" xfId="1069" xr:uid="{00000000-0005-0000-0000-000078030000}"/>
    <cellStyle name="20% - Accent6 3 2 3 2" xfId="3300" xr:uid="{00000000-0005-0000-0000-000079030000}"/>
    <cellStyle name="20% - Accent6 3 2 3 2 2" xfId="7523" xr:uid="{00000000-0005-0000-0000-00007A030000}"/>
    <cellStyle name="20% - Accent6 3 2 3 2 2 2" xfId="15965" xr:uid="{E5A1CD99-09C1-4D69-AFF2-7F01C45A80F9}"/>
    <cellStyle name="20% - Accent6 3 2 3 2 2 3" xfId="24400" xr:uid="{1377A78D-1434-41CD-AC98-64257CFC16C3}"/>
    <cellStyle name="20% - Accent6 3 2 3 2 3" xfId="11747" xr:uid="{337088F6-1E37-4CF3-9BA1-4F244BE25520}"/>
    <cellStyle name="20% - Accent6 3 2 3 2 4" xfId="20183" xr:uid="{57BCFB19-1641-4BAA-B929-4F689690E38C}"/>
    <cellStyle name="20% - Accent6 3 2 3 3" xfId="5378" xr:uid="{00000000-0005-0000-0000-00007B030000}"/>
    <cellStyle name="20% - Accent6 3 2 3 3 2" xfId="13820" xr:uid="{8833A905-7C39-40AD-8CD9-02F9EECDC3C9}"/>
    <cellStyle name="20% - Accent6 3 2 3 3 3" xfId="22255" xr:uid="{86446C0D-D609-4F5C-A19F-56BC43DE4C4E}"/>
    <cellStyle name="20% - Accent6 3 2 3 4" xfId="9602" xr:uid="{8C3C5391-D272-4263-9658-F511759BDBB9}"/>
    <cellStyle name="20% - Accent6 3 2 3 5" xfId="18038" xr:uid="{7CA22DFE-116B-484A-8B58-501A36BA5B05}"/>
    <cellStyle name="20% - Accent6 3 2 4" xfId="1483" xr:uid="{00000000-0005-0000-0000-00007C030000}"/>
    <cellStyle name="20% - Accent6 3 2 4 2" xfId="3713" xr:uid="{00000000-0005-0000-0000-00007D030000}"/>
    <cellStyle name="20% - Accent6 3 2 4 2 2" xfId="7936" xr:uid="{00000000-0005-0000-0000-00007E030000}"/>
    <cellStyle name="20% - Accent6 3 2 4 2 2 2" xfId="16378" xr:uid="{A545E7CC-85A6-4A58-81F9-047E6D2340D9}"/>
    <cellStyle name="20% - Accent6 3 2 4 2 2 3" xfId="24813" xr:uid="{26771C30-893A-4EF5-9338-201A842CB578}"/>
    <cellStyle name="20% - Accent6 3 2 4 2 3" xfId="12160" xr:uid="{DF3708B4-69B3-450D-9516-C87C43851396}"/>
    <cellStyle name="20% - Accent6 3 2 4 2 4" xfId="20596" xr:uid="{FE11629C-36CD-429C-8E3E-A6CB941B5A09}"/>
    <cellStyle name="20% - Accent6 3 2 4 3" xfId="5791" xr:uid="{00000000-0005-0000-0000-00007F030000}"/>
    <cellStyle name="20% - Accent6 3 2 4 3 2" xfId="14233" xr:uid="{40AE3AB3-AF73-416F-8533-593E50C390EE}"/>
    <cellStyle name="20% - Accent6 3 2 4 3 3" xfId="22668" xr:uid="{9AC1C0C2-0A67-4652-8324-96B93D145D77}"/>
    <cellStyle name="20% - Accent6 3 2 4 4" xfId="10015" xr:uid="{B1B21549-8EDF-4153-9162-02523BE6C1EF}"/>
    <cellStyle name="20% - Accent6 3 2 4 5" xfId="18451" xr:uid="{873D76BB-E5C5-41F9-BE07-D2C1A650001E}"/>
    <cellStyle name="20% - Accent6 3 2 5" xfId="1897" xr:uid="{00000000-0005-0000-0000-000080030000}"/>
    <cellStyle name="20% - Accent6 3 2 5 2" xfId="4126" xr:uid="{00000000-0005-0000-0000-000081030000}"/>
    <cellStyle name="20% - Accent6 3 2 5 2 2" xfId="8349" xr:uid="{00000000-0005-0000-0000-000082030000}"/>
    <cellStyle name="20% - Accent6 3 2 5 2 2 2" xfId="16791" xr:uid="{D78C7FC9-B00C-46EB-987F-BFC147E82B23}"/>
    <cellStyle name="20% - Accent6 3 2 5 2 2 3" xfId="25226" xr:uid="{48CF8568-EBB4-4CD0-AA7D-3C8196F796DD}"/>
    <cellStyle name="20% - Accent6 3 2 5 2 3" xfId="12573" xr:uid="{EFF98393-7095-4E74-8202-2405BC94104A}"/>
    <cellStyle name="20% - Accent6 3 2 5 2 4" xfId="21009" xr:uid="{FDBAA9F4-F189-4CCF-92C2-D1832D8BC491}"/>
    <cellStyle name="20% - Accent6 3 2 5 3" xfId="6204" xr:uid="{00000000-0005-0000-0000-000083030000}"/>
    <cellStyle name="20% - Accent6 3 2 5 3 2" xfId="14646" xr:uid="{A8A80392-E6D4-4CCC-B035-779BD4DA20D8}"/>
    <cellStyle name="20% - Accent6 3 2 5 3 3" xfId="23081" xr:uid="{5BEC4321-9429-4F3F-8A96-E1CD58D442E6}"/>
    <cellStyle name="20% - Accent6 3 2 5 4" xfId="10428" xr:uid="{58215E17-49AD-47F2-96DD-F56F1443B6DA}"/>
    <cellStyle name="20% - Accent6 3 2 5 5" xfId="18864" xr:uid="{3B8AD679-7907-4758-80C7-9DB542F73772}"/>
    <cellStyle name="20% - Accent6 3 2 6" xfId="2310" xr:uid="{00000000-0005-0000-0000-000084030000}"/>
    <cellStyle name="20% - Accent6 3 2 6 2" xfId="6617" xr:uid="{00000000-0005-0000-0000-000085030000}"/>
    <cellStyle name="20% - Accent6 3 2 6 2 2" xfId="15059" xr:uid="{26DC96FD-9CB9-4D40-B578-336A661037F3}"/>
    <cellStyle name="20% - Accent6 3 2 6 2 3" xfId="23494" xr:uid="{7C5F41E2-51A7-4B63-95D4-BE1A97A01DBC}"/>
    <cellStyle name="20% - Accent6 3 2 6 3" xfId="10841" xr:uid="{9156D487-678B-4F09-9C2E-8538A6F3E4E9}"/>
    <cellStyle name="20% - Accent6 3 2 6 4" xfId="19277" xr:uid="{05D78C89-27EA-4AB9-B652-09E245C6745C}"/>
    <cellStyle name="20% - Accent6 3 2 7" xfId="4551" xr:uid="{00000000-0005-0000-0000-000086030000}"/>
    <cellStyle name="20% - Accent6 3 2 7 2" xfId="12993" xr:uid="{82C878B1-412C-42D9-ACA9-D8BCC30BFDD8}"/>
    <cellStyle name="20% - Accent6 3 2 7 3" xfId="21428" xr:uid="{6DC6E814-0875-432E-A527-CC76F806081A}"/>
    <cellStyle name="20% - Accent6 3 2 8" xfId="8775" xr:uid="{14C1E399-14ED-47CE-9451-202A086B5E9D}"/>
    <cellStyle name="20% - Accent6 3 2 9" xfId="17211" xr:uid="{BAB6FC40-DE54-4762-A7BA-C2A5E44DE4EA}"/>
    <cellStyle name="20% - Accent6 3 3" xfId="615" xr:uid="{00000000-0005-0000-0000-000087030000}"/>
    <cellStyle name="20% - Accent6 3 3 2" xfId="2886" xr:uid="{00000000-0005-0000-0000-000088030000}"/>
    <cellStyle name="20% - Accent6 3 3 2 2" xfId="7109" xr:uid="{00000000-0005-0000-0000-000089030000}"/>
    <cellStyle name="20% - Accent6 3 3 2 2 2" xfId="15551" xr:uid="{FFFB8B52-CD9A-4D02-BF10-30670F4D6A0D}"/>
    <cellStyle name="20% - Accent6 3 3 2 2 3" xfId="23986" xr:uid="{E61F0B36-2BB8-492F-AD12-EA54656D197A}"/>
    <cellStyle name="20% - Accent6 3 3 2 3" xfId="11333" xr:uid="{443F4107-DCF5-420E-B854-4E510A983688}"/>
    <cellStyle name="20% - Accent6 3 3 2 4" xfId="19769" xr:uid="{CD314529-063F-49D6-83BA-FC9270021F1A}"/>
    <cellStyle name="20% - Accent6 3 3 3" xfId="4964" xr:uid="{00000000-0005-0000-0000-00008A030000}"/>
    <cellStyle name="20% - Accent6 3 3 3 2" xfId="13406" xr:uid="{E69941D0-4971-4E28-AB2B-E6B32EE0B92E}"/>
    <cellStyle name="20% - Accent6 3 3 3 3" xfId="21841" xr:uid="{475CD1F9-FC11-468F-B3BF-158E0F8A0B55}"/>
    <cellStyle name="20% - Accent6 3 3 4" xfId="9188" xr:uid="{C8BBF7CC-80D4-455F-85D5-01844BF45CF2}"/>
    <cellStyle name="20% - Accent6 3 3 5" xfId="17624" xr:uid="{FB27FE18-FBDD-4E71-A6E8-802158211FBB}"/>
    <cellStyle name="20% - Accent6 3 4" xfId="1068" xr:uid="{00000000-0005-0000-0000-00008B030000}"/>
    <cellStyle name="20% - Accent6 3 4 2" xfId="3299" xr:uid="{00000000-0005-0000-0000-00008C030000}"/>
    <cellStyle name="20% - Accent6 3 4 2 2" xfId="7522" xr:uid="{00000000-0005-0000-0000-00008D030000}"/>
    <cellStyle name="20% - Accent6 3 4 2 2 2" xfId="15964" xr:uid="{1DF700DD-8D5F-4EC2-840B-12F4CDDBC32A}"/>
    <cellStyle name="20% - Accent6 3 4 2 2 3" xfId="24399" xr:uid="{363FC2BA-AE20-4223-8C74-11F0766792A3}"/>
    <cellStyle name="20% - Accent6 3 4 2 3" xfId="11746" xr:uid="{F86B0357-5808-4231-872A-AF0D9E7059A4}"/>
    <cellStyle name="20% - Accent6 3 4 2 4" xfId="20182" xr:uid="{EA9FA679-EB78-425A-A98C-D959B69C7085}"/>
    <cellStyle name="20% - Accent6 3 4 3" xfId="5377" xr:uid="{00000000-0005-0000-0000-00008E030000}"/>
    <cellStyle name="20% - Accent6 3 4 3 2" xfId="13819" xr:uid="{E1D16ADF-4CFA-4C61-A440-F213CC5B9A6B}"/>
    <cellStyle name="20% - Accent6 3 4 3 3" xfId="22254" xr:uid="{A2DB71ED-EE6F-4480-A1AC-5589AD663CA4}"/>
    <cellStyle name="20% - Accent6 3 4 4" xfId="9601" xr:uid="{AA800FE8-05C6-4CB4-9748-DB113BFA8FBD}"/>
    <cellStyle name="20% - Accent6 3 4 5" xfId="18037" xr:uid="{749759CD-30F5-496F-9FFF-9D3AD9FFB751}"/>
    <cellStyle name="20% - Accent6 3 5" xfId="1482" xr:uid="{00000000-0005-0000-0000-00008F030000}"/>
    <cellStyle name="20% - Accent6 3 5 2" xfId="3712" xr:uid="{00000000-0005-0000-0000-000090030000}"/>
    <cellStyle name="20% - Accent6 3 5 2 2" xfId="7935" xr:uid="{00000000-0005-0000-0000-000091030000}"/>
    <cellStyle name="20% - Accent6 3 5 2 2 2" xfId="16377" xr:uid="{F7C1F99F-F21F-4D04-BD8D-E5B9A4570928}"/>
    <cellStyle name="20% - Accent6 3 5 2 2 3" xfId="24812" xr:uid="{D003C004-6108-4511-A37C-CD95200AC0A7}"/>
    <cellStyle name="20% - Accent6 3 5 2 3" xfId="12159" xr:uid="{40839BE2-A454-4278-80C8-B1A9AE94F7F0}"/>
    <cellStyle name="20% - Accent6 3 5 2 4" xfId="20595" xr:uid="{6915A5C6-754A-4984-9180-617454AE5971}"/>
    <cellStyle name="20% - Accent6 3 5 3" xfId="5790" xr:uid="{00000000-0005-0000-0000-000092030000}"/>
    <cellStyle name="20% - Accent6 3 5 3 2" xfId="14232" xr:uid="{6653F7E9-1D0D-4525-A31E-205D72589660}"/>
    <cellStyle name="20% - Accent6 3 5 3 3" xfId="22667" xr:uid="{40164F9C-C8BF-4E78-A67E-C9C0D07DC584}"/>
    <cellStyle name="20% - Accent6 3 5 4" xfId="10014" xr:uid="{D3A98355-A2A4-4653-AF75-6C82E56A4D3D}"/>
    <cellStyle name="20% - Accent6 3 5 5" xfId="18450" xr:uid="{F8FEDCFB-2861-4D79-AAE4-EAE10AE8D179}"/>
    <cellStyle name="20% - Accent6 3 6" xfId="1896" xr:uid="{00000000-0005-0000-0000-000093030000}"/>
    <cellStyle name="20% - Accent6 3 6 2" xfId="4125" xr:uid="{00000000-0005-0000-0000-000094030000}"/>
    <cellStyle name="20% - Accent6 3 6 2 2" xfId="8348" xr:uid="{00000000-0005-0000-0000-000095030000}"/>
    <cellStyle name="20% - Accent6 3 6 2 2 2" xfId="16790" xr:uid="{3710B4D9-F388-419A-8AD9-75BD10CA3AB0}"/>
    <cellStyle name="20% - Accent6 3 6 2 2 3" xfId="25225" xr:uid="{B819708B-31BD-4066-9FB5-2EFFB2FD3AF2}"/>
    <cellStyle name="20% - Accent6 3 6 2 3" xfId="12572" xr:uid="{9B7CE7EE-B483-44D2-94D7-42544A475CA6}"/>
    <cellStyle name="20% - Accent6 3 6 2 4" xfId="21008" xr:uid="{FFFF00C0-2687-41EA-86FA-0AB4259A0C1A}"/>
    <cellStyle name="20% - Accent6 3 6 3" xfId="6203" xr:uid="{00000000-0005-0000-0000-000096030000}"/>
    <cellStyle name="20% - Accent6 3 6 3 2" xfId="14645" xr:uid="{BE36AD4F-13D3-4F97-9A1C-158D2837CE8D}"/>
    <cellStyle name="20% - Accent6 3 6 3 3" xfId="23080" xr:uid="{33154825-2E70-4922-8B6A-AF92DBAF7689}"/>
    <cellStyle name="20% - Accent6 3 6 4" xfId="10427" xr:uid="{1F27221F-C531-460F-8A2C-3DDEACE6930F}"/>
    <cellStyle name="20% - Accent6 3 6 5" xfId="18863" xr:uid="{23948A96-64A0-4F41-87E8-5164D5CFD198}"/>
    <cellStyle name="20% - Accent6 3 7" xfId="2309" xr:uid="{00000000-0005-0000-0000-000097030000}"/>
    <cellStyle name="20% - Accent6 3 7 2" xfId="6616" xr:uid="{00000000-0005-0000-0000-000098030000}"/>
    <cellStyle name="20% - Accent6 3 7 2 2" xfId="15058" xr:uid="{DE26DDD8-336F-4F36-8FC6-95B999F4CEEA}"/>
    <cellStyle name="20% - Accent6 3 7 2 3" xfId="23493" xr:uid="{F5A936E1-7AD5-4487-9780-2F781773D56C}"/>
    <cellStyle name="20% - Accent6 3 7 3" xfId="10840" xr:uid="{2222B785-FA20-4FE0-AB1F-08E159569FAE}"/>
    <cellStyle name="20% - Accent6 3 7 4" xfId="19276" xr:uid="{D6D34925-90BE-454D-B62E-C1B1D18D9D37}"/>
    <cellStyle name="20% - Accent6 3 8" xfId="4550" xr:uid="{00000000-0005-0000-0000-000099030000}"/>
    <cellStyle name="20% - Accent6 3 8 2" xfId="12992" xr:uid="{78C391D1-B87F-4469-99C1-C2D0E383307F}"/>
    <cellStyle name="20% - Accent6 3 8 3" xfId="21427" xr:uid="{324D95A2-88E0-4B01-A296-6ABE16A365AA}"/>
    <cellStyle name="20% - Accent6 3 9" xfId="8774" xr:uid="{515AFFE3-FF57-4B8C-BE91-FD021057ECB7}"/>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2 2 2" xfId="15553" xr:uid="{A3F8DE2A-C7CA-434F-9D6F-3DBA9C2470C0}"/>
    <cellStyle name="20% - Accent6 4 2 2 2 3" xfId="23988" xr:uid="{D1E7CEED-6264-4F0C-8DC6-F8A40DFCA247}"/>
    <cellStyle name="20% - Accent6 4 2 2 3" xfId="11335" xr:uid="{F535F611-6E35-492D-B42C-0FCFFCBC075C}"/>
    <cellStyle name="20% - Accent6 4 2 2 4" xfId="19771" xr:uid="{706A9423-0198-4E12-95D1-0D0B509A2652}"/>
    <cellStyle name="20% - Accent6 4 2 3" xfId="4966" xr:uid="{00000000-0005-0000-0000-00009E030000}"/>
    <cellStyle name="20% - Accent6 4 2 3 2" xfId="13408" xr:uid="{57754F74-09BB-461E-B8AA-A3EBC49961C4}"/>
    <cellStyle name="20% - Accent6 4 2 3 3" xfId="21843" xr:uid="{CC86C677-5239-42AB-BAB9-CA86244A02B9}"/>
    <cellStyle name="20% - Accent6 4 2 4" xfId="9190" xr:uid="{F691FC7C-5F36-4B8B-8A31-8ECC2E2C312A}"/>
    <cellStyle name="20% - Accent6 4 2 5" xfId="17626" xr:uid="{8113216B-4C6B-46E6-BB55-10761E5097A5}"/>
    <cellStyle name="20% - Accent6 4 3" xfId="1070" xr:uid="{00000000-0005-0000-0000-00009F030000}"/>
    <cellStyle name="20% - Accent6 4 3 2" xfId="3301" xr:uid="{00000000-0005-0000-0000-0000A0030000}"/>
    <cellStyle name="20% - Accent6 4 3 2 2" xfId="7524" xr:uid="{00000000-0005-0000-0000-0000A1030000}"/>
    <cellStyle name="20% - Accent6 4 3 2 2 2" xfId="15966" xr:uid="{DDA2F952-4C5E-4791-BAE2-39A9D3D2F147}"/>
    <cellStyle name="20% - Accent6 4 3 2 2 3" xfId="24401" xr:uid="{EC04EEE6-2CB0-4513-9976-B51F92662F6F}"/>
    <cellStyle name="20% - Accent6 4 3 2 3" xfId="11748" xr:uid="{98B189B6-1488-4DBF-A8BC-7283EE12986A}"/>
    <cellStyle name="20% - Accent6 4 3 2 4" xfId="20184" xr:uid="{A5334B3B-8798-4357-B533-4EA4BC022386}"/>
    <cellStyle name="20% - Accent6 4 3 3" xfId="5379" xr:uid="{00000000-0005-0000-0000-0000A2030000}"/>
    <cellStyle name="20% - Accent6 4 3 3 2" xfId="13821" xr:uid="{8A85C97C-6D26-4DCB-810F-0E8DC84526BC}"/>
    <cellStyle name="20% - Accent6 4 3 3 3" xfId="22256" xr:uid="{5F1A1216-7E90-45FC-B1D0-615F393DD77F}"/>
    <cellStyle name="20% - Accent6 4 3 4" xfId="9603" xr:uid="{6E9E9A33-E7BD-4210-93EB-6A85CAEAB2E2}"/>
    <cellStyle name="20% - Accent6 4 3 5" xfId="18039" xr:uid="{704B027D-7223-43FE-8D68-FEB7DF108B92}"/>
    <cellStyle name="20% - Accent6 4 4" xfId="1484" xr:uid="{00000000-0005-0000-0000-0000A3030000}"/>
    <cellStyle name="20% - Accent6 4 4 2" xfId="3714" xr:uid="{00000000-0005-0000-0000-0000A4030000}"/>
    <cellStyle name="20% - Accent6 4 4 2 2" xfId="7937" xr:uid="{00000000-0005-0000-0000-0000A5030000}"/>
    <cellStyle name="20% - Accent6 4 4 2 2 2" xfId="16379" xr:uid="{FFBBD2E8-4B8C-40F4-9A97-9F9FD1A561D1}"/>
    <cellStyle name="20% - Accent6 4 4 2 2 3" xfId="24814" xr:uid="{A7C977A8-D7E3-4AEB-A9A8-C7039ED7269D}"/>
    <cellStyle name="20% - Accent6 4 4 2 3" xfId="12161" xr:uid="{050E4D98-6178-42EB-8D86-677051B38663}"/>
    <cellStyle name="20% - Accent6 4 4 2 4" xfId="20597" xr:uid="{DD9BAE32-6DA9-453C-A3FA-2C7E6BAB2B57}"/>
    <cellStyle name="20% - Accent6 4 4 3" xfId="5792" xr:uid="{00000000-0005-0000-0000-0000A6030000}"/>
    <cellStyle name="20% - Accent6 4 4 3 2" xfId="14234" xr:uid="{3FF2D052-91A4-4A79-9476-B874670A028E}"/>
    <cellStyle name="20% - Accent6 4 4 3 3" xfId="22669" xr:uid="{66AEA28E-7912-42B9-9741-BDDC574FEADE}"/>
    <cellStyle name="20% - Accent6 4 4 4" xfId="10016" xr:uid="{60845108-7A07-41EC-9771-B4CB89F156B0}"/>
    <cellStyle name="20% - Accent6 4 4 5" xfId="18452" xr:uid="{F1DBCD3F-CF5A-4F48-90C4-D05C13D051A7}"/>
    <cellStyle name="20% - Accent6 4 5" xfId="1898" xr:uid="{00000000-0005-0000-0000-0000A7030000}"/>
    <cellStyle name="20% - Accent6 4 5 2" xfId="4127" xr:uid="{00000000-0005-0000-0000-0000A8030000}"/>
    <cellStyle name="20% - Accent6 4 5 2 2" xfId="8350" xr:uid="{00000000-0005-0000-0000-0000A9030000}"/>
    <cellStyle name="20% - Accent6 4 5 2 2 2" xfId="16792" xr:uid="{13449FF4-FCA4-4317-8234-70E3C8A7DF97}"/>
    <cellStyle name="20% - Accent6 4 5 2 2 3" xfId="25227" xr:uid="{4B869C10-E64C-462C-94C5-7D9438321626}"/>
    <cellStyle name="20% - Accent6 4 5 2 3" xfId="12574" xr:uid="{6E2CEEE1-474C-43C6-AB2A-5855CC9FD01D}"/>
    <cellStyle name="20% - Accent6 4 5 2 4" xfId="21010" xr:uid="{8A11304A-1DE1-4C87-847B-90D4B74E65A7}"/>
    <cellStyle name="20% - Accent6 4 5 3" xfId="6205" xr:uid="{00000000-0005-0000-0000-0000AA030000}"/>
    <cellStyle name="20% - Accent6 4 5 3 2" xfId="14647" xr:uid="{32C9F3B0-5F46-4A48-A904-D919B18C35B1}"/>
    <cellStyle name="20% - Accent6 4 5 3 3" xfId="23082" xr:uid="{BA7641DC-4529-44FA-B23B-83815FB91FF7}"/>
    <cellStyle name="20% - Accent6 4 5 4" xfId="10429" xr:uid="{DD9B5278-4350-469F-B822-6CB46D53AE39}"/>
    <cellStyle name="20% - Accent6 4 5 5" xfId="18865" xr:uid="{CEE5F882-7CE7-4A3E-8BDA-A8BDA399203B}"/>
    <cellStyle name="20% - Accent6 4 6" xfId="2311" xr:uid="{00000000-0005-0000-0000-0000AB030000}"/>
    <cellStyle name="20% - Accent6 4 6 2" xfId="6618" xr:uid="{00000000-0005-0000-0000-0000AC030000}"/>
    <cellStyle name="20% - Accent6 4 6 2 2" xfId="15060" xr:uid="{A41F6F24-F76A-4B77-B3BF-9A777BF8A9C1}"/>
    <cellStyle name="20% - Accent6 4 6 2 3" xfId="23495" xr:uid="{7F8E862A-0AA2-4166-8D4E-0B70BEBC6490}"/>
    <cellStyle name="20% - Accent6 4 6 3" xfId="10842" xr:uid="{2EA81E76-2BA8-47A5-9B6C-EC90E9AB19C0}"/>
    <cellStyle name="20% - Accent6 4 6 4" xfId="19278" xr:uid="{C4E7FFAB-6957-4477-85EA-668102702DCE}"/>
    <cellStyle name="20% - Accent6 4 7" xfId="4552" xr:uid="{00000000-0005-0000-0000-0000AD030000}"/>
    <cellStyle name="20% - Accent6 4 7 2" xfId="12994" xr:uid="{03C62730-E98D-4491-BEEA-78857C29AD56}"/>
    <cellStyle name="20% - Accent6 4 7 3" xfId="21429" xr:uid="{316ADC85-1137-4A87-82AA-4259785130F9}"/>
    <cellStyle name="20% - Accent6 4 8" xfId="8776" xr:uid="{303AC973-6EF9-478B-9251-5E3DCEDD4AE1}"/>
    <cellStyle name="20% - Accent6 4 9" xfId="17212" xr:uid="{51FB79B7-8F92-4591-AB85-7A87E01D84AA}"/>
    <cellStyle name="20% - Accent6 5" xfId="610" xr:uid="{00000000-0005-0000-0000-0000AE030000}"/>
    <cellStyle name="20% - Accent6 5 2" xfId="2881" xr:uid="{00000000-0005-0000-0000-0000AF030000}"/>
    <cellStyle name="20% - Accent6 5 2 2" xfId="7104" xr:uid="{00000000-0005-0000-0000-0000B0030000}"/>
    <cellStyle name="20% - Accent6 5 2 2 2" xfId="15546" xr:uid="{45EF6D60-99AC-440A-AB65-989FCD1329E5}"/>
    <cellStyle name="20% - Accent6 5 2 2 3" xfId="23981" xr:uid="{45A92C87-31B3-4F3F-9B23-7896ED979BEC}"/>
    <cellStyle name="20% - Accent6 5 2 3" xfId="11328" xr:uid="{9E443FB6-3816-4303-9423-3961CD2BF83F}"/>
    <cellStyle name="20% - Accent6 5 2 4" xfId="19764" xr:uid="{7A390B97-0E5D-4F06-8B7A-D760459058A5}"/>
    <cellStyle name="20% - Accent6 5 3" xfId="4959" xr:uid="{00000000-0005-0000-0000-0000B1030000}"/>
    <cellStyle name="20% - Accent6 5 3 2" xfId="13401" xr:uid="{DD2237B1-FE99-4077-96D6-039DE6C3E8AC}"/>
    <cellStyle name="20% - Accent6 5 3 3" xfId="21836" xr:uid="{17E302D7-D08A-43CB-AA49-6F16165C325B}"/>
    <cellStyle name="20% - Accent6 5 4" xfId="9183" xr:uid="{A940FBE0-A7C0-42CE-9ACD-81231959146B}"/>
    <cellStyle name="20% - Accent6 5 5" xfId="17619" xr:uid="{49BFD252-B0B2-4469-B6D7-D801A2E09508}"/>
    <cellStyle name="20% - Accent6 6" xfId="1063" xr:uid="{00000000-0005-0000-0000-0000B2030000}"/>
    <cellStyle name="20% - Accent6 6 2" xfId="3294" xr:uid="{00000000-0005-0000-0000-0000B3030000}"/>
    <cellStyle name="20% - Accent6 6 2 2" xfId="7517" xr:uid="{00000000-0005-0000-0000-0000B4030000}"/>
    <cellStyle name="20% - Accent6 6 2 2 2" xfId="15959" xr:uid="{4E6958CF-7117-416E-B554-09F00A521C97}"/>
    <cellStyle name="20% - Accent6 6 2 2 3" xfId="24394" xr:uid="{F9C94599-01B3-4E8A-9AB4-FF5D5DFD1656}"/>
    <cellStyle name="20% - Accent6 6 2 3" xfId="11741" xr:uid="{A0ADE425-DDF5-4B11-84A2-BD49B007153E}"/>
    <cellStyle name="20% - Accent6 6 2 4" xfId="20177" xr:uid="{BA8B350C-2290-46D3-9169-38598EB2EC9A}"/>
    <cellStyle name="20% - Accent6 6 3" xfId="5372" xr:uid="{00000000-0005-0000-0000-0000B5030000}"/>
    <cellStyle name="20% - Accent6 6 3 2" xfId="13814" xr:uid="{4DBC451F-EF4F-4F8E-9CEC-604AB1CDCE4B}"/>
    <cellStyle name="20% - Accent6 6 3 3" xfId="22249" xr:uid="{8A30CD8D-4176-4B31-9F2C-D6ACD367F791}"/>
    <cellStyle name="20% - Accent6 6 4" xfId="9596" xr:uid="{A81DDD96-5AE4-4246-9A29-0F04C8AC4771}"/>
    <cellStyle name="20% - Accent6 6 5" xfId="18032" xr:uid="{4C0E685F-58BB-4D7B-AB1A-2DD9816A6622}"/>
    <cellStyle name="20% - Accent6 7" xfId="1477" xr:uid="{00000000-0005-0000-0000-0000B6030000}"/>
    <cellStyle name="20% - Accent6 7 2" xfId="3707" xr:uid="{00000000-0005-0000-0000-0000B7030000}"/>
    <cellStyle name="20% - Accent6 7 2 2" xfId="7930" xr:uid="{00000000-0005-0000-0000-0000B8030000}"/>
    <cellStyle name="20% - Accent6 7 2 2 2" xfId="16372" xr:uid="{58A25B19-7A5C-437E-802C-FF679AE9C022}"/>
    <cellStyle name="20% - Accent6 7 2 2 3" xfId="24807" xr:uid="{19C148D8-E3D7-4378-A400-5A2E9C252B4F}"/>
    <cellStyle name="20% - Accent6 7 2 3" xfId="12154" xr:uid="{EBFE36CE-135A-4237-AC14-E1648AF750F8}"/>
    <cellStyle name="20% - Accent6 7 2 4" xfId="20590" xr:uid="{DF770F97-4A2C-4ED6-B9BF-E3663D2244C6}"/>
    <cellStyle name="20% - Accent6 7 3" xfId="5785" xr:uid="{00000000-0005-0000-0000-0000B9030000}"/>
    <cellStyle name="20% - Accent6 7 3 2" xfId="14227" xr:uid="{98946F75-287D-4560-A519-D1BF86B69292}"/>
    <cellStyle name="20% - Accent6 7 3 3" xfId="22662" xr:uid="{617FF01E-0A94-4E54-9930-9320D03E121B}"/>
    <cellStyle name="20% - Accent6 7 4" xfId="10009" xr:uid="{759DDACD-1366-44E9-B31E-2CF1952CBE8A}"/>
    <cellStyle name="20% - Accent6 7 5" xfId="18445" xr:uid="{3B56A740-B5B7-45EE-A94F-9AB6350E2C83}"/>
    <cellStyle name="20% - Accent6 8" xfId="1891" xr:uid="{00000000-0005-0000-0000-0000BA030000}"/>
    <cellStyle name="20% - Accent6 8 2" xfId="4120" xr:uid="{00000000-0005-0000-0000-0000BB030000}"/>
    <cellStyle name="20% - Accent6 8 2 2" xfId="8343" xr:uid="{00000000-0005-0000-0000-0000BC030000}"/>
    <cellStyle name="20% - Accent6 8 2 2 2" xfId="16785" xr:uid="{2760EFAF-D462-433E-B964-0C73E9D29188}"/>
    <cellStyle name="20% - Accent6 8 2 2 3" xfId="25220" xr:uid="{F2742DB3-3E5F-44D0-87D3-D2825E7CC53C}"/>
    <cellStyle name="20% - Accent6 8 2 3" xfId="12567" xr:uid="{4695E191-94F0-4C30-8BA7-8DA065780715}"/>
    <cellStyle name="20% - Accent6 8 2 4" xfId="21003" xr:uid="{77794378-A500-4D55-9906-8167C73A6221}"/>
    <cellStyle name="20% - Accent6 8 3" xfId="6198" xr:uid="{00000000-0005-0000-0000-0000BD030000}"/>
    <cellStyle name="20% - Accent6 8 3 2" xfId="14640" xr:uid="{F6F2CA1E-466E-40C2-84A0-3BA836E1BE83}"/>
    <cellStyle name="20% - Accent6 8 3 3" xfId="23075" xr:uid="{F1A51AC4-3EBF-4177-94D3-DEAD390ADE8A}"/>
    <cellStyle name="20% - Accent6 8 4" xfId="10422" xr:uid="{2DFD6CF3-6E8C-4A1E-AB72-61CF8A7A3ED8}"/>
    <cellStyle name="20% - Accent6 8 5" xfId="18858" xr:uid="{FA4CBAAC-4DC8-4855-B7BB-A93A9AC75F72}"/>
    <cellStyle name="20% - Accent6 9" xfId="2304" xr:uid="{00000000-0005-0000-0000-0000BE030000}"/>
    <cellStyle name="20% - Accent6 9 2" xfId="6611" xr:uid="{00000000-0005-0000-0000-0000BF030000}"/>
    <cellStyle name="20% - Accent6 9 2 2" xfId="15053" xr:uid="{4297A533-854A-423B-A1B6-98D1A232CC59}"/>
    <cellStyle name="20% - Accent6 9 2 3" xfId="23488" xr:uid="{F2C2C87E-1511-47AB-B558-E8EA0B1FA0BF}"/>
    <cellStyle name="20% - Accent6 9 3" xfId="10835" xr:uid="{744E4535-3E1C-4761-9EFB-EB4B172FDFA6}"/>
    <cellStyle name="20% - Accent6 9 4" xfId="19271" xr:uid="{DF430F1A-393C-44A0-AA49-8F0AE895E040}"/>
    <cellStyle name="40% - Accent1" xfId="49" builtinId="31" customBuiltin="1"/>
    <cellStyle name="40% - Accent1 10" xfId="4553" xr:uid="{00000000-0005-0000-0000-0000C1030000}"/>
    <cellStyle name="40% - Accent1 10 2" xfId="12995" xr:uid="{EEDB9314-77D4-4A1E-A146-FC21DCCAB11D}"/>
    <cellStyle name="40% - Accent1 10 3" xfId="21430" xr:uid="{BF06D4F0-AF9E-416F-94ED-100C6C18DF1D}"/>
    <cellStyle name="40% - Accent1 11" xfId="8777" xr:uid="{00E869EC-AFC8-4C2F-9DEF-CFD3130C1076}"/>
    <cellStyle name="40% - Accent1 12" xfId="17213" xr:uid="{5C3B0C19-C167-4364-9A91-E7F16E8F7567}"/>
    <cellStyle name="40% - Accent1 2" xfId="50" xr:uid="{00000000-0005-0000-0000-0000C2030000}"/>
    <cellStyle name="40% - Accent1 2 10" xfId="8778" xr:uid="{9FFCA2BB-99A1-42FE-8F59-3EDD6F8862C4}"/>
    <cellStyle name="40% - Accent1 2 11" xfId="17214" xr:uid="{D41C3A48-489E-442B-BDA9-80035F6F7CCE}"/>
    <cellStyle name="40% - Accent1 2 2" xfId="51" xr:uid="{00000000-0005-0000-0000-0000C3030000}"/>
    <cellStyle name="40% - Accent1 2 2 10" xfId="17215" xr:uid="{86D4DCC7-6422-4077-B46E-BA495845B498}"/>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2 2 2" xfId="15557" xr:uid="{63038E5B-5441-420F-B6A9-87A2098D98D8}"/>
    <cellStyle name="40% - Accent1 2 2 2 2 2 2 3" xfId="23992" xr:uid="{96FE2B76-4EE8-4967-AECC-E55C02D8AE40}"/>
    <cellStyle name="40% - Accent1 2 2 2 2 2 3" xfId="11339" xr:uid="{85288428-8514-4F78-9AC2-7FF82440D64E}"/>
    <cellStyle name="40% - Accent1 2 2 2 2 2 4" xfId="19775" xr:uid="{510B2E0E-CE0C-4F37-A9F0-F64CDD64F5D5}"/>
    <cellStyle name="40% - Accent1 2 2 2 2 3" xfId="4970" xr:uid="{00000000-0005-0000-0000-0000C8030000}"/>
    <cellStyle name="40% - Accent1 2 2 2 2 3 2" xfId="13412" xr:uid="{8D426828-210A-4BF2-BC4C-4B34705819C5}"/>
    <cellStyle name="40% - Accent1 2 2 2 2 3 3" xfId="21847" xr:uid="{1967866D-DAC5-46DB-822E-6F752F73208A}"/>
    <cellStyle name="40% - Accent1 2 2 2 2 4" xfId="9194" xr:uid="{D7113CD0-B5A6-4A08-830A-0096086D9A8D}"/>
    <cellStyle name="40% - Accent1 2 2 2 2 5" xfId="17630" xr:uid="{297FB7F4-F2E8-46C8-896C-9A1B27746756}"/>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2 2 2" xfId="15970" xr:uid="{DAFA0094-1F84-4778-BC70-C0CD2849B38B}"/>
    <cellStyle name="40% - Accent1 2 2 2 3 2 2 3" xfId="24405" xr:uid="{B85210FB-28AF-454B-AB70-06D1382134DD}"/>
    <cellStyle name="40% - Accent1 2 2 2 3 2 3" xfId="11752" xr:uid="{324E9475-D29E-4A74-8263-9E13293B1E1A}"/>
    <cellStyle name="40% - Accent1 2 2 2 3 2 4" xfId="20188" xr:uid="{2634C690-4E7A-43E3-A94A-DF6FE3C2807D}"/>
    <cellStyle name="40% - Accent1 2 2 2 3 3" xfId="5383" xr:uid="{00000000-0005-0000-0000-0000CC030000}"/>
    <cellStyle name="40% - Accent1 2 2 2 3 3 2" xfId="13825" xr:uid="{8D36BB32-E808-42E2-8B89-B837D9DDCA35}"/>
    <cellStyle name="40% - Accent1 2 2 2 3 3 3" xfId="22260" xr:uid="{A3CEF3A5-4501-441D-B9A9-C8A7BF9C78C1}"/>
    <cellStyle name="40% - Accent1 2 2 2 3 4" xfId="9607" xr:uid="{A52FF431-47C2-4A99-8096-8499AF183D56}"/>
    <cellStyle name="40% - Accent1 2 2 2 3 5" xfId="18043" xr:uid="{4A330256-E5E9-4E81-A7E5-1BB8DCC75707}"/>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2 2 2" xfId="16383" xr:uid="{1F4DF397-B846-41E2-9633-90E13ED38456}"/>
    <cellStyle name="40% - Accent1 2 2 2 4 2 2 3" xfId="24818" xr:uid="{44D4FE0E-421E-432C-BFE3-FCBF71ED4DB3}"/>
    <cellStyle name="40% - Accent1 2 2 2 4 2 3" xfId="12165" xr:uid="{A54CD77B-196B-4F93-AB50-0445AE4D318E}"/>
    <cellStyle name="40% - Accent1 2 2 2 4 2 4" xfId="20601" xr:uid="{C8B15C97-4B72-44AF-9E27-F5730CBF5E30}"/>
    <cellStyle name="40% - Accent1 2 2 2 4 3" xfId="5796" xr:uid="{00000000-0005-0000-0000-0000D0030000}"/>
    <cellStyle name="40% - Accent1 2 2 2 4 3 2" xfId="14238" xr:uid="{8676ED12-2969-49C1-8A9B-CCDCE3D38F9A}"/>
    <cellStyle name="40% - Accent1 2 2 2 4 3 3" xfId="22673" xr:uid="{3BBF30B0-682C-4D1E-8950-6A48A7F1C89B}"/>
    <cellStyle name="40% - Accent1 2 2 2 4 4" xfId="10020" xr:uid="{271C689C-8E6F-4C02-88CA-A7601C232D7B}"/>
    <cellStyle name="40% - Accent1 2 2 2 4 5" xfId="18456" xr:uid="{7F85CE8B-759C-4BDF-B768-02E34377B5F3}"/>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2 2 2" xfId="16796" xr:uid="{4A2B7148-6EA7-4BF3-B6CD-1FFF1679F6C5}"/>
    <cellStyle name="40% - Accent1 2 2 2 5 2 2 3" xfId="25231" xr:uid="{12FDEC35-8D30-4DD1-999F-BD89443A9738}"/>
    <cellStyle name="40% - Accent1 2 2 2 5 2 3" xfId="12578" xr:uid="{AAB0006C-DB00-4D46-A92C-7C6BE561BAE7}"/>
    <cellStyle name="40% - Accent1 2 2 2 5 2 4" xfId="21014" xr:uid="{A936B1C8-8147-4F42-9031-A9C70D5EF1A2}"/>
    <cellStyle name="40% - Accent1 2 2 2 5 3" xfId="6209" xr:uid="{00000000-0005-0000-0000-0000D4030000}"/>
    <cellStyle name="40% - Accent1 2 2 2 5 3 2" xfId="14651" xr:uid="{6B603F3E-419E-40F3-992F-59A220131CE2}"/>
    <cellStyle name="40% - Accent1 2 2 2 5 3 3" xfId="23086" xr:uid="{6C114C62-F0F8-46B1-B563-643868037790}"/>
    <cellStyle name="40% - Accent1 2 2 2 5 4" xfId="10433" xr:uid="{FAFB92C6-AD3C-4101-B38C-BCEF6C3EEDA5}"/>
    <cellStyle name="40% - Accent1 2 2 2 5 5" xfId="18869" xr:uid="{99357C7D-63C3-4941-B21C-D72906A1A3BF}"/>
    <cellStyle name="40% - Accent1 2 2 2 6" xfId="2315" xr:uid="{00000000-0005-0000-0000-0000D5030000}"/>
    <cellStyle name="40% - Accent1 2 2 2 6 2" xfId="6622" xr:uid="{00000000-0005-0000-0000-0000D6030000}"/>
    <cellStyle name="40% - Accent1 2 2 2 6 2 2" xfId="15064" xr:uid="{E9EA6BE6-4ACE-49B8-A43B-91C187F8E75C}"/>
    <cellStyle name="40% - Accent1 2 2 2 6 2 3" xfId="23499" xr:uid="{355DA8E4-C573-41A1-BFB1-C428A08A1963}"/>
    <cellStyle name="40% - Accent1 2 2 2 6 3" xfId="10846" xr:uid="{F8D2C9E2-34EB-4611-95B8-60FC9849FBE3}"/>
    <cellStyle name="40% - Accent1 2 2 2 6 4" xfId="19282" xr:uid="{E60AC6C4-FDF0-4918-AAA9-EDB1387C2CF8}"/>
    <cellStyle name="40% - Accent1 2 2 2 7" xfId="4556" xr:uid="{00000000-0005-0000-0000-0000D7030000}"/>
    <cellStyle name="40% - Accent1 2 2 2 7 2" xfId="12998" xr:uid="{D340FF22-1931-41DD-9DA5-EAFC20E36CCA}"/>
    <cellStyle name="40% - Accent1 2 2 2 7 3" xfId="21433" xr:uid="{36794752-FE9D-4E2F-A6CA-987239A5036A}"/>
    <cellStyle name="40% - Accent1 2 2 2 8" xfId="8780" xr:uid="{422210AE-F823-49E0-B391-D533C0255571}"/>
    <cellStyle name="40% - Accent1 2 2 2 9" xfId="17216" xr:uid="{60B9440B-A02E-4AA8-96BD-6D0971A97DE8}"/>
    <cellStyle name="40% - Accent1 2 2 3" xfId="620" xr:uid="{00000000-0005-0000-0000-0000D8030000}"/>
    <cellStyle name="40% - Accent1 2 2 3 2" xfId="2891" xr:uid="{00000000-0005-0000-0000-0000D9030000}"/>
    <cellStyle name="40% - Accent1 2 2 3 2 2" xfId="7114" xr:uid="{00000000-0005-0000-0000-0000DA030000}"/>
    <cellStyle name="40% - Accent1 2 2 3 2 2 2" xfId="15556" xr:uid="{0EAF5CE3-01B6-4B2C-A606-D7E40663E1A7}"/>
    <cellStyle name="40% - Accent1 2 2 3 2 2 3" xfId="23991" xr:uid="{ECD4ABC6-9E2D-4343-9E58-2000040E25C8}"/>
    <cellStyle name="40% - Accent1 2 2 3 2 3" xfId="11338" xr:uid="{E83D1720-7288-4036-ADAC-D98D6B0984C8}"/>
    <cellStyle name="40% - Accent1 2 2 3 2 4" xfId="19774" xr:uid="{AF139541-0ED1-40A0-9913-0CD2B5AEF8CE}"/>
    <cellStyle name="40% - Accent1 2 2 3 3" xfId="4969" xr:uid="{00000000-0005-0000-0000-0000DB030000}"/>
    <cellStyle name="40% - Accent1 2 2 3 3 2" xfId="13411" xr:uid="{2FF96D4D-F79E-4D87-B35C-0D27A38A62B7}"/>
    <cellStyle name="40% - Accent1 2 2 3 3 3" xfId="21846" xr:uid="{72D4DF2A-DA35-47FC-A3EB-7DC58C453630}"/>
    <cellStyle name="40% - Accent1 2 2 3 4" xfId="9193" xr:uid="{E1045BF7-227A-46E1-A076-E8C5016C1096}"/>
    <cellStyle name="40% - Accent1 2 2 3 5" xfId="17629" xr:uid="{9E7D8709-85C0-4569-9E95-9896E9762F42}"/>
    <cellStyle name="40% - Accent1 2 2 4" xfId="1073" xr:uid="{00000000-0005-0000-0000-0000DC030000}"/>
    <cellStyle name="40% - Accent1 2 2 4 2" xfId="3304" xr:uid="{00000000-0005-0000-0000-0000DD030000}"/>
    <cellStyle name="40% - Accent1 2 2 4 2 2" xfId="7527" xr:uid="{00000000-0005-0000-0000-0000DE030000}"/>
    <cellStyle name="40% - Accent1 2 2 4 2 2 2" xfId="15969" xr:uid="{5AB93726-FAE9-47EE-BB9E-68B5194F723A}"/>
    <cellStyle name="40% - Accent1 2 2 4 2 2 3" xfId="24404" xr:uid="{BE01AF5E-AC18-43D6-8FC4-F6F57CC42053}"/>
    <cellStyle name="40% - Accent1 2 2 4 2 3" xfId="11751" xr:uid="{CAAB5A39-C228-4CAC-B30A-5136845C7F55}"/>
    <cellStyle name="40% - Accent1 2 2 4 2 4" xfId="20187" xr:uid="{94A72BF9-DFF3-462B-B305-B2A34998EA14}"/>
    <cellStyle name="40% - Accent1 2 2 4 3" xfId="5382" xr:uid="{00000000-0005-0000-0000-0000DF030000}"/>
    <cellStyle name="40% - Accent1 2 2 4 3 2" xfId="13824" xr:uid="{63A7620C-374D-4264-945B-941463829EE5}"/>
    <cellStyle name="40% - Accent1 2 2 4 3 3" xfId="22259" xr:uid="{C2ABFF07-FECF-4AF3-AB0D-32A5DE6004F2}"/>
    <cellStyle name="40% - Accent1 2 2 4 4" xfId="9606" xr:uid="{BC76F0D2-701D-4E82-8180-4601DD758202}"/>
    <cellStyle name="40% - Accent1 2 2 4 5" xfId="18042" xr:uid="{1A08E814-7807-4E1C-8F30-9008835B4251}"/>
    <cellStyle name="40% - Accent1 2 2 5" xfId="1487" xr:uid="{00000000-0005-0000-0000-0000E0030000}"/>
    <cellStyle name="40% - Accent1 2 2 5 2" xfId="3717" xr:uid="{00000000-0005-0000-0000-0000E1030000}"/>
    <cellStyle name="40% - Accent1 2 2 5 2 2" xfId="7940" xr:uid="{00000000-0005-0000-0000-0000E2030000}"/>
    <cellStyle name="40% - Accent1 2 2 5 2 2 2" xfId="16382" xr:uid="{753AA5D7-1791-4765-89F9-A612688927DA}"/>
    <cellStyle name="40% - Accent1 2 2 5 2 2 3" xfId="24817" xr:uid="{76EFBEC5-C8CE-4C6E-BA9C-4A0331D702E6}"/>
    <cellStyle name="40% - Accent1 2 2 5 2 3" xfId="12164" xr:uid="{A8C7A003-7C88-423E-B08A-B5158AC60093}"/>
    <cellStyle name="40% - Accent1 2 2 5 2 4" xfId="20600" xr:uid="{E67A902C-A75B-4F49-A9E6-2F6D3FE0E8FE}"/>
    <cellStyle name="40% - Accent1 2 2 5 3" xfId="5795" xr:uid="{00000000-0005-0000-0000-0000E3030000}"/>
    <cellStyle name="40% - Accent1 2 2 5 3 2" xfId="14237" xr:uid="{47D03F22-41AF-4AAB-A844-17042789D53A}"/>
    <cellStyle name="40% - Accent1 2 2 5 3 3" xfId="22672" xr:uid="{A9813A1B-0805-4833-8601-B93D2BD50B01}"/>
    <cellStyle name="40% - Accent1 2 2 5 4" xfId="10019" xr:uid="{FC25C47D-A3EF-4F8A-8076-0B387F2180D6}"/>
    <cellStyle name="40% - Accent1 2 2 5 5" xfId="18455" xr:uid="{72DC3E07-B99C-4F5E-9FD4-AC064C56EA02}"/>
    <cellStyle name="40% - Accent1 2 2 6" xfId="1901" xr:uid="{00000000-0005-0000-0000-0000E4030000}"/>
    <cellStyle name="40% - Accent1 2 2 6 2" xfId="4130" xr:uid="{00000000-0005-0000-0000-0000E5030000}"/>
    <cellStyle name="40% - Accent1 2 2 6 2 2" xfId="8353" xr:uid="{00000000-0005-0000-0000-0000E6030000}"/>
    <cellStyle name="40% - Accent1 2 2 6 2 2 2" xfId="16795" xr:uid="{CE1DAC8F-39AE-4B9F-8ED9-31AEF4A4F24D}"/>
    <cellStyle name="40% - Accent1 2 2 6 2 2 3" xfId="25230" xr:uid="{3AD900E2-3AF4-40FE-882F-3A4727D7862C}"/>
    <cellStyle name="40% - Accent1 2 2 6 2 3" xfId="12577" xr:uid="{0A59F876-08EB-4CD2-9BC8-24D1E3A352A5}"/>
    <cellStyle name="40% - Accent1 2 2 6 2 4" xfId="21013" xr:uid="{2FEDFD4C-5E4C-4F0E-9230-514AC4618A66}"/>
    <cellStyle name="40% - Accent1 2 2 6 3" xfId="6208" xr:uid="{00000000-0005-0000-0000-0000E7030000}"/>
    <cellStyle name="40% - Accent1 2 2 6 3 2" xfId="14650" xr:uid="{5D109FBB-D2A0-4782-840B-C7A54D0531AC}"/>
    <cellStyle name="40% - Accent1 2 2 6 3 3" xfId="23085" xr:uid="{31A6BB77-BCE4-4D31-88A1-1D9B8812BE6A}"/>
    <cellStyle name="40% - Accent1 2 2 6 4" xfId="10432" xr:uid="{237758D5-67FE-466A-8E34-28C58963C393}"/>
    <cellStyle name="40% - Accent1 2 2 6 5" xfId="18868" xr:uid="{1BA520B3-59E4-44E7-B610-F3DA4AC48951}"/>
    <cellStyle name="40% - Accent1 2 2 7" xfId="2314" xr:uid="{00000000-0005-0000-0000-0000E8030000}"/>
    <cellStyle name="40% - Accent1 2 2 7 2" xfId="6621" xr:uid="{00000000-0005-0000-0000-0000E9030000}"/>
    <cellStyle name="40% - Accent1 2 2 7 2 2" xfId="15063" xr:uid="{71CCAE7B-4FA6-451A-91B4-1EC940C03990}"/>
    <cellStyle name="40% - Accent1 2 2 7 2 3" xfId="23498" xr:uid="{A0D5E942-821A-411B-BBB4-9A80A0413F37}"/>
    <cellStyle name="40% - Accent1 2 2 7 3" xfId="10845" xr:uid="{BABD2ABF-8B94-4C12-9F42-BCE0A014DDB2}"/>
    <cellStyle name="40% - Accent1 2 2 7 4" xfId="19281" xr:uid="{E09EE87F-7D7C-444D-8D2E-8B3ACDB58BB2}"/>
    <cellStyle name="40% - Accent1 2 2 8" xfId="4555" xr:uid="{00000000-0005-0000-0000-0000EA030000}"/>
    <cellStyle name="40% - Accent1 2 2 8 2" xfId="12997" xr:uid="{957F76DD-9DB5-4A2B-975B-50BDCAE50AE4}"/>
    <cellStyle name="40% - Accent1 2 2 8 3" xfId="21432" xr:uid="{64F42B2E-76EB-4795-AA24-8E4D3522CD7D}"/>
    <cellStyle name="40% - Accent1 2 2 9" xfId="8779" xr:uid="{EA1D2D7A-92C0-4AEA-8ECB-56583EBED596}"/>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2 2 2" xfId="15558" xr:uid="{1128526A-CF60-4993-95F4-F6C1AD6E151A}"/>
    <cellStyle name="40% - Accent1 2 3 2 2 2 3" xfId="23993" xr:uid="{EC916F3B-A118-4231-B699-AFB07683EDE2}"/>
    <cellStyle name="40% - Accent1 2 3 2 2 3" xfId="11340" xr:uid="{F9E7E824-2ACB-4CD5-9512-CC53390CAA27}"/>
    <cellStyle name="40% - Accent1 2 3 2 2 4" xfId="19776" xr:uid="{35D11368-59E3-4456-91FE-4FED23C0EBE3}"/>
    <cellStyle name="40% - Accent1 2 3 2 3" xfId="4971" xr:uid="{00000000-0005-0000-0000-0000EF030000}"/>
    <cellStyle name="40% - Accent1 2 3 2 3 2" xfId="13413" xr:uid="{DCCFA0D0-8DA4-487B-99BF-228034F7B57C}"/>
    <cellStyle name="40% - Accent1 2 3 2 3 3" xfId="21848" xr:uid="{A1C3173B-1514-4303-B8E3-41B5B0F37E01}"/>
    <cellStyle name="40% - Accent1 2 3 2 4" xfId="9195" xr:uid="{D02FB933-40A3-488B-970D-466BA12135F5}"/>
    <cellStyle name="40% - Accent1 2 3 2 5" xfId="17631" xr:uid="{E5208128-E909-43E1-A11E-F756459E0503}"/>
    <cellStyle name="40% - Accent1 2 3 3" xfId="1075" xr:uid="{00000000-0005-0000-0000-0000F0030000}"/>
    <cellStyle name="40% - Accent1 2 3 3 2" xfId="3306" xr:uid="{00000000-0005-0000-0000-0000F1030000}"/>
    <cellStyle name="40% - Accent1 2 3 3 2 2" xfId="7529" xr:uid="{00000000-0005-0000-0000-0000F2030000}"/>
    <cellStyle name="40% - Accent1 2 3 3 2 2 2" xfId="15971" xr:uid="{FEC5964F-7A51-4CE1-835F-469F944366FC}"/>
    <cellStyle name="40% - Accent1 2 3 3 2 2 3" xfId="24406" xr:uid="{2AB55A1B-8E4F-4BA4-B012-D291070552A8}"/>
    <cellStyle name="40% - Accent1 2 3 3 2 3" xfId="11753" xr:uid="{F78A7E05-913C-4AB0-AF82-8A48F356D974}"/>
    <cellStyle name="40% - Accent1 2 3 3 2 4" xfId="20189" xr:uid="{B68889FB-E84E-47EF-AE9A-9C7686EE093B}"/>
    <cellStyle name="40% - Accent1 2 3 3 3" xfId="5384" xr:uid="{00000000-0005-0000-0000-0000F3030000}"/>
    <cellStyle name="40% - Accent1 2 3 3 3 2" xfId="13826" xr:uid="{06D19759-AF86-40B4-98B5-0E83EB46D471}"/>
    <cellStyle name="40% - Accent1 2 3 3 3 3" xfId="22261" xr:uid="{AF6261D1-5E54-46D0-B7F5-A14161C71698}"/>
    <cellStyle name="40% - Accent1 2 3 3 4" xfId="9608" xr:uid="{41E8E34B-B9D6-4469-82A5-5987D29BE0B1}"/>
    <cellStyle name="40% - Accent1 2 3 3 5" xfId="18044" xr:uid="{32C7084C-DE04-47F0-91D7-F4D55DF07A8C}"/>
    <cellStyle name="40% - Accent1 2 3 4" xfId="1489" xr:uid="{00000000-0005-0000-0000-0000F4030000}"/>
    <cellStyle name="40% - Accent1 2 3 4 2" xfId="3719" xr:uid="{00000000-0005-0000-0000-0000F5030000}"/>
    <cellStyle name="40% - Accent1 2 3 4 2 2" xfId="7942" xr:uid="{00000000-0005-0000-0000-0000F6030000}"/>
    <cellStyle name="40% - Accent1 2 3 4 2 2 2" xfId="16384" xr:uid="{A3BF174F-716E-418B-8326-16E3DADB8928}"/>
    <cellStyle name="40% - Accent1 2 3 4 2 2 3" xfId="24819" xr:uid="{6DD2D950-04E4-44EC-AD3F-D9DEA0C6197D}"/>
    <cellStyle name="40% - Accent1 2 3 4 2 3" xfId="12166" xr:uid="{566D9640-50AC-4DEC-AAFB-982789F19777}"/>
    <cellStyle name="40% - Accent1 2 3 4 2 4" xfId="20602" xr:uid="{DA158758-CD94-41E5-B158-D050ABAF9B20}"/>
    <cellStyle name="40% - Accent1 2 3 4 3" xfId="5797" xr:uid="{00000000-0005-0000-0000-0000F7030000}"/>
    <cellStyle name="40% - Accent1 2 3 4 3 2" xfId="14239" xr:uid="{D5EB9D46-D15A-47DC-A466-AF69A3BCF057}"/>
    <cellStyle name="40% - Accent1 2 3 4 3 3" xfId="22674" xr:uid="{AC9BF629-5EC6-4BAC-A3E2-016D0B3F2BD6}"/>
    <cellStyle name="40% - Accent1 2 3 4 4" xfId="10021" xr:uid="{E048F6FA-9633-4E73-BE12-C14A894C42C5}"/>
    <cellStyle name="40% - Accent1 2 3 4 5" xfId="18457" xr:uid="{10B50D95-C878-4019-A51E-161696245AB9}"/>
    <cellStyle name="40% - Accent1 2 3 5" xfId="1903" xr:uid="{00000000-0005-0000-0000-0000F8030000}"/>
    <cellStyle name="40% - Accent1 2 3 5 2" xfId="4132" xr:uid="{00000000-0005-0000-0000-0000F9030000}"/>
    <cellStyle name="40% - Accent1 2 3 5 2 2" xfId="8355" xr:uid="{00000000-0005-0000-0000-0000FA030000}"/>
    <cellStyle name="40% - Accent1 2 3 5 2 2 2" xfId="16797" xr:uid="{7D9F66E2-7730-4ACB-B180-E72F61C2103B}"/>
    <cellStyle name="40% - Accent1 2 3 5 2 2 3" xfId="25232" xr:uid="{B4AE68D2-7097-4706-9976-89955F09B6AF}"/>
    <cellStyle name="40% - Accent1 2 3 5 2 3" xfId="12579" xr:uid="{91FEBAE6-02B6-461B-9A24-4DD8449BCD73}"/>
    <cellStyle name="40% - Accent1 2 3 5 2 4" xfId="21015" xr:uid="{12DC90F7-7088-4F73-ADEA-6380ED3BB491}"/>
    <cellStyle name="40% - Accent1 2 3 5 3" xfId="6210" xr:uid="{00000000-0005-0000-0000-0000FB030000}"/>
    <cellStyle name="40% - Accent1 2 3 5 3 2" xfId="14652" xr:uid="{2B8A3BF1-E38E-4EE3-AAED-7D082A3638E9}"/>
    <cellStyle name="40% - Accent1 2 3 5 3 3" xfId="23087" xr:uid="{7E0AC92E-8B6C-4058-9DEC-1E5AC1EE1F69}"/>
    <cellStyle name="40% - Accent1 2 3 5 4" xfId="10434" xr:uid="{ED366B33-906F-4D0A-A9F3-BE36FB418C62}"/>
    <cellStyle name="40% - Accent1 2 3 5 5" xfId="18870" xr:uid="{2C5FF60B-5AC1-4AB2-9526-BAAA1054BDA8}"/>
    <cellStyle name="40% - Accent1 2 3 6" xfId="2316" xr:uid="{00000000-0005-0000-0000-0000FC030000}"/>
    <cellStyle name="40% - Accent1 2 3 6 2" xfId="6623" xr:uid="{00000000-0005-0000-0000-0000FD030000}"/>
    <cellStyle name="40% - Accent1 2 3 6 2 2" xfId="15065" xr:uid="{A6FF8679-F54F-4AB6-BF38-9D9247DA7BE5}"/>
    <cellStyle name="40% - Accent1 2 3 6 2 3" xfId="23500" xr:uid="{EF2F4362-D3C6-464D-A6DF-22EC54991890}"/>
    <cellStyle name="40% - Accent1 2 3 6 3" xfId="10847" xr:uid="{6A41DE47-FD66-4715-8AAF-C7391F8EC751}"/>
    <cellStyle name="40% - Accent1 2 3 6 4" xfId="19283" xr:uid="{4E789BAC-4534-42D8-BAA5-7EE54D956575}"/>
    <cellStyle name="40% - Accent1 2 3 7" xfId="4557" xr:uid="{00000000-0005-0000-0000-0000FE030000}"/>
    <cellStyle name="40% - Accent1 2 3 7 2" xfId="12999" xr:uid="{0A615B3B-A55B-4E43-8964-FE0EA732538E}"/>
    <cellStyle name="40% - Accent1 2 3 7 3" xfId="21434" xr:uid="{8464584E-9266-4734-A25B-0872FF070133}"/>
    <cellStyle name="40% - Accent1 2 3 8" xfId="8781" xr:uid="{D98655DE-5CF1-4767-9699-E0B1B9FE282E}"/>
    <cellStyle name="40% - Accent1 2 3 9" xfId="17217" xr:uid="{E96CC745-884D-4D1F-A641-3FF0F215E25C}"/>
    <cellStyle name="40% - Accent1 2 4" xfId="619" xr:uid="{00000000-0005-0000-0000-0000FF030000}"/>
    <cellStyle name="40% - Accent1 2 4 2" xfId="2890" xr:uid="{00000000-0005-0000-0000-000000040000}"/>
    <cellStyle name="40% - Accent1 2 4 2 2" xfId="7113" xr:uid="{00000000-0005-0000-0000-000001040000}"/>
    <cellStyle name="40% - Accent1 2 4 2 2 2" xfId="15555" xr:uid="{560E100A-951B-43D8-95C7-652C8A7A594B}"/>
    <cellStyle name="40% - Accent1 2 4 2 2 3" xfId="23990" xr:uid="{5B4127C4-5A2F-4CF1-995B-47E8125D4015}"/>
    <cellStyle name="40% - Accent1 2 4 2 3" xfId="11337" xr:uid="{8EDA1851-E026-4F53-BAA1-1786AA6C3335}"/>
    <cellStyle name="40% - Accent1 2 4 2 4" xfId="19773" xr:uid="{E96A1D71-26EC-482D-9E23-411000EDD48E}"/>
    <cellStyle name="40% - Accent1 2 4 3" xfId="4968" xr:uid="{00000000-0005-0000-0000-000002040000}"/>
    <cellStyle name="40% - Accent1 2 4 3 2" xfId="13410" xr:uid="{21EC690C-DFEF-4A6F-BF06-6B89B0E496F7}"/>
    <cellStyle name="40% - Accent1 2 4 3 3" xfId="21845" xr:uid="{9E571668-3A6A-4519-A760-87385233F168}"/>
    <cellStyle name="40% - Accent1 2 4 4" xfId="9192" xr:uid="{53BCEC8E-3CEE-4001-AC3C-EF0D5875A45C}"/>
    <cellStyle name="40% - Accent1 2 4 5" xfId="17628" xr:uid="{3BB77785-6902-4F86-953B-24D6E595ABD2}"/>
    <cellStyle name="40% - Accent1 2 5" xfId="1072" xr:uid="{00000000-0005-0000-0000-000003040000}"/>
    <cellStyle name="40% - Accent1 2 5 2" xfId="3303" xr:uid="{00000000-0005-0000-0000-000004040000}"/>
    <cellStyle name="40% - Accent1 2 5 2 2" xfId="7526" xr:uid="{00000000-0005-0000-0000-000005040000}"/>
    <cellStyle name="40% - Accent1 2 5 2 2 2" xfId="15968" xr:uid="{64328B6C-A271-4610-984E-977E90912BD3}"/>
    <cellStyle name="40% - Accent1 2 5 2 2 3" xfId="24403" xr:uid="{CB4E0433-C119-4B8C-962D-E48BF5D43E62}"/>
    <cellStyle name="40% - Accent1 2 5 2 3" xfId="11750" xr:uid="{841F27C8-AECB-47E0-B9D6-529653A0A6E9}"/>
    <cellStyle name="40% - Accent1 2 5 2 4" xfId="20186" xr:uid="{1480F2C8-3C9E-4B63-8B8A-73E241EBD25A}"/>
    <cellStyle name="40% - Accent1 2 5 3" xfId="5381" xr:uid="{00000000-0005-0000-0000-000006040000}"/>
    <cellStyle name="40% - Accent1 2 5 3 2" xfId="13823" xr:uid="{8DD7FEC1-EE77-44CF-A141-A5C679BAA7C2}"/>
    <cellStyle name="40% - Accent1 2 5 3 3" xfId="22258" xr:uid="{8354D967-F316-4792-8699-DC1D45A7C4CF}"/>
    <cellStyle name="40% - Accent1 2 5 4" xfId="9605" xr:uid="{E6273DC0-4C24-4EE1-A76D-69700CA048BD}"/>
    <cellStyle name="40% - Accent1 2 5 5" xfId="18041" xr:uid="{DEA17151-7FC1-46AF-BFE3-AFF31581628D}"/>
    <cellStyle name="40% - Accent1 2 6" xfId="1486" xr:uid="{00000000-0005-0000-0000-000007040000}"/>
    <cellStyle name="40% - Accent1 2 6 2" xfId="3716" xr:uid="{00000000-0005-0000-0000-000008040000}"/>
    <cellStyle name="40% - Accent1 2 6 2 2" xfId="7939" xr:uid="{00000000-0005-0000-0000-000009040000}"/>
    <cellStyle name="40% - Accent1 2 6 2 2 2" xfId="16381" xr:uid="{F1F9DF99-6FA8-4F12-9B47-58D5910E3343}"/>
    <cellStyle name="40% - Accent1 2 6 2 2 3" xfId="24816" xr:uid="{19131B3A-4FEE-4076-90F8-71FE71EE2F5A}"/>
    <cellStyle name="40% - Accent1 2 6 2 3" xfId="12163" xr:uid="{8AA9E796-9584-4618-A511-BC9F04EFE07C}"/>
    <cellStyle name="40% - Accent1 2 6 2 4" xfId="20599" xr:uid="{0CC5B11E-E2D9-4F4F-A459-6E51D7144523}"/>
    <cellStyle name="40% - Accent1 2 6 3" xfId="5794" xr:uid="{00000000-0005-0000-0000-00000A040000}"/>
    <cellStyle name="40% - Accent1 2 6 3 2" xfId="14236" xr:uid="{BB88E7B2-CC15-40EA-99D5-5E5116BD3141}"/>
    <cellStyle name="40% - Accent1 2 6 3 3" xfId="22671" xr:uid="{18F17AE3-115A-4D1B-B320-A3624C76F268}"/>
    <cellStyle name="40% - Accent1 2 6 4" xfId="10018" xr:uid="{8CB982AA-4C55-4A77-A5F8-0EA73245C3C8}"/>
    <cellStyle name="40% - Accent1 2 6 5" xfId="18454" xr:uid="{77464C90-C9DA-437C-A8AE-D42BB86565C3}"/>
    <cellStyle name="40% - Accent1 2 7" xfId="1900" xr:uid="{00000000-0005-0000-0000-00000B040000}"/>
    <cellStyle name="40% - Accent1 2 7 2" xfId="4129" xr:uid="{00000000-0005-0000-0000-00000C040000}"/>
    <cellStyle name="40% - Accent1 2 7 2 2" xfId="8352" xr:uid="{00000000-0005-0000-0000-00000D040000}"/>
    <cellStyle name="40% - Accent1 2 7 2 2 2" xfId="16794" xr:uid="{4364B6F4-1C6C-4291-B007-96A55D8C1DE5}"/>
    <cellStyle name="40% - Accent1 2 7 2 2 3" xfId="25229" xr:uid="{33A15F90-B207-438E-82BF-BC909D587F0C}"/>
    <cellStyle name="40% - Accent1 2 7 2 3" xfId="12576" xr:uid="{780EB066-63A8-448D-9F88-D794692A321F}"/>
    <cellStyle name="40% - Accent1 2 7 2 4" xfId="21012" xr:uid="{DDAC57B4-8CC9-4ACD-A082-F14C94B579D5}"/>
    <cellStyle name="40% - Accent1 2 7 3" xfId="6207" xr:uid="{00000000-0005-0000-0000-00000E040000}"/>
    <cellStyle name="40% - Accent1 2 7 3 2" xfId="14649" xr:uid="{B492E653-AE1E-43A2-A326-3AB6CA134DF0}"/>
    <cellStyle name="40% - Accent1 2 7 3 3" xfId="23084" xr:uid="{3EA09345-6251-4CF7-844E-30B50810E670}"/>
    <cellStyle name="40% - Accent1 2 7 4" xfId="10431" xr:uid="{8B8C9D7E-120F-4084-8DBB-CC11BC0D4447}"/>
    <cellStyle name="40% - Accent1 2 7 5" xfId="18867" xr:uid="{EC27215D-6872-4C19-A995-20F9253A80E9}"/>
    <cellStyle name="40% - Accent1 2 8" xfId="2313" xr:uid="{00000000-0005-0000-0000-00000F040000}"/>
    <cellStyle name="40% - Accent1 2 8 2" xfId="6620" xr:uid="{00000000-0005-0000-0000-000010040000}"/>
    <cellStyle name="40% - Accent1 2 8 2 2" xfId="15062" xr:uid="{32BCBE85-C06C-42C2-8AFA-7B0378F45861}"/>
    <cellStyle name="40% - Accent1 2 8 2 3" xfId="23497" xr:uid="{E3304A84-CE91-4B4E-87BC-A66FDFC17F6A}"/>
    <cellStyle name="40% - Accent1 2 8 3" xfId="10844" xr:uid="{3E1022EC-262C-4E9F-9081-185B470B10E7}"/>
    <cellStyle name="40% - Accent1 2 8 4" xfId="19280" xr:uid="{5B4A4154-8B1D-4D09-BA33-7029C9418C3D}"/>
    <cellStyle name="40% - Accent1 2 9" xfId="4554" xr:uid="{00000000-0005-0000-0000-000011040000}"/>
    <cellStyle name="40% - Accent1 2 9 2" xfId="12996" xr:uid="{79F17043-9859-4943-9E3B-8B9D32D43EF2}"/>
    <cellStyle name="40% - Accent1 2 9 3" xfId="21431" xr:uid="{8D1111D3-2960-4005-97FB-7ED023EEB3BB}"/>
    <cellStyle name="40% - Accent1 3" xfId="54" xr:uid="{00000000-0005-0000-0000-000012040000}"/>
    <cellStyle name="40% - Accent1 3 10" xfId="17218" xr:uid="{525427C9-97C9-4F1A-A622-3521A7E37735}"/>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2 2 2" xfId="15560" xr:uid="{522767FF-46F4-4BE6-8637-0A44826D000C}"/>
    <cellStyle name="40% - Accent1 3 2 2 2 2 3" xfId="23995" xr:uid="{5B35BB8C-F8EB-4959-B6D1-858B2AA2BB65}"/>
    <cellStyle name="40% - Accent1 3 2 2 2 3" xfId="11342" xr:uid="{00178FB0-A28E-459F-9819-C03BBC2E97F2}"/>
    <cellStyle name="40% - Accent1 3 2 2 2 4" xfId="19778" xr:uid="{9DE81619-4857-4D91-AA0B-F53B57DA503D}"/>
    <cellStyle name="40% - Accent1 3 2 2 3" xfId="4973" xr:uid="{00000000-0005-0000-0000-000017040000}"/>
    <cellStyle name="40% - Accent1 3 2 2 3 2" xfId="13415" xr:uid="{E0CA16EA-5654-40BF-850F-F7CEC14C9303}"/>
    <cellStyle name="40% - Accent1 3 2 2 3 3" xfId="21850" xr:uid="{135FD2D4-C7F0-4B8B-BD73-4D836286904D}"/>
    <cellStyle name="40% - Accent1 3 2 2 4" xfId="9197" xr:uid="{7EAC89F2-641F-4FDB-81B0-A2D5096924A9}"/>
    <cellStyle name="40% - Accent1 3 2 2 5" xfId="17633" xr:uid="{54671AED-51A2-4543-919D-9B5717D6DCBE}"/>
    <cellStyle name="40% - Accent1 3 2 3" xfId="1077" xr:uid="{00000000-0005-0000-0000-000018040000}"/>
    <cellStyle name="40% - Accent1 3 2 3 2" xfId="3308" xr:uid="{00000000-0005-0000-0000-000019040000}"/>
    <cellStyle name="40% - Accent1 3 2 3 2 2" xfId="7531" xr:uid="{00000000-0005-0000-0000-00001A040000}"/>
    <cellStyle name="40% - Accent1 3 2 3 2 2 2" xfId="15973" xr:uid="{80EA1521-4A36-4C33-9533-01CB2DF0322E}"/>
    <cellStyle name="40% - Accent1 3 2 3 2 2 3" xfId="24408" xr:uid="{06B83979-4C47-40CB-8D05-E748EA52CAA5}"/>
    <cellStyle name="40% - Accent1 3 2 3 2 3" xfId="11755" xr:uid="{05F6932A-FA73-45DD-A14A-D798D1869CBB}"/>
    <cellStyle name="40% - Accent1 3 2 3 2 4" xfId="20191" xr:uid="{53702916-E86C-458C-9C01-806982CB6934}"/>
    <cellStyle name="40% - Accent1 3 2 3 3" xfId="5386" xr:uid="{00000000-0005-0000-0000-00001B040000}"/>
    <cellStyle name="40% - Accent1 3 2 3 3 2" xfId="13828" xr:uid="{54559E50-C22B-41E3-B776-39E82236325D}"/>
    <cellStyle name="40% - Accent1 3 2 3 3 3" xfId="22263" xr:uid="{6911959E-B454-463A-A3AA-4435F75728F7}"/>
    <cellStyle name="40% - Accent1 3 2 3 4" xfId="9610" xr:uid="{17C5391B-34AB-45E9-AE48-D9A751399D38}"/>
    <cellStyle name="40% - Accent1 3 2 3 5" xfId="18046" xr:uid="{4CF7DEF7-1D38-4CA4-AF7B-0987208AB1B9}"/>
    <cellStyle name="40% - Accent1 3 2 4" xfId="1491" xr:uid="{00000000-0005-0000-0000-00001C040000}"/>
    <cellStyle name="40% - Accent1 3 2 4 2" xfId="3721" xr:uid="{00000000-0005-0000-0000-00001D040000}"/>
    <cellStyle name="40% - Accent1 3 2 4 2 2" xfId="7944" xr:uid="{00000000-0005-0000-0000-00001E040000}"/>
    <cellStyle name="40% - Accent1 3 2 4 2 2 2" xfId="16386" xr:uid="{46C5FC28-ABE5-45A8-BA46-0DDC997B28D0}"/>
    <cellStyle name="40% - Accent1 3 2 4 2 2 3" xfId="24821" xr:uid="{761A9A5B-D06B-484F-863A-515775FA1461}"/>
    <cellStyle name="40% - Accent1 3 2 4 2 3" xfId="12168" xr:uid="{943C8CB0-4F8F-4F02-9B3A-FC0ECAE9EB43}"/>
    <cellStyle name="40% - Accent1 3 2 4 2 4" xfId="20604" xr:uid="{84D72AE6-9293-4B2D-9C7C-7B0721E54A5B}"/>
    <cellStyle name="40% - Accent1 3 2 4 3" xfId="5799" xr:uid="{00000000-0005-0000-0000-00001F040000}"/>
    <cellStyle name="40% - Accent1 3 2 4 3 2" xfId="14241" xr:uid="{A99E7BF1-9837-4472-A128-57EFB6FDF922}"/>
    <cellStyle name="40% - Accent1 3 2 4 3 3" xfId="22676" xr:uid="{74BE8638-4F6C-4A01-9300-9B758D970AE9}"/>
    <cellStyle name="40% - Accent1 3 2 4 4" xfId="10023" xr:uid="{053C18E3-91EF-4908-B7D9-3B3A7230EBE5}"/>
    <cellStyle name="40% - Accent1 3 2 4 5" xfId="18459" xr:uid="{0CB6B6F4-1430-49AE-81EB-7B60604FCB65}"/>
    <cellStyle name="40% - Accent1 3 2 5" xfId="1905" xr:uid="{00000000-0005-0000-0000-000020040000}"/>
    <cellStyle name="40% - Accent1 3 2 5 2" xfId="4134" xr:uid="{00000000-0005-0000-0000-000021040000}"/>
    <cellStyle name="40% - Accent1 3 2 5 2 2" xfId="8357" xr:uid="{00000000-0005-0000-0000-000022040000}"/>
    <cellStyle name="40% - Accent1 3 2 5 2 2 2" xfId="16799" xr:uid="{7F8E4370-61F4-407B-B19C-D1995237DD26}"/>
    <cellStyle name="40% - Accent1 3 2 5 2 2 3" xfId="25234" xr:uid="{167D699B-A369-493B-BD65-D2D1BA7609A6}"/>
    <cellStyle name="40% - Accent1 3 2 5 2 3" xfId="12581" xr:uid="{BC9AC3DF-C5F5-4C61-BB36-17FB726D4EEF}"/>
    <cellStyle name="40% - Accent1 3 2 5 2 4" xfId="21017" xr:uid="{446979B7-CFA3-456D-810E-E9A1D2690944}"/>
    <cellStyle name="40% - Accent1 3 2 5 3" xfId="6212" xr:uid="{00000000-0005-0000-0000-000023040000}"/>
    <cellStyle name="40% - Accent1 3 2 5 3 2" xfId="14654" xr:uid="{5FE48F4C-027D-4FE6-8EB1-1FF2DAD8ED7A}"/>
    <cellStyle name="40% - Accent1 3 2 5 3 3" xfId="23089" xr:uid="{7A3D9434-2B64-4CFF-8362-6D8C610291FF}"/>
    <cellStyle name="40% - Accent1 3 2 5 4" xfId="10436" xr:uid="{63A0A1B2-E24A-4051-92A8-8B67E7ACE7DE}"/>
    <cellStyle name="40% - Accent1 3 2 5 5" xfId="18872" xr:uid="{6F3F4352-B398-45C4-9710-28D21752C415}"/>
    <cellStyle name="40% - Accent1 3 2 6" xfId="2318" xr:uid="{00000000-0005-0000-0000-000024040000}"/>
    <cellStyle name="40% - Accent1 3 2 6 2" xfId="6625" xr:uid="{00000000-0005-0000-0000-000025040000}"/>
    <cellStyle name="40% - Accent1 3 2 6 2 2" xfId="15067" xr:uid="{AD8BD113-DE91-4B59-BB0F-C23DEE374E50}"/>
    <cellStyle name="40% - Accent1 3 2 6 2 3" xfId="23502" xr:uid="{8EA0C83F-52DF-4794-A43E-9FC379F0E14E}"/>
    <cellStyle name="40% - Accent1 3 2 6 3" xfId="10849" xr:uid="{15F3F696-E396-4EDA-995E-25B14ECC8538}"/>
    <cellStyle name="40% - Accent1 3 2 6 4" xfId="19285" xr:uid="{20ED0391-2FED-4A35-950E-CEA183C0658F}"/>
    <cellStyle name="40% - Accent1 3 2 7" xfId="4559" xr:uid="{00000000-0005-0000-0000-000026040000}"/>
    <cellStyle name="40% - Accent1 3 2 7 2" xfId="13001" xr:uid="{E20A2774-AC9C-4366-898C-9571DC9286D9}"/>
    <cellStyle name="40% - Accent1 3 2 7 3" xfId="21436" xr:uid="{7C859C94-3391-4F27-9F6F-DBDB2C89C4B4}"/>
    <cellStyle name="40% - Accent1 3 2 8" xfId="8783" xr:uid="{C1782818-4178-4755-A634-E0AEFF89F37A}"/>
    <cellStyle name="40% - Accent1 3 2 9" xfId="17219" xr:uid="{9160F33D-F5CD-473F-B01F-F379AE6A96F9}"/>
    <cellStyle name="40% - Accent1 3 3" xfId="623" xr:uid="{00000000-0005-0000-0000-000027040000}"/>
    <cellStyle name="40% - Accent1 3 3 2" xfId="2894" xr:uid="{00000000-0005-0000-0000-000028040000}"/>
    <cellStyle name="40% - Accent1 3 3 2 2" xfId="7117" xr:uid="{00000000-0005-0000-0000-000029040000}"/>
    <cellStyle name="40% - Accent1 3 3 2 2 2" xfId="15559" xr:uid="{C20D100D-8F5D-4C02-8473-DE95F96C55C7}"/>
    <cellStyle name="40% - Accent1 3 3 2 2 3" xfId="23994" xr:uid="{E0F5F727-68C6-4675-8900-72B8114A8AC4}"/>
    <cellStyle name="40% - Accent1 3 3 2 3" xfId="11341" xr:uid="{A330AA6B-7627-4225-B65E-31E989392104}"/>
    <cellStyle name="40% - Accent1 3 3 2 4" xfId="19777" xr:uid="{3F7916DF-6B9D-45C1-8FA1-CBA0E5427F07}"/>
    <cellStyle name="40% - Accent1 3 3 3" xfId="4972" xr:uid="{00000000-0005-0000-0000-00002A040000}"/>
    <cellStyle name="40% - Accent1 3 3 3 2" xfId="13414" xr:uid="{D5811AFB-2D86-4208-9281-3A4AD3AE5BF3}"/>
    <cellStyle name="40% - Accent1 3 3 3 3" xfId="21849" xr:uid="{DD60737F-6A53-4D42-A39E-EBC3286BEA8E}"/>
    <cellStyle name="40% - Accent1 3 3 4" xfId="9196" xr:uid="{7D7D4D4B-DA76-493B-BB15-B45372FDFC47}"/>
    <cellStyle name="40% - Accent1 3 3 5" xfId="17632" xr:uid="{AF57DD2B-DC89-43EF-9810-59A8BB519005}"/>
    <cellStyle name="40% - Accent1 3 4" xfId="1076" xr:uid="{00000000-0005-0000-0000-00002B040000}"/>
    <cellStyle name="40% - Accent1 3 4 2" xfId="3307" xr:uid="{00000000-0005-0000-0000-00002C040000}"/>
    <cellStyle name="40% - Accent1 3 4 2 2" xfId="7530" xr:uid="{00000000-0005-0000-0000-00002D040000}"/>
    <cellStyle name="40% - Accent1 3 4 2 2 2" xfId="15972" xr:uid="{C20CF476-72AB-45C0-98FA-0ED2FF685AD2}"/>
    <cellStyle name="40% - Accent1 3 4 2 2 3" xfId="24407" xr:uid="{A0D8FB63-C7A3-4D51-8545-669413D93F0C}"/>
    <cellStyle name="40% - Accent1 3 4 2 3" xfId="11754" xr:uid="{119D2994-4D10-45BB-9962-57110549960A}"/>
    <cellStyle name="40% - Accent1 3 4 2 4" xfId="20190" xr:uid="{5F8677B1-6623-460F-9ABC-38E6C7C8A56A}"/>
    <cellStyle name="40% - Accent1 3 4 3" xfId="5385" xr:uid="{00000000-0005-0000-0000-00002E040000}"/>
    <cellStyle name="40% - Accent1 3 4 3 2" xfId="13827" xr:uid="{2804E9F9-A0BC-432D-BC28-969AEBCD818D}"/>
    <cellStyle name="40% - Accent1 3 4 3 3" xfId="22262" xr:uid="{6D9B5999-6E8E-43FE-870F-D0E3594E2944}"/>
    <cellStyle name="40% - Accent1 3 4 4" xfId="9609" xr:uid="{57BF243D-105B-482B-BE5A-B2B9A3DD432C}"/>
    <cellStyle name="40% - Accent1 3 4 5" xfId="18045" xr:uid="{35053279-9970-4B9F-81BE-C33562861DB8}"/>
    <cellStyle name="40% - Accent1 3 5" xfId="1490" xr:uid="{00000000-0005-0000-0000-00002F040000}"/>
    <cellStyle name="40% - Accent1 3 5 2" xfId="3720" xr:uid="{00000000-0005-0000-0000-000030040000}"/>
    <cellStyle name="40% - Accent1 3 5 2 2" xfId="7943" xr:uid="{00000000-0005-0000-0000-000031040000}"/>
    <cellStyle name="40% - Accent1 3 5 2 2 2" xfId="16385" xr:uid="{D88C2094-1807-438E-9ED8-E510615D450F}"/>
    <cellStyle name="40% - Accent1 3 5 2 2 3" xfId="24820" xr:uid="{5B20C57C-19A2-425B-93D6-9938AFE92D1E}"/>
    <cellStyle name="40% - Accent1 3 5 2 3" xfId="12167" xr:uid="{CE201210-E39E-4ED7-98E9-7AF0357D6A49}"/>
    <cellStyle name="40% - Accent1 3 5 2 4" xfId="20603" xr:uid="{2EEBC84E-0CFD-42F5-98A0-BBEDC9AC42F2}"/>
    <cellStyle name="40% - Accent1 3 5 3" xfId="5798" xr:uid="{00000000-0005-0000-0000-000032040000}"/>
    <cellStyle name="40% - Accent1 3 5 3 2" xfId="14240" xr:uid="{374C6878-B03C-4A8D-89DF-5621C9F35D4E}"/>
    <cellStyle name="40% - Accent1 3 5 3 3" xfId="22675" xr:uid="{999661B6-DC83-4344-AA9D-E015B7BE0DA0}"/>
    <cellStyle name="40% - Accent1 3 5 4" xfId="10022" xr:uid="{A02E3680-8D6A-403B-906A-8DA4B80E96E6}"/>
    <cellStyle name="40% - Accent1 3 5 5" xfId="18458" xr:uid="{BB03F02B-FF51-4DFA-9202-D76C1944A76C}"/>
    <cellStyle name="40% - Accent1 3 6" xfId="1904" xr:uid="{00000000-0005-0000-0000-000033040000}"/>
    <cellStyle name="40% - Accent1 3 6 2" xfId="4133" xr:uid="{00000000-0005-0000-0000-000034040000}"/>
    <cellStyle name="40% - Accent1 3 6 2 2" xfId="8356" xr:uid="{00000000-0005-0000-0000-000035040000}"/>
    <cellStyle name="40% - Accent1 3 6 2 2 2" xfId="16798" xr:uid="{42FEF806-E62A-48A7-89F0-C603348A1CF0}"/>
    <cellStyle name="40% - Accent1 3 6 2 2 3" xfId="25233" xr:uid="{64608502-CB88-4F35-80D7-BBCFF32D7359}"/>
    <cellStyle name="40% - Accent1 3 6 2 3" xfId="12580" xr:uid="{01F7A361-2D75-4558-8245-E64B63C5E80A}"/>
    <cellStyle name="40% - Accent1 3 6 2 4" xfId="21016" xr:uid="{2EAD9EF3-4BD8-4FD8-B3C7-BF821BE26617}"/>
    <cellStyle name="40% - Accent1 3 6 3" xfId="6211" xr:uid="{00000000-0005-0000-0000-000036040000}"/>
    <cellStyle name="40% - Accent1 3 6 3 2" xfId="14653" xr:uid="{CAE64A06-13B1-4DB6-AFE4-BC353E54E1DF}"/>
    <cellStyle name="40% - Accent1 3 6 3 3" xfId="23088" xr:uid="{ED1697AD-05EC-4DCD-B8C5-0388AFA52FB6}"/>
    <cellStyle name="40% - Accent1 3 6 4" xfId="10435" xr:uid="{5AB4E6B8-828A-4E9E-AC3B-8016410EC6AF}"/>
    <cellStyle name="40% - Accent1 3 6 5" xfId="18871" xr:uid="{3051D76E-5493-4EA1-9DF1-DE125D48237A}"/>
    <cellStyle name="40% - Accent1 3 7" xfId="2317" xr:uid="{00000000-0005-0000-0000-000037040000}"/>
    <cellStyle name="40% - Accent1 3 7 2" xfId="6624" xr:uid="{00000000-0005-0000-0000-000038040000}"/>
    <cellStyle name="40% - Accent1 3 7 2 2" xfId="15066" xr:uid="{7BBFBB3B-351D-463A-9D69-ABEF047AC00C}"/>
    <cellStyle name="40% - Accent1 3 7 2 3" xfId="23501" xr:uid="{FA910C58-1917-492F-A4CF-52F5C20D6EA2}"/>
    <cellStyle name="40% - Accent1 3 7 3" xfId="10848" xr:uid="{F33F1BF0-2474-4848-83F8-712DA07697F7}"/>
    <cellStyle name="40% - Accent1 3 7 4" xfId="19284" xr:uid="{CCDA675C-B9E4-4040-9E16-28FE4695CB6D}"/>
    <cellStyle name="40% - Accent1 3 8" xfId="4558" xr:uid="{00000000-0005-0000-0000-000039040000}"/>
    <cellStyle name="40% - Accent1 3 8 2" xfId="13000" xr:uid="{8B5BB175-E5C6-48F6-BAE4-4077D13C3611}"/>
    <cellStyle name="40% - Accent1 3 8 3" xfId="21435" xr:uid="{FC74CAFC-3BE5-4758-B1FD-1295EAA1E086}"/>
    <cellStyle name="40% - Accent1 3 9" xfId="8782" xr:uid="{9E4F3C4A-45E7-49C2-8A42-BCCE709204D2}"/>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2 2 2" xfId="15561" xr:uid="{73B74046-227D-4C43-A9A1-7BA87065A502}"/>
    <cellStyle name="40% - Accent1 4 2 2 2 3" xfId="23996" xr:uid="{A6DC9E8A-FE83-4FD9-84BF-64FF5E305E17}"/>
    <cellStyle name="40% - Accent1 4 2 2 3" xfId="11343" xr:uid="{DE2EE481-6E1F-4F7E-B09E-504E443D025C}"/>
    <cellStyle name="40% - Accent1 4 2 2 4" xfId="19779" xr:uid="{5C79B3DA-5E25-4164-912B-93AF3572209F}"/>
    <cellStyle name="40% - Accent1 4 2 3" xfId="4974" xr:uid="{00000000-0005-0000-0000-00003E040000}"/>
    <cellStyle name="40% - Accent1 4 2 3 2" xfId="13416" xr:uid="{BADD59C9-B869-4393-89F0-DBF8CB0D1A5F}"/>
    <cellStyle name="40% - Accent1 4 2 3 3" xfId="21851" xr:uid="{79FF6C34-0A4A-409A-87A7-908B5B6C70D8}"/>
    <cellStyle name="40% - Accent1 4 2 4" xfId="9198" xr:uid="{08A1CB31-BAEA-4874-B354-B19FF38DBD3E}"/>
    <cellStyle name="40% - Accent1 4 2 5" xfId="17634" xr:uid="{932E4331-7DF3-4E54-9F6A-3E5A0ECBBD3C}"/>
    <cellStyle name="40% - Accent1 4 3" xfId="1078" xr:uid="{00000000-0005-0000-0000-00003F040000}"/>
    <cellStyle name="40% - Accent1 4 3 2" xfId="3309" xr:uid="{00000000-0005-0000-0000-000040040000}"/>
    <cellStyle name="40% - Accent1 4 3 2 2" xfId="7532" xr:uid="{00000000-0005-0000-0000-000041040000}"/>
    <cellStyle name="40% - Accent1 4 3 2 2 2" xfId="15974" xr:uid="{C8D81428-5505-4621-A235-3CB6A9F4EC25}"/>
    <cellStyle name="40% - Accent1 4 3 2 2 3" xfId="24409" xr:uid="{AEB7BE68-895D-4A5D-9AFD-E39125760DC4}"/>
    <cellStyle name="40% - Accent1 4 3 2 3" xfId="11756" xr:uid="{E61F8B19-22EA-4018-9113-97EEEF4DB5CF}"/>
    <cellStyle name="40% - Accent1 4 3 2 4" xfId="20192" xr:uid="{A537B7EE-0796-4391-8E78-1542EBB0C535}"/>
    <cellStyle name="40% - Accent1 4 3 3" xfId="5387" xr:uid="{00000000-0005-0000-0000-000042040000}"/>
    <cellStyle name="40% - Accent1 4 3 3 2" xfId="13829" xr:uid="{F07F459E-0B75-49CA-97F7-4A3B394A6DDA}"/>
    <cellStyle name="40% - Accent1 4 3 3 3" xfId="22264" xr:uid="{48ED8F1D-9988-4CC1-9C9D-0B0061E532CE}"/>
    <cellStyle name="40% - Accent1 4 3 4" xfId="9611" xr:uid="{B2DA20CB-B3CD-4838-959E-E3097159E94E}"/>
    <cellStyle name="40% - Accent1 4 3 5" xfId="18047" xr:uid="{1C42D86E-2220-4F26-A60C-93C6AC816FA9}"/>
    <cellStyle name="40% - Accent1 4 4" xfId="1492" xr:uid="{00000000-0005-0000-0000-000043040000}"/>
    <cellStyle name="40% - Accent1 4 4 2" xfId="3722" xr:uid="{00000000-0005-0000-0000-000044040000}"/>
    <cellStyle name="40% - Accent1 4 4 2 2" xfId="7945" xr:uid="{00000000-0005-0000-0000-000045040000}"/>
    <cellStyle name="40% - Accent1 4 4 2 2 2" xfId="16387" xr:uid="{627E20BF-B6A1-4B4E-8C3E-666E2111E92D}"/>
    <cellStyle name="40% - Accent1 4 4 2 2 3" xfId="24822" xr:uid="{C8FAD199-3D24-4111-82A4-50EF4810A5D8}"/>
    <cellStyle name="40% - Accent1 4 4 2 3" xfId="12169" xr:uid="{E57E6655-38BB-429E-89AF-A076C685A528}"/>
    <cellStyle name="40% - Accent1 4 4 2 4" xfId="20605" xr:uid="{C4500F09-00D1-4985-B1E9-90261225911C}"/>
    <cellStyle name="40% - Accent1 4 4 3" xfId="5800" xr:uid="{00000000-0005-0000-0000-000046040000}"/>
    <cellStyle name="40% - Accent1 4 4 3 2" xfId="14242" xr:uid="{ADDDE908-EA4F-4250-B6A9-B08C76D21C08}"/>
    <cellStyle name="40% - Accent1 4 4 3 3" xfId="22677" xr:uid="{E42DA19F-D3CB-444B-96F2-6506EEC63E44}"/>
    <cellStyle name="40% - Accent1 4 4 4" xfId="10024" xr:uid="{814E401A-7259-45D9-8D00-FC1FAE7FDA0D}"/>
    <cellStyle name="40% - Accent1 4 4 5" xfId="18460" xr:uid="{D59AD736-CAE8-4779-9DF7-B128365FCFC3}"/>
    <cellStyle name="40% - Accent1 4 5" xfId="1906" xr:uid="{00000000-0005-0000-0000-000047040000}"/>
    <cellStyle name="40% - Accent1 4 5 2" xfId="4135" xr:uid="{00000000-0005-0000-0000-000048040000}"/>
    <cellStyle name="40% - Accent1 4 5 2 2" xfId="8358" xr:uid="{00000000-0005-0000-0000-000049040000}"/>
    <cellStyle name="40% - Accent1 4 5 2 2 2" xfId="16800" xr:uid="{FFD5D19C-25F9-43A5-9929-08DC2785477A}"/>
    <cellStyle name="40% - Accent1 4 5 2 2 3" xfId="25235" xr:uid="{4E1A68B1-0371-44C6-A812-D97D273FE988}"/>
    <cellStyle name="40% - Accent1 4 5 2 3" xfId="12582" xr:uid="{6B8F93FB-5AD9-4AED-88C1-F119E3D0B2A7}"/>
    <cellStyle name="40% - Accent1 4 5 2 4" xfId="21018" xr:uid="{1960C2BB-5A62-4BEF-ABE1-35EAB2B7B823}"/>
    <cellStyle name="40% - Accent1 4 5 3" xfId="6213" xr:uid="{00000000-0005-0000-0000-00004A040000}"/>
    <cellStyle name="40% - Accent1 4 5 3 2" xfId="14655" xr:uid="{0952C0D5-031E-4F0A-A2DF-0F90622440E5}"/>
    <cellStyle name="40% - Accent1 4 5 3 3" xfId="23090" xr:uid="{C2259E58-1332-4E42-8FC6-CCEC469BB0AF}"/>
    <cellStyle name="40% - Accent1 4 5 4" xfId="10437" xr:uid="{9AC5FE7B-A229-4562-9383-16AA570E5254}"/>
    <cellStyle name="40% - Accent1 4 5 5" xfId="18873" xr:uid="{BCA2A157-6A08-4E48-8DF8-D9D6D78CE803}"/>
    <cellStyle name="40% - Accent1 4 6" xfId="2319" xr:uid="{00000000-0005-0000-0000-00004B040000}"/>
    <cellStyle name="40% - Accent1 4 6 2" xfId="6626" xr:uid="{00000000-0005-0000-0000-00004C040000}"/>
    <cellStyle name="40% - Accent1 4 6 2 2" xfId="15068" xr:uid="{0FC6AB5D-8909-4D92-A8E0-D3D80190E116}"/>
    <cellStyle name="40% - Accent1 4 6 2 3" xfId="23503" xr:uid="{75630309-A401-47AA-848B-E29FFF265A4E}"/>
    <cellStyle name="40% - Accent1 4 6 3" xfId="10850" xr:uid="{23A3791A-7E21-4D3C-8BDE-CE17CE88ECB4}"/>
    <cellStyle name="40% - Accent1 4 6 4" xfId="19286" xr:uid="{D2E901FE-1645-4A12-869F-2158F5114D7B}"/>
    <cellStyle name="40% - Accent1 4 7" xfId="4560" xr:uid="{00000000-0005-0000-0000-00004D040000}"/>
    <cellStyle name="40% - Accent1 4 7 2" xfId="13002" xr:uid="{BAAC3F37-FE20-4E66-B9C0-3B19421162E0}"/>
    <cellStyle name="40% - Accent1 4 7 3" xfId="21437" xr:uid="{51E975DC-974D-4B3C-A1A0-710C48E68CE9}"/>
    <cellStyle name="40% - Accent1 4 8" xfId="8784" xr:uid="{9001529D-8525-48F5-8CEA-C6C865357C22}"/>
    <cellStyle name="40% - Accent1 4 9" xfId="17220" xr:uid="{6C628614-55B4-4B6D-94EB-0753BE9B2405}"/>
    <cellStyle name="40% - Accent1 5" xfId="618" xr:uid="{00000000-0005-0000-0000-00004E040000}"/>
    <cellStyle name="40% - Accent1 5 2" xfId="2889" xr:uid="{00000000-0005-0000-0000-00004F040000}"/>
    <cellStyle name="40% - Accent1 5 2 2" xfId="7112" xr:uid="{00000000-0005-0000-0000-000050040000}"/>
    <cellStyle name="40% - Accent1 5 2 2 2" xfId="15554" xr:uid="{13232F86-D60F-4468-ADC8-42F8C8A225E0}"/>
    <cellStyle name="40% - Accent1 5 2 2 3" xfId="23989" xr:uid="{584923C3-5E47-4557-9B2C-520EEC1D4210}"/>
    <cellStyle name="40% - Accent1 5 2 3" xfId="11336" xr:uid="{2D0547A9-B2D0-41D3-9844-ECF9ED9D6A25}"/>
    <cellStyle name="40% - Accent1 5 2 4" xfId="19772" xr:uid="{2A8DEBEE-41C1-40C8-8A8E-B107E1443ACC}"/>
    <cellStyle name="40% - Accent1 5 3" xfId="4967" xr:uid="{00000000-0005-0000-0000-000051040000}"/>
    <cellStyle name="40% - Accent1 5 3 2" xfId="13409" xr:uid="{E5C32D74-002F-4289-A872-5549BBA438B5}"/>
    <cellStyle name="40% - Accent1 5 3 3" xfId="21844" xr:uid="{94670943-B64F-4A0A-8E70-6DF1FDE45FC3}"/>
    <cellStyle name="40% - Accent1 5 4" xfId="9191" xr:uid="{D2904200-0DC2-4331-ADB3-77985BBEF3AE}"/>
    <cellStyle name="40% - Accent1 5 5" xfId="17627" xr:uid="{FAB08AEA-FE66-41FA-9881-479BEDF20945}"/>
    <cellStyle name="40% - Accent1 6" xfId="1071" xr:uid="{00000000-0005-0000-0000-000052040000}"/>
    <cellStyle name="40% - Accent1 6 2" xfId="3302" xr:uid="{00000000-0005-0000-0000-000053040000}"/>
    <cellStyle name="40% - Accent1 6 2 2" xfId="7525" xr:uid="{00000000-0005-0000-0000-000054040000}"/>
    <cellStyle name="40% - Accent1 6 2 2 2" xfId="15967" xr:uid="{4072237B-4999-4B5D-B3CA-6804AE86F414}"/>
    <cellStyle name="40% - Accent1 6 2 2 3" xfId="24402" xr:uid="{A0450B09-8A37-49BD-A9CC-AACFEBF980D9}"/>
    <cellStyle name="40% - Accent1 6 2 3" xfId="11749" xr:uid="{4675EE19-A6F2-4C7A-AB81-AB0DB00711D6}"/>
    <cellStyle name="40% - Accent1 6 2 4" xfId="20185" xr:uid="{7C26CB40-891F-4BD8-8784-F0463ECC8F77}"/>
    <cellStyle name="40% - Accent1 6 3" xfId="5380" xr:uid="{00000000-0005-0000-0000-000055040000}"/>
    <cellStyle name="40% - Accent1 6 3 2" xfId="13822" xr:uid="{0CE5C1BA-93BA-430D-B583-3D0CC23C2029}"/>
    <cellStyle name="40% - Accent1 6 3 3" xfId="22257" xr:uid="{FF498154-68A4-4264-B528-8E446FEFED91}"/>
    <cellStyle name="40% - Accent1 6 4" xfId="9604" xr:uid="{94B320E2-1445-4E06-B07C-8DD13E329FB9}"/>
    <cellStyle name="40% - Accent1 6 5" xfId="18040" xr:uid="{7E34F904-719F-4809-965C-F71BEE199E9B}"/>
    <cellStyle name="40% - Accent1 7" xfId="1485" xr:uid="{00000000-0005-0000-0000-000056040000}"/>
    <cellStyle name="40% - Accent1 7 2" xfId="3715" xr:uid="{00000000-0005-0000-0000-000057040000}"/>
    <cellStyle name="40% - Accent1 7 2 2" xfId="7938" xr:uid="{00000000-0005-0000-0000-000058040000}"/>
    <cellStyle name="40% - Accent1 7 2 2 2" xfId="16380" xr:uid="{D5DF1E03-58A5-49F8-9BC8-0E3B37F209B4}"/>
    <cellStyle name="40% - Accent1 7 2 2 3" xfId="24815" xr:uid="{2FB32F55-337A-4A31-82B4-E0F38F00B1BC}"/>
    <cellStyle name="40% - Accent1 7 2 3" xfId="12162" xr:uid="{5EAFE77C-0205-48C6-8A37-3980CCD23FBA}"/>
    <cellStyle name="40% - Accent1 7 2 4" xfId="20598" xr:uid="{9403E7B3-CDE9-4B04-9839-871C3A4A548D}"/>
    <cellStyle name="40% - Accent1 7 3" xfId="5793" xr:uid="{00000000-0005-0000-0000-000059040000}"/>
    <cellStyle name="40% - Accent1 7 3 2" xfId="14235" xr:uid="{203162D1-1360-46C3-AD5F-5A3372CB2064}"/>
    <cellStyle name="40% - Accent1 7 3 3" xfId="22670" xr:uid="{E96AC8EE-79A5-4C37-AA18-23A0813EB695}"/>
    <cellStyle name="40% - Accent1 7 4" xfId="10017" xr:uid="{60AB7A9D-2285-470F-997A-076B553A3CF3}"/>
    <cellStyle name="40% - Accent1 7 5" xfId="18453" xr:uid="{E44D36F7-9E4B-4B0D-B695-A985470EE2CE}"/>
    <cellStyle name="40% - Accent1 8" xfId="1899" xr:uid="{00000000-0005-0000-0000-00005A040000}"/>
    <cellStyle name="40% - Accent1 8 2" xfId="4128" xr:uid="{00000000-0005-0000-0000-00005B040000}"/>
    <cellStyle name="40% - Accent1 8 2 2" xfId="8351" xr:uid="{00000000-0005-0000-0000-00005C040000}"/>
    <cellStyle name="40% - Accent1 8 2 2 2" xfId="16793" xr:uid="{B6CC9ADB-C2D6-43DD-92F4-4A6FBB8686A6}"/>
    <cellStyle name="40% - Accent1 8 2 2 3" xfId="25228" xr:uid="{07ED0055-7154-49CF-A817-BEA6134B7A33}"/>
    <cellStyle name="40% - Accent1 8 2 3" xfId="12575" xr:uid="{E5B669FD-73B5-47A9-9397-38E0F4737885}"/>
    <cellStyle name="40% - Accent1 8 2 4" xfId="21011" xr:uid="{5F551FB9-A559-4547-BC23-387817D135B4}"/>
    <cellStyle name="40% - Accent1 8 3" xfId="6206" xr:uid="{00000000-0005-0000-0000-00005D040000}"/>
    <cellStyle name="40% - Accent1 8 3 2" xfId="14648" xr:uid="{298CC65B-01E8-4C41-A85C-897ED06B73DA}"/>
    <cellStyle name="40% - Accent1 8 3 3" xfId="23083" xr:uid="{3854CC2E-A9BE-4423-9143-738E36056243}"/>
    <cellStyle name="40% - Accent1 8 4" xfId="10430" xr:uid="{B6C5C360-EEDB-4606-B3FC-9AB36922EF21}"/>
    <cellStyle name="40% - Accent1 8 5" xfId="18866" xr:uid="{F44311AD-772F-4D67-8552-C69986820913}"/>
    <cellStyle name="40% - Accent1 9" xfId="2312" xr:uid="{00000000-0005-0000-0000-00005E040000}"/>
    <cellStyle name="40% - Accent1 9 2" xfId="6619" xr:uid="{00000000-0005-0000-0000-00005F040000}"/>
    <cellStyle name="40% - Accent1 9 2 2" xfId="15061" xr:uid="{F04F545D-ADA6-4E15-A1A4-68B0AD9CC91E}"/>
    <cellStyle name="40% - Accent1 9 2 3" xfId="23496" xr:uid="{DD6E9FA3-239D-4D2F-9BF4-E334C960C51F}"/>
    <cellStyle name="40% - Accent1 9 3" xfId="10843" xr:uid="{4847959D-2E60-453E-8F6B-126CE3107080}"/>
    <cellStyle name="40% - Accent1 9 4" xfId="19279" xr:uid="{F7BD409E-9E56-4956-B920-19AF78AF47E9}"/>
    <cellStyle name="40% - Accent2" xfId="57" builtinId="35" customBuiltin="1"/>
    <cellStyle name="40% - Accent2 10" xfId="4561" xr:uid="{00000000-0005-0000-0000-000061040000}"/>
    <cellStyle name="40% - Accent2 10 2" xfId="13003" xr:uid="{32B28067-1AA5-4795-BB67-61E21CC31502}"/>
    <cellStyle name="40% - Accent2 10 3" xfId="21438" xr:uid="{C498FC6C-F3BE-49F7-BC23-F0ECED46264B}"/>
    <cellStyle name="40% - Accent2 11" xfId="8785" xr:uid="{0F7B68EA-6326-4FF3-9BD5-F849B8741231}"/>
    <cellStyle name="40% - Accent2 12" xfId="17221" xr:uid="{C1B68AB9-1FDE-48F4-9B10-0C966013CEC1}"/>
    <cellStyle name="40% - Accent2 2" xfId="58" xr:uid="{00000000-0005-0000-0000-000062040000}"/>
    <cellStyle name="40% - Accent2 2 10" xfId="8786" xr:uid="{6FE7B530-6465-434C-AB06-9D50879579AC}"/>
    <cellStyle name="40% - Accent2 2 11" xfId="17222" xr:uid="{18C91EE1-93B4-4BBB-A1CE-6B3393B2B747}"/>
    <cellStyle name="40% - Accent2 2 2" xfId="59" xr:uid="{00000000-0005-0000-0000-000063040000}"/>
    <cellStyle name="40% - Accent2 2 2 10" xfId="17223" xr:uid="{4EF82536-187D-4916-B814-A4ACBF722647}"/>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2 2 2" xfId="15565" xr:uid="{F48F5E56-AFE1-4D44-B839-6B692D2E60B7}"/>
    <cellStyle name="40% - Accent2 2 2 2 2 2 2 3" xfId="24000" xr:uid="{71648BDF-500C-4A1E-9885-557E1A231FA9}"/>
    <cellStyle name="40% - Accent2 2 2 2 2 2 3" xfId="11347" xr:uid="{7415922F-41F1-479B-AB7E-07C435004431}"/>
    <cellStyle name="40% - Accent2 2 2 2 2 2 4" xfId="19783" xr:uid="{BA4F578D-A6AB-4F76-999C-B2E4CCC0CBFF}"/>
    <cellStyle name="40% - Accent2 2 2 2 2 3" xfId="4978" xr:uid="{00000000-0005-0000-0000-000068040000}"/>
    <cellStyle name="40% - Accent2 2 2 2 2 3 2" xfId="13420" xr:uid="{F9C3D940-18FC-4A40-AB65-93E2BB9BD3D1}"/>
    <cellStyle name="40% - Accent2 2 2 2 2 3 3" xfId="21855" xr:uid="{401E272C-0F8E-413E-9111-9814804AC4B6}"/>
    <cellStyle name="40% - Accent2 2 2 2 2 4" xfId="9202" xr:uid="{4059347A-1219-4645-A223-4155EE1B738F}"/>
    <cellStyle name="40% - Accent2 2 2 2 2 5" xfId="17638" xr:uid="{B4D6E519-CC0B-4FB7-B0F9-83239CFD2C23}"/>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2 2 2" xfId="15978" xr:uid="{8C9D283C-4CCC-4385-87EC-1D9E81FC842E}"/>
    <cellStyle name="40% - Accent2 2 2 2 3 2 2 3" xfId="24413" xr:uid="{DAF22546-B0E7-4E41-BD04-E13DCFF72B6B}"/>
    <cellStyle name="40% - Accent2 2 2 2 3 2 3" xfId="11760" xr:uid="{3956450B-FF19-4C59-9EF5-1260402061BB}"/>
    <cellStyle name="40% - Accent2 2 2 2 3 2 4" xfId="20196" xr:uid="{412547EC-9F6D-4066-B37A-335FE30DDD3E}"/>
    <cellStyle name="40% - Accent2 2 2 2 3 3" xfId="5391" xr:uid="{00000000-0005-0000-0000-00006C040000}"/>
    <cellStyle name="40% - Accent2 2 2 2 3 3 2" xfId="13833" xr:uid="{E11C8F16-2BCE-4780-976E-7B3553DE4CF8}"/>
    <cellStyle name="40% - Accent2 2 2 2 3 3 3" xfId="22268" xr:uid="{DCC9E182-0FA6-44EA-BC44-99C8786E1FC0}"/>
    <cellStyle name="40% - Accent2 2 2 2 3 4" xfId="9615" xr:uid="{4E071D8F-A4E9-4F3E-9FF0-BA4FEE0F5D9C}"/>
    <cellStyle name="40% - Accent2 2 2 2 3 5" xfId="18051" xr:uid="{16CE5E01-DAFD-47DF-B819-E7704D2D7883}"/>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2 2 2" xfId="16391" xr:uid="{4F317C05-768C-4CFA-B3CC-95FBFD8B82AB}"/>
    <cellStyle name="40% - Accent2 2 2 2 4 2 2 3" xfId="24826" xr:uid="{BE8511A9-DE4C-430C-BADD-6D017A5FE478}"/>
    <cellStyle name="40% - Accent2 2 2 2 4 2 3" xfId="12173" xr:uid="{17D15367-62C6-4EA8-9D0C-BAB0C7D77CD7}"/>
    <cellStyle name="40% - Accent2 2 2 2 4 2 4" xfId="20609" xr:uid="{29367A5B-7E2F-4F47-87CF-936CE9B65D59}"/>
    <cellStyle name="40% - Accent2 2 2 2 4 3" xfId="5804" xr:uid="{00000000-0005-0000-0000-000070040000}"/>
    <cellStyle name="40% - Accent2 2 2 2 4 3 2" xfId="14246" xr:uid="{2DD32BE2-A6AB-4D2D-879C-705A6DFDFDC2}"/>
    <cellStyle name="40% - Accent2 2 2 2 4 3 3" xfId="22681" xr:uid="{00CCF71F-444A-4DB3-8321-A978E58BE6CB}"/>
    <cellStyle name="40% - Accent2 2 2 2 4 4" xfId="10028" xr:uid="{AE73D1DE-624C-48EF-A632-63207C75B343}"/>
    <cellStyle name="40% - Accent2 2 2 2 4 5" xfId="18464" xr:uid="{D6480FEB-9E4A-4673-997C-F1B9E92C1504}"/>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2 2 2" xfId="16804" xr:uid="{DFA8D6BA-04A0-4628-AD32-7BD24294EB7A}"/>
    <cellStyle name="40% - Accent2 2 2 2 5 2 2 3" xfId="25239" xr:uid="{C9B2750E-EA65-4E25-B5A5-04A8FAAB07B4}"/>
    <cellStyle name="40% - Accent2 2 2 2 5 2 3" xfId="12586" xr:uid="{9F2DDD57-F720-4178-AD1F-AF526F48F805}"/>
    <cellStyle name="40% - Accent2 2 2 2 5 2 4" xfId="21022" xr:uid="{E2045E30-856B-497B-BDE7-07DD49511CD2}"/>
    <cellStyle name="40% - Accent2 2 2 2 5 3" xfId="6217" xr:uid="{00000000-0005-0000-0000-000074040000}"/>
    <cellStyle name="40% - Accent2 2 2 2 5 3 2" xfId="14659" xr:uid="{3EE4CA4A-642F-4612-B5DD-292A2FA1B066}"/>
    <cellStyle name="40% - Accent2 2 2 2 5 3 3" xfId="23094" xr:uid="{C3203A38-E9A0-4102-B9A3-7DA7675CBB3D}"/>
    <cellStyle name="40% - Accent2 2 2 2 5 4" xfId="10441" xr:uid="{F52057A3-A10F-4E35-A5D4-CC3CBD85197F}"/>
    <cellStyle name="40% - Accent2 2 2 2 5 5" xfId="18877" xr:uid="{7A0E170A-6933-43A6-9F8A-5A61485E9356}"/>
    <cellStyle name="40% - Accent2 2 2 2 6" xfId="2323" xr:uid="{00000000-0005-0000-0000-000075040000}"/>
    <cellStyle name="40% - Accent2 2 2 2 6 2" xfId="6630" xr:uid="{00000000-0005-0000-0000-000076040000}"/>
    <cellStyle name="40% - Accent2 2 2 2 6 2 2" xfId="15072" xr:uid="{FAB4A2C6-782B-420F-A5F3-024FE74D5B4F}"/>
    <cellStyle name="40% - Accent2 2 2 2 6 2 3" xfId="23507" xr:uid="{E44023D9-2210-472A-B606-9059C209F723}"/>
    <cellStyle name="40% - Accent2 2 2 2 6 3" xfId="10854" xr:uid="{D41C5572-06FA-43B4-BCAA-85E2677A14F7}"/>
    <cellStyle name="40% - Accent2 2 2 2 6 4" xfId="19290" xr:uid="{11203B31-CCDF-4FD6-97DD-F16D88991D39}"/>
    <cellStyle name="40% - Accent2 2 2 2 7" xfId="4564" xr:uid="{00000000-0005-0000-0000-000077040000}"/>
    <cellStyle name="40% - Accent2 2 2 2 7 2" xfId="13006" xr:uid="{9BCA71D3-2D73-4021-9F5B-5B44A4EE1834}"/>
    <cellStyle name="40% - Accent2 2 2 2 7 3" xfId="21441" xr:uid="{2E086D5D-0C11-49CA-9C5A-12F7C37841A0}"/>
    <cellStyle name="40% - Accent2 2 2 2 8" xfId="8788" xr:uid="{7FAC5CF3-ABF7-47B4-9CB9-B191F0D654AC}"/>
    <cellStyle name="40% - Accent2 2 2 2 9" xfId="17224" xr:uid="{AEF82D37-C1DB-4AFA-89A5-EC2455360CD7}"/>
    <cellStyle name="40% - Accent2 2 2 3" xfId="628" xr:uid="{00000000-0005-0000-0000-000078040000}"/>
    <cellStyle name="40% - Accent2 2 2 3 2" xfId="2899" xr:uid="{00000000-0005-0000-0000-000079040000}"/>
    <cellStyle name="40% - Accent2 2 2 3 2 2" xfId="7122" xr:uid="{00000000-0005-0000-0000-00007A040000}"/>
    <cellStyle name="40% - Accent2 2 2 3 2 2 2" xfId="15564" xr:uid="{782CDF81-8AB5-4054-B3EC-AACF763EFFC0}"/>
    <cellStyle name="40% - Accent2 2 2 3 2 2 3" xfId="23999" xr:uid="{F540D987-B4D7-4EA3-8852-FE5104D1DC0E}"/>
    <cellStyle name="40% - Accent2 2 2 3 2 3" xfId="11346" xr:uid="{C935AC7F-3E2B-45F6-95F3-9D796BFD5AD5}"/>
    <cellStyle name="40% - Accent2 2 2 3 2 4" xfId="19782" xr:uid="{70929313-D661-4674-91FE-F7CD1665E83D}"/>
    <cellStyle name="40% - Accent2 2 2 3 3" xfId="4977" xr:uid="{00000000-0005-0000-0000-00007B040000}"/>
    <cellStyle name="40% - Accent2 2 2 3 3 2" xfId="13419" xr:uid="{5E4D0876-4FC9-482A-B791-70F2A44A0E5A}"/>
    <cellStyle name="40% - Accent2 2 2 3 3 3" xfId="21854" xr:uid="{352C2F0B-D4BB-44D7-ACF1-C8C05A501C82}"/>
    <cellStyle name="40% - Accent2 2 2 3 4" xfId="9201" xr:uid="{F0B4487E-C867-43E6-A295-32B8D9CA0A86}"/>
    <cellStyle name="40% - Accent2 2 2 3 5" xfId="17637" xr:uid="{E2B8E46E-5590-4192-BBD4-15B0EDF0E888}"/>
    <cellStyle name="40% - Accent2 2 2 4" xfId="1081" xr:uid="{00000000-0005-0000-0000-00007C040000}"/>
    <cellStyle name="40% - Accent2 2 2 4 2" xfId="3312" xr:uid="{00000000-0005-0000-0000-00007D040000}"/>
    <cellStyle name="40% - Accent2 2 2 4 2 2" xfId="7535" xr:uid="{00000000-0005-0000-0000-00007E040000}"/>
    <cellStyle name="40% - Accent2 2 2 4 2 2 2" xfId="15977" xr:uid="{CD4B1AF6-71E7-4F09-94E3-8B0251CE91CB}"/>
    <cellStyle name="40% - Accent2 2 2 4 2 2 3" xfId="24412" xr:uid="{17C269A9-3F8E-43AA-B019-2CB62CB3C25A}"/>
    <cellStyle name="40% - Accent2 2 2 4 2 3" xfId="11759" xr:uid="{733E6C81-AC39-4D2B-9338-B835CB396624}"/>
    <cellStyle name="40% - Accent2 2 2 4 2 4" xfId="20195" xr:uid="{C3AC9653-80D5-4D9D-8B7C-C945772967F2}"/>
    <cellStyle name="40% - Accent2 2 2 4 3" xfId="5390" xr:uid="{00000000-0005-0000-0000-00007F040000}"/>
    <cellStyle name="40% - Accent2 2 2 4 3 2" xfId="13832" xr:uid="{076BC770-0485-43E3-BC0F-1220599A759B}"/>
    <cellStyle name="40% - Accent2 2 2 4 3 3" xfId="22267" xr:uid="{77E44167-76C4-447B-9BD3-F50F275F4387}"/>
    <cellStyle name="40% - Accent2 2 2 4 4" xfId="9614" xr:uid="{DC62DCA9-2406-4975-B21D-767AC9D58EA2}"/>
    <cellStyle name="40% - Accent2 2 2 4 5" xfId="18050" xr:uid="{43698383-6346-4164-A653-8C03CE605DA4}"/>
    <cellStyle name="40% - Accent2 2 2 5" xfId="1495" xr:uid="{00000000-0005-0000-0000-000080040000}"/>
    <cellStyle name="40% - Accent2 2 2 5 2" xfId="3725" xr:uid="{00000000-0005-0000-0000-000081040000}"/>
    <cellStyle name="40% - Accent2 2 2 5 2 2" xfId="7948" xr:uid="{00000000-0005-0000-0000-000082040000}"/>
    <cellStyle name="40% - Accent2 2 2 5 2 2 2" xfId="16390" xr:uid="{A8D8F0AB-9470-4E64-BDC3-C2C9C48B647D}"/>
    <cellStyle name="40% - Accent2 2 2 5 2 2 3" xfId="24825" xr:uid="{2DB87C73-43A2-4FB5-8F19-7C372123BB50}"/>
    <cellStyle name="40% - Accent2 2 2 5 2 3" xfId="12172" xr:uid="{DF735FEE-0F3C-45A6-9398-6D7D61DF9B72}"/>
    <cellStyle name="40% - Accent2 2 2 5 2 4" xfId="20608" xr:uid="{D1CB936E-B367-4149-9189-BDE28007337C}"/>
    <cellStyle name="40% - Accent2 2 2 5 3" xfId="5803" xr:uid="{00000000-0005-0000-0000-000083040000}"/>
    <cellStyle name="40% - Accent2 2 2 5 3 2" xfId="14245" xr:uid="{4C8BD156-200F-447D-B5CB-B032A86D1AA4}"/>
    <cellStyle name="40% - Accent2 2 2 5 3 3" xfId="22680" xr:uid="{307F4460-316E-4823-A93D-36712AB94B53}"/>
    <cellStyle name="40% - Accent2 2 2 5 4" xfId="10027" xr:uid="{399CCE0E-295D-498C-A39F-BD2E0FC2E9B3}"/>
    <cellStyle name="40% - Accent2 2 2 5 5" xfId="18463" xr:uid="{FD0DA538-7248-4618-AE8B-A14F4ABF9857}"/>
    <cellStyle name="40% - Accent2 2 2 6" xfId="1909" xr:uid="{00000000-0005-0000-0000-000084040000}"/>
    <cellStyle name="40% - Accent2 2 2 6 2" xfId="4138" xr:uid="{00000000-0005-0000-0000-000085040000}"/>
    <cellStyle name="40% - Accent2 2 2 6 2 2" xfId="8361" xr:uid="{00000000-0005-0000-0000-000086040000}"/>
    <cellStyle name="40% - Accent2 2 2 6 2 2 2" xfId="16803" xr:uid="{6E33E2B8-7C4B-4C43-B21C-E432613315BA}"/>
    <cellStyle name="40% - Accent2 2 2 6 2 2 3" xfId="25238" xr:uid="{F3FA9ED4-90EF-4DB2-A37B-634F02042836}"/>
    <cellStyle name="40% - Accent2 2 2 6 2 3" xfId="12585" xr:uid="{A2771461-6A2D-4B28-BFD2-E28D4EDC6A2C}"/>
    <cellStyle name="40% - Accent2 2 2 6 2 4" xfId="21021" xr:uid="{FD439AE4-9C4B-4E22-ACD6-C9DCBD45ABFE}"/>
    <cellStyle name="40% - Accent2 2 2 6 3" xfId="6216" xr:uid="{00000000-0005-0000-0000-000087040000}"/>
    <cellStyle name="40% - Accent2 2 2 6 3 2" xfId="14658" xr:uid="{9143E9A3-E2F5-4C16-93E9-E9A5F88E14B2}"/>
    <cellStyle name="40% - Accent2 2 2 6 3 3" xfId="23093" xr:uid="{F57B4A61-F48C-49D1-B545-1E293D5A1BCF}"/>
    <cellStyle name="40% - Accent2 2 2 6 4" xfId="10440" xr:uid="{CCE11413-638B-419A-9C41-7FADF12E0AF6}"/>
    <cellStyle name="40% - Accent2 2 2 6 5" xfId="18876" xr:uid="{666B62B5-58AD-4C4D-B948-05CC129B8876}"/>
    <cellStyle name="40% - Accent2 2 2 7" xfId="2322" xr:uid="{00000000-0005-0000-0000-000088040000}"/>
    <cellStyle name="40% - Accent2 2 2 7 2" xfId="6629" xr:uid="{00000000-0005-0000-0000-000089040000}"/>
    <cellStyle name="40% - Accent2 2 2 7 2 2" xfId="15071" xr:uid="{8D320C33-B3DE-4482-8ADA-A749A8DC3E13}"/>
    <cellStyle name="40% - Accent2 2 2 7 2 3" xfId="23506" xr:uid="{50DBDC18-826F-4CC7-B880-35D40D2C3B4D}"/>
    <cellStyle name="40% - Accent2 2 2 7 3" xfId="10853" xr:uid="{AECAAA95-714B-45DB-82CF-6C34D6A72B0F}"/>
    <cellStyle name="40% - Accent2 2 2 7 4" xfId="19289" xr:uid="{C1412AD1-1E4C-4F7C-8B12-22630DDC352E}"/>
    <cellStyle name="40% - Accent2 2 2 8" xfId="4563" xr:uid="{00000000-0005-0000-0000-00008A040000}"/>
    <cellStyle name="40% - Accent2 2 2 8 2" xfId="13005" xr:uid="{E7419FC8-CCE5-4148-8BF6-96697EC3514D}"/>
    <cellStyle name="40% - Accent2 2 2 8 3" xfId="21440" xr:uid="{131C80C9-49E6-442C-8376-5C26A2F0918A}"/>
    <cellStyle name="40% - Accent2 2 2 9" xfId="8787" xr:uid="{344A5702-F043-4887-A706-09741B479216}"/>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2 2 2" xfId="15566" xr:uid="{9EB6CF49-6B11-47BC-85CF-15FF26FB3706}"/>
    <cellStyle name="40% - Accent2 2 3 2 2 2 3" xfId="24001" xr:uid="{AECDE57C-EF26-444E-A7F5-088F3D724EF3}"/>
    <cellStyle name="40% - Accent2 2 3 2 2 3" xfId="11348" xr:uid="{961ADA12-DF05-4662-A441-3DE9738FCFF2}"/>
    <cellStyle name="40% - Accent2 2 3 2 2 4" xfId="19784" xr:uid="{1F6FA5B6-9935-4001-A486-846BA31B3459}"/>
    <cellStyle name="40% - Accent2 2 3 2 3" xfId="4979" xr:uid="{00000000-0005-0000-0000-00008F040000}"/>
    <cellStyle name="40% - Accent2 2 3 2 3 2" xfId="13421" xr:uid="{46565CF3-433E-4827-98DF-2844DC9B9F60}"/>
    <cellStyle name="40% - Accent2 2 3 2 3 3" xfId="21856" xr:uid="{4259D60F-B818-477A-B925-9A12B7C028F0}"/>
    <cellStyle name="40% - Accent2 2 3 2 4" xfId="9203" xr:uid="{B83F2229-C141-4DAF-82BB-1B60393306FB}"/>
    <cellStyle name="40% - Accent2 2 3 2 5" xfId="17639" xr:uid="{1A80F4AB-1085-4BA6-9B69-7B56B8985B72}"/>
    <cellStyle name="40% - Accent2 2 3 3" xfId="1083" xr:uid="{00000000-0005-0000-0000-000090040000}"/>
    <cellStyle name="40% - Accent2 2 3 3 2" xfId="3314" xr:uid="{00000000-0005-0000-0000-000091040000}"/>
    <cellStyle name="40% - Accent2 2 3 3 2 2" xfId="7537" xr:uid="{00000000-0005-0000-0000-000092040000}"/>
    <cellStyle name="40% - Accent2 2 3 3 2 2 2" xfId="15979" xr:uid="{A5D173F1-4A10-4667-885E-5815C81AB47F}"/>
    <cellStyle name="40% - Accent2 2 3 3 2 2 3" xfId="24414" xr:uid="{A5AE0026-65B3-4F1C-984B-BE463C6383A4}"/>
    <cellStyle name="40% - Accent2 2 3 3 2 3" xfId="11761" xr:uid="{7F66030A-B991-467E-85BE-ACE4A4F2F1B5}"/>
    <cellStyle name="40% - Accent2 2 3 3 2 4" xfId="20197" xr:uid="{868C272C-D430-4EA6-8E5E-2E4146C8AA57}"/>
    <cellStyle name="40% - Accent2 2 3 3 3" xfId="5392" xr:uid="{00000000-0005-0000-0000-000093040000}"/>
    <cellStyle name="40% - Accent2 2 3 3 3 2" xfId="13834" xr:uid="{9E4F56A4-DE17-4AF4-8B57-36DDC4BA18D0}"/>
    <cellStyle name="40% - Accent2 2 3 3 3 3" xfId="22269" xr:uid="{07C1C6F3-4ABE-4ED5-9B2E-3E9D6A2A4C8F}"/>
    <cellStyle name="40% - Accent2 2 3 3 4" xfId="9616" xr:uid="{ACAB4DA8-BDB9-4D65-82D2-7211D3D2F7E3}"/>
    <cellStyle name="40% - Accent2 2 3 3 5" xfId="18052" xr:uid="{65C2FCF8-CEFF-4B22-B2D6-59F07BBFE310}"/>
    <cellStyle name="40% - Accent2 2 3 4" xfId="1497" xr:uid="{00000000-0005-0000-0000-000094040000}"/>
    <cellStyle name="40% - Accent2 2 3 4 2" xfId="3727" xr:uid="{00000000-0005-0000-0000-000095040000}"/>
    <cellStyle name="40% - Accent2 2 3 4 2 2" xfId="7950" xr:uid="{00000000-0005-0000-0000-000096040000}"/>
    <cellStyle name="40% - Accent2 2 3 4 2 2 2" xfId="16392" xr:uid="{64616C7A-B5B8-4C69-86CB-B25E8C99AFFB}"/>
    <cellStyle name="40% - Accent2 2 3 4 2 2 3" xfId="24827" xr:uid="{0053C476-49B6-47ED-AB26-F115E37B8C6B}"/>
    <cellStyle name="40% - Accent2 2 3 4 2 3" xfId="12174" xr:uid="{77F58209-D59E-4EDE-84E9-DF8D93789C74}"/>
    <cellStyle name="40% - Accent2 2 3 4 2 4" xfId="20610" xr:uid="{6DDBB7F7-0D7F-4F49-8381-7DDEFD97EA9E}"/>
    <cellStyle name="40% - Accent2 2 3 4 3" xfId="5805" xr:uid="{00000000-0005-0000-0000-000097040000}"/>
    <cellStyle name="40% - Accent2 2 3 4 3 2" xfId="14247" xr:uid="{66A77968-3D09-44D6-BB87-4E87C51CFCF8}"/>
    <cellStyle name="40% - Accent2 2 3 4 3 3" xfId="22682" xr:uid="{DDC1C3E9-DE77-4440-8985-A54B8E3A05C2}"/>
    <cellStyle name="40% - Accent2 2 3 4 4" xfId="10029" xr:uid="{21880929-9202-4040-98B9-4C1CBE058071}"/>
    <cellStyle name="40% - Accent2 2 3 4 5" xfId="18465" xr:uid="{8DDCF497-EC77-49A2-A736-554DF32AA4ED}"/>
    <cellStyle name="40% - Accent2 2 3 5" xfId="1911" xr:uid="{00000000-0005-0000-0000-000098040000}"/>
    <cellStyle name="40% - Accent2 2 3 5 2" xfId="4140" xr:uid="{00000000-0005-0000-0000-000099040000}"/>
    <cellStyle name="40% - Accent2 2 3 5 2 2" xfId="8363" xr:uid="{00000000-0005-0000-0000-00009A040000}"/>
    <cellStyle name="40% - Accent2 2 3 5 2 2 2" xfId="16805" xr:uid="{96A5782D-8FFA-4AF2-9DD9-2A9DFB1E4EEE}"/>
    <cellStyle name="40% - Accent2 2 3 5 2 2 3" xfId="25240" xr:uid="{5E40C2B1-802B-424D-8869-FCF61F0F29D2}"/>
    <cellStyle name="40% - Accent2 2 3 5 2 3" xfId="12587" xr:uid="{AD2AC4E8-E2E1-479C-A70C-C5391A8DD45E}"/>
    <cellStyle name="40% - Accent2 2 3 5 2 4" xfId="21023" xr:uid="{51E98243-006E-4E68-B82B-C7C72305C565}"/>
    <cellStyle name="40% - Accent2 2 3 5 3" xfId="6218" xr:uid="{00000000-0005-0000-0000-00009B040000}"/>
    <cellStyle name="40% - Accent2 2 3 5 3 2" xfId="14660" xr:uid="{FC38ED5A-4268-4006-8193-0D413B6A6CBB}"/>
    <cellStyle name="40% - Accent2 2 3 5 3 3" xfId="23095" xr:uid="{333DB904-DAFC-44E1-80DA-9EE9DC4F4A0F}"/>
    <cellStyle name="40% - Accent2 2 3 5 4" xfId="10442" xr:uid="{0F4232F2-4A7B-4B92-BF83-5676BDE18B83}"/>
    <cellStyle name="40% - Accent2 2 3 5 5" xfId="18878" xr:uid="{6E37E4E8-2EDD-4F63-8936-8BC244001564}"/>
    <cellStyle name="40% - Accent2 2 3 6" xfId="2324" xr:uid="{00000000-0005-0000-0000-00009C040000}"/>
    <cellStyle name="40% - Accent2 2 3 6 2" xfId="6631" xr:uid="{00000000-0005-0000-0000-00009D040000}"/>
    <cellStyle name="40% - Accent2 2 3 6 2 2" xfId="15073" xr:uid="{B1F0E28E-5A77-42B5-BCA3-B4E25EC527EF}"/>
    <cellStyle name="40% - Accent2 2 3 6 2 3" xfId="23508" xr:uid="{EA3E80B1-C606-41F7-822E-6E6F8845DBB7}"/>
    <cellStyle name="40% - Accent2 2 3 6 3" xfId="10855" xr:uid="{734C45DA-2C94-43D4-BCBF-4310CDE91678}"/>
    <cellStyle name="40% - Accent2 2 3 6 4" xfId="19291" xr:uid="{ACC8BC11-986E-4DFD-B328-983A6022F8BC}"/>
    <cellStyle name="40% - Accent2 2 3 7" xfId="4565" xr:uid="{00000000-0005-0000-0000-00009E040000}"/>
    <cellStyle name="40% - Accent2 2 3 7 2" xfId="13007" xr:uid="{5CE56CF4-72BF-48E9-90A1-9880E19C07F2}"/>
    <cellStyle name="40% - Accent2 2 3 7 3" xfId="21442" xr:uid="{97B43790-469F-4064-BD5D-29C179C53CFE}"/>
    <cellStyle name="40% - Accent2 2 3 8" xfId="8789" xr:uid="{7B8892B7-A701-4736-AD95-A4ACB8A0E7A1}"/>
    <cellStyle name="40% - Accent2 2 3 9" xfId="17225" xr:uid="{129981EF-0609-4CCB-B612-7ED3CBA238EB}"/>
    <cellStyle name="40% - Accent2 2 4" xfId="627" xr:uid="{00000000-0005-0000-0000-00009F040000}"/>
    <cellStyle name="40% - Accent2 2 4 2" xfId="2898" xr:uid="{00000000-0005-0000-0000-0000A0040000}"/>
    <cellStyle name="40% - Accent2 2 4 2 2" xfId="7121" xr:uid="{00000000-0005-0000-0000-0000A1040000}"/>
    <cellStyle name="40% - Accent2 2 4 2 2 2" xfId="15563" xr:uid="{75332684-2D40-4143-9474-E569CB96A041}"/>
    <cellStyle name="40% - Accent2 2 4 2 2 3" xfId="23998" xr:uid="{85591AF0-5E47-413A-9414-698DC63B5BBB}"/>
    <cellStyle name="40% - Accent2 2 4 2 3" xfId="11345" xr:uid="{E9D71527-FACD-4D84-83AD-CDEB920C3491}"/>
    <cellStyle name="40% - Accent2 2 4 2 4" xfId="19781" xr:uid="{17ADA1DF-0906-42F4-861E-E673F88780D3}"/>
    <cellStyle name="40% - Accent2 2 4 3" xfId="4976" xr:uid="{00000000-0005-0000-0000-0000A2040000}"/>
    <cellStyle name="40% - Accent2 2 4 3 2" xfId="13418" xr:uid="{3F847654-4F93-459C-84E7-552259756181}"/>
    <cellStyle name="40% - Accent2 2 4 3 3" xfId="21853" xr:uid="{B74F3F61-8AA8-4136-9874-EA0CF638D1A7}"/>
    <cellStyle name="40% - Accent2 2 4 4" xfId="9200" xr:uid="{247E71E6-F817-453C-9ADB-E7F4888CB568}"/>
    <cellStyle name="40% - Accent2 2 4 5" xfId="17636" xr:uid="{AAE341EA-27E9-4DDB-8AF5-E5F0F117463C}"/>
    <cellStyle name="40% - Accent2 2 5" xfId="1080" xr:uid="{00000000-0005-0000-0000-0000A3040000}"/>
    <cellStyle name="40% - Accent2 2 5 2" xfId="3311" xr:uid="{00000000-0005-0000-0000-0000A4040000}"/>
    <cellStyle name="40% - Accent2 2 5 2 2" xfId="7534" xr:uid="{00000000-0005-0000-0000-0000A5040000}"/>
    <cellStyle name="40% - Accent2 2 5 2 2 2" xfId="15976" xr:uid="{40AAB341-F67A-40BF-9501-AB0988DC080F}"/>
    <cellStyle name="40% - Accent2 2 5 2 2 3" xfId="24411" xr:uid="{366700C5-F6DE-4090-ABCD-4989C8FD9AD4}"/>
    <cellStyle name="40% - Accent2 2 5 2 3" xfId="11758" xr:uid="{4E0E12C4-CC0D-4443-9676-F4CC0B29F993}"/>
    <cellStyle name="40% - Accent2 2 5 2 4" xfId="20194" xr:uid="{6EA55F8A-1F12-4980-BB50-D76EC2B6E4C7}"/>
    <cellStyle name="40% - Accent2 2 5 3" xfId="5389" xr:uid="{00000000-0005-0000-0000-0000A6040000}"/>
    <cellStyle name="40% - Accent2 2 5 3 2" xfId="13831" xr:uid="{96A70FB4-7E62-4E88-81B4-A705A8EE3591}"/>
    <cellStyle name="40% - Accent2 2 5 3 3" xfId="22266" xr:uid="{7008889E-73A8-4496-9CBE-5E71EB682217}"/>
    <cellStyle name="40% - Accent2 2 5 4" xfId="9613" xr:uid="{5D1E901D-FAE3-40F4-AE2A-3EE70D4E3D72}"/>
    <cellStyle name="40% - Accent2 2 5 5" xfId="18049" xr:uid="{1DECBBD1-0F0C-43EB-BF64-6A0C8DD6AE6F}"/>
    <cellStyle name="40% - Accent2 2 6" xfId="1494" xr:uid="{00000000-0005-0000-0000-0000A7040000}"/>
    <cellStyle name="40% - Accent2 2 6 2" xfId="3724" xr:uid="{00000000-0005-0000-0000-0000A8040000}"/>
    <cellStyle name="40% - Accent2 2 6 2 2" xfId="7947" xr:uid="{00000000-0005-0000-0000-0000A9040000}"/>
    <cellStyle name="40% - Accent2 2 6 2 2 2" xfId="16389" xr:uid="{630FAA93-A4D4-4AA6-9372-DC6F0016FF37}"/>
    <cellStyle name="40% - Accent2 2 6 2 2 3" xfId="24824" xr:uid="{694C7500-A77C-416E-ACA8-D28B26809447}"/>
    <cellStyle name="40% - Accent2 2 6 2 3" xfId="12171" xr:uid="{05D9EAD8-DD5F-4016-A0AA-688174A84B45}"/>
    <cellStyle name="40% - Accent2 2 6 2 4" xfId="20607" xr:uid="{1E01B028-E96B-4418-B90F-9B41E825E08B}"/>
    <cellStyle name="40% - Accent2 2 6 3" xfId="5802" xr:uid="{00000000-0005-0000-0000-0000AA040000}"/>
    <cellStyle name="40% - Accent2 2 6 3 2" xfId="14244" xr:uid="{09913CF6-2397-45FD-9F2C-CAEC4B2F3DC6}"/>
    <cellStyle name="40% - Accent2 2 6 3 3" xfId="22679" xr:uid="{EB82C55F-7174-4A53-9F4A-4E01F5D9B872}"/>
    <cellStyle name="40% - Accent2 2 6 4" xfId="10026" xr:uid="{0C9387B9-0E6A-4E02-AD98-4818781EE736}"/>
    <cellStyle name="40% - Accent2 2 6 5" xfId="18462" xr:uid="{01D733F6-2C08-47CD-A064-C8EA11F42EE2}"/>
    <cellStyle name="40% - Accent2 2 7" xfId="1908" xr:uid="{00000000-0005-0000-0000-0000AB040000}"/>
    <cellStyle name="40% - Accent2 2 7 2" xfId="4137" xr:uid="{00000000-0005-0000-0000-0000AC040000}"/>
    <cellStyle name="40% - Accent2 2 7 2 2" xfId="8360" xr:uid="{00000000-0005-0000-0000-0000AD040000}"/>
    <cellStyle name="40% - Accent2 2 7 2 2 2" xfId="16802" xr:uid="{28BA9AB5-C0A7-42D2-B759-B3DE571FE9EE}"/>
    <cellStyle name="40% - Accent2 2 7 2 2 3" xfId="25237" xr:uid="{3BA7A6FE-A0DE-4917-ADB1-636F7DCAAF16}"/>
    <cellStyle name="40% - Accent2 2 7 2 3" xfId="12584" xr:uid="{A5C186FF-69E7-49F8-B313-7B2521749DF5}"/>
    <cellStyle name="40% - Accent2 2 7 2 4" xfId="21020" xr:uid="{BB314D02-7639-400F-803E-11C4402700FF}"/>
    <cellStyle name="40% - Accent2 2 7 3" xfId="6215" xr:uid="{00000000-0005-0000-0000-0000AE040000}"/>
    <cellStyle name="40% - Accent2 2 7 3 2" xfId="14657" xr:uid="{4E57571F-D3BF-4714-BBF5-D5755B329597}"/>
    <cellStyle name="40% - Accent2 2 7 3 3" xfId="23092" xr:uid="{CAFC8BF9-39CE-4FF1-9DE4-FFE56B978C8E}"/>
    <cellStyle name="40% - Accent2 2 7 4" xfId="10439" xr:uid="{9C65548C-33A9-4EBC-9283-84691362302F}"/>
    <cellStyle name="40% - Accent2 2 7 5" xfId="18875" xr:uid="{CC7D9B82-12B6-44DC-A871-72B15E257FF0}"/>
    <cellStyle name="40% - Accent2 2 8" xfId="2321" xr:uid="{00000000-0005-0000-0000-0000AF040000}"/>
    <cellStyle name="40% - Accent2 2 8 2" xfId="6628" xr:uid="{00000000-0005-0000-0000-0000B0040000}"/>
    <cellStyle name="40% - Accent2 2 8 2 2" xfId="15070" xr:uid="{319F30ED-5270-418E-99B2-86583FE267F5}"/>
    <cellStyle name="40% - Accent2 2 8 2 3" xfId="23505" xr:uid="{48C639A8-4AAE-4DD0-9B52-40232CCF840F}"/>
    <cellStyle name="40% - Accent2 2 8 3" xfId="10852" xr:uid="{ED771C7E-49EA-4639-ACB1-8B2F4637A6C5}"/>
    <cellStyle name="40% - Accent2 2 8 4" xfId="19288" xr:uid="{A9E75B7C-91B9-4D88-8096-C1E3AFC2226E}"/>
    <cellStyle name="40% - Accent2 2 9" xfId="4562" xr:uid="{00000000-0005-0000-0000-0000B1040000}"/>
    <cellStyle name="40% - Accent2 2 9 2" xfId="13004" xr:uid="{245E0040-181C-4BEB-9CA3-2D1C7081C438}"/>
    <cellStyle name="40% - Accent2 2 9 3" xfId="21439" xr:uid="{69906FFA-95B0-4303-8B08-1B67B925B463}"/>
    <cellStyle name="40% - Accent2 3" xfId="62" xr:uid="{00000000-0005-0000-0000-0000B2040000}"/>
    <cellStyle name="40% - Accent2 3 10" xfId="17226" xr:uid="{75180671-E7CD-4815-B5F0-093FAA79567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2 2 2" xfId="15568" xr:uid="{1CE1820D-3B93-42FF-A9BA-8E40F8C7BABA}"/>
    <cellStyle name="40% - Accent2 3 2 2 2 2 3" xfId="24003" xr:uid="{1F5B41CB-71F4-4C19-981B-F8764FDD9990}"/>
    <cellStyle name="40% - Accent2 3 2 2 2 3" xfId="11350" xr:uid="{EEA2EBB2-43FC-4F8C-BE96-1F4B6DB548E2}"/>
    <cellStyle name="40% - Accent2 3 2 2 2 4" xfId="19786" xr:uid="{370EC912-0A49-4AAD-90E8-A4F34ACA4C13}"/>
    <cellStyle name="40% - Accent2 3 2 2 3" xfId="4981" xr:uid="{00000000-0005-0000-0000-0000B7040000}"/>
    <cellStyle name="40% - Accent2 3 2 2 3 2" xfId="13423" xr:uid="{FEA4EB7B-5786-4AD2-BD9D-24820CB72ABB}"/>
    <cellStyle name="40% - Accent2 3 2 2 3 3" xfId="21858" xr:uid="{E9C8EE8B-8585-469C-9CA9-66C0FBD5C62E}"/>
    <cellStyle name="40% - Accent2 3 2 2 4" xfId="9205" xr:uid="{12B3302B-A680-4576-960E-500B9274CACF}"/>
    <cellStyle name="40% - Accent2 3 2 2 5" xfId="17641" xr:uid="{54EEC551-A56D-43E0-8EA1-C00ECA8E71CC}"/>
    <cellStyle name="40% - Accent2 3 2 3" xfId="1085" xr:uid="{00000000-0005-0000-0000-0000B8040000}"/>
    <cellStyle name="40% - Accent2 3 2 3 2" xfId="3316" xr:uid="{00000000-0005-0000-0000-0000B9040000}"/>
    <cellStyle name="40% - Accent2 3 2 3 2 2" xfId="7539" xr:uid="{00000000-0005-0000-0000-0000BA040000}"/>
    <cellStyle name="40% - Accent2 3 2 3 2 2 2" xfId="15981" xr:uid="{84A2B39C-0F34-44BB-A0DF-3C38696E6290}"/>
    <cellStyle name="40% - Accent2 3 2 3 2 2 3" xfId="24416" xr:uid="{DB857DF9-CAF9-4F16-AF63-15AB80FC52A3}"/>
    <cellStyle name="40% - Accent2 3 2 3 2 3" xfId="11763" xr:uid="{9BA8C017-3A32-456E-BA8E-5C3A92CCA55E}"/>
    <cellStyle name="40% - Accent2 3 2 3 2 4" xfId="20199" xr:uid="{175A12AC-BFF2-4358-B3ED-646B0F77876F}"/>
    <cellStyle name="40% - Accent2 3 2 3 3" xfId="5394" xr:uid="{00000000-0005-0000-0000-0000BB040000}"/>
    <cellStyle name="40% - Accent2 3 2 3 3 2" xfId="13836" xr:uid="{7F66118C-2D2A-4AE0-A7A7-EFCD2C1443F9}"/>
    <cellStyle name="40% - Accent2 3 2 3 3 3" xfId="22271" xr:uid="{B83F2D2F-D9C3-4790-AD24-C7E5ACE23301}"/>
    <cellStyle name="40% - Accent2 3 2 3 4" xfId="9618" xr:uid="{6D7A3F44-0968-4090-84FE-70606C81BEDC}"/>
    <cellStyle name="40% - Accent2 3 2 3 5" xfId="18054" xr:uid="{F4FE1EAF-2275-4492-8A25-DC837DC54324}"/>
    <cellStyle name="40% - Accent2 3 2 4" xfId="1499" xr:uid="{00000000-0005-0000-0000-0000BC040000}"/>
    <cellStyle name="40% - Accent2 3 2 4 2" xfId="3729" xr:uid="{00000000-0005-0000-0000-0000BD040000}"/>
    <cellStyle name="40% - Accent2 3 2 4 2 2" xfId="7952" xr:uid="{00000000-0005-0000-0000-0000BE040000}"/>
    <cellStyle name="40% - Accent2 3 2 4 2 2 2" xfId="16394" xr:uid="{D6C9C9B8-5B21-4CF1-A272-7CE46BC87B61}"/>
    <cellStyle name="40% - Accent2 3 2 4 2 2 3" xfId="24829" xr:uid="{A0613D6F-5D36-44F3-BB25-35BF436A7E80}"/>
    <cellStyle name="40% - Accent2 3 2 4 2 3" xfId="12176" xr:uid="{F6FFB02F-0255-4388-8928-8B7E5D4E6CD8}"/>
    <cellStyle name="40% - Accent2 3 2 4 2 4" xfId="20612" xr:uid="{DBF40D6B-C87E-48D5-B0DC-2A0250C9D25B}"/>
    <cellStyle name="40% - Accent2 3 2 4 3" xfId="5807" xr:uid="{00000000-0005-0000-0000-0000BF040000}"/>
    <cellStyle name="40% - Accent2 3 2 4 3 2" xfId="14249" xr:uid="{6E3FC643-C02A-4C7D-90EA-23DDC2666DDB}"/>
    <cellStyle name="40% - Accent2 3 2 4 3 3" xfId="22684" xr:uid="{50148CE0-D3EF-4B79-AFEB-5610CDA3955A}"/>
    <cellStyle name="40% - Accent2 3 2 4 4" xfId="10031" xr:uid="{CC01C2C7-613E-408B-A14B-1EDE3A8CA640}"/>
    <cellStyle name="40% - Accent2 3 2 4 5" xfId="18467" xr:uid="{BE10CFDE-EC0D-48D1-9E44-9D2DCFA56935}"/>
    <cellStyle name="40% - Accent2 3 2 5" xfId="1913" xr:uid="{00000000-0005-0000-0000-0000C0040000}"/>
    <cellStyle name="40% - Accent2 3 2 5 2" xfId="4142" xr:uid="{00000000-0005-0000-0000-0000C1040000}"/>
    <cellStyle name="40% - Accent2 3 2 5 2 2" xfId="8365" xr:uid="{00000000-0005-0000-0000-0000C2040000}"/>
    <cellStyle name="40% - Accent2 3 2 5 2 2 2" xfId="16807" xr:uid="{61E1DA49-E5B1-4833-B0D1-F9737D27C8B4}"/>
    <cellStyle name="40% - Accent2 3 2 5 2 2 3" xfId="25242" xr:uid="{8219FBFC-C6ED-4B01-B1BE-B7640DA9A4B2}"/>
    <cellStyle name="40% - Accent2 3 2 5 2 3" xfId="12589" xr:uid="{8CCEC09F-3ED4-4513-801A-1CAEE130A996}"/>
    <cellStyle name="40% - Accent2 3 2 5 2 4" xfId="21025" xr:uid="{8382E713-BF18-40EE-8415-034834C58CDE}"/>
    <cellStyle name="40% - Accent2 3 2 5 3" xfId="6220" xr:uid="{00000000-0005-0000-0000-0000C3040000}"/>
    <cellStyle name="40% - Accent2 3 2 5 3 2" xfId="14662" xr:uid="{C9D863D6-9906-4F83-84BE-0302A3F5951E}"/>
    <cellStyle name="40% - Accent2 3 2 5 3 3" xfId="23097" xr:uid="{49374276-8AD7-40E5-A76A-E49BDA1ED287}"/>
    <cellStyle name="40% - Accent2 3 2 5 4" xfId="10444" xr:uid="{F29716AA-6F68-431D-AD09-2404EE154CC4}"/>
    <cellStyle name="40% - Accent2 3 2 5 5" xfId="18880" xr:uid="{5DEAE1E7-9771-4981-8CE5-259E3F2A9DB1}"/>
    <cellStyle name="40% - Accent2 3 2 6" xfId="2326" xr:uid="{00000000-0005-0000-0000-0000C4040000}"/>
    <cellStyle name="40% - Accent2 3 2 6 2" xfId="6633" xr:uid="{00000000-0005-0000-0000-0000C5040000}"/>
    <cellStyle name="40% - Accent2 3 2 6 2 2" xfId="15075" xr:uid="{CFEA2458-660D-4B2D-B65F-DD00B8861429}"/>
    <cellStyle name="40% - Accent2 3 2 6 2 3" xfId="23510" xr:uid="{1AF88B00-0C79-49BA-B277-69E728432DB4}"/>
    <cellStyle name="40% - Accent2 3 2 6 3" xfId="10857" xr:uid="{79F1750D-A9A5-484D-BAE0-E77549377705}"/>
    <cellStyle name="40% - Accent2 3 2 6 4" xfId="19293" xr:uid="{0A9E5478-EC01-4580-ABB1-696561523033}"/>
    <cellStyle name="40% - Accent2 3 2 7" xfId="4567" xr:uid="{00000000-0005-0000-0000-0000C6040000}"/>
    <cellStyle name="40% - Accent2 3 2 7 2" xfId="13009" xr:uid="{CA4A2A1B-9CC4-455F-A783-8066E2F1688D}"/>
    <cellStyle name="40% - Accent2 3 2 7 3" xfId="21444" xr:uid="{3CA382FC-7B5D-4E5A-BBF2-121102ADB512}"/>
    <cellStyle name="40% - Accent2 3 2 8" xfId="8791" xr:uid="{B4201F33-DB33-4DD3-B4EF-B034ADDA4CC5}"/>
    <cellStyle name="40% - Accent2 3 2 9" xfId="17227" xr:uid="{2EF6614A-74DC-41F5-B50B-343F1BCDE63F}"/>
    <cellStyle name="40% - Accent2 3 3" xfId="631" xr:uid="{00000000-0005-0000-0000-0000C7040000}"/>
    <cellStyle name="40% - Accent2 3 3 2" xfId="2902" xr:uid="{00000000-0005-0000-0000-0000C8040000}"/>
    <cellStyle name="40% - Accent2 3 3 2 2" xfId="7125" xr:uid="{00000000-0005-0000-0000-0000C9040000}"/>
    <cellStyle name="40% - Accent2 3 3 2 2 2" xfId="15567" xr:uid="{FCDF92C5-8A16-4354-900D-64781353D8B7}"/>
    <cellStyle name="40% - Accent2 3 3 2 2 3" xfId="24002" xr:uid="{CB1DB8E3-0681-42D3-88B1-55FA8D08DDAE}"/>
    <cellStyle name="40% - Accent2 3 3 2 3" xfId="11349" xr:uid="{CCCDE676-4C37-4BB4-A811-62B3EF0F0376}"/>
    <cellStyle name="40% - Accent2 3 3 2 4" xfId="19785" xr:uid="{B1A92D72-6027-4E47-B178-ED0F7A1C228E}"/>
    <cellStyle name="40% - Accent2 3 3 3" xfId="4980" xr:uid="{00000000-0005-0000-0000-0000CA040000}"/>
    <cellStyle name="40% - Accent2 3 3 3 2" xfId="13422" xr:uid="{6EFDF800-5721-485A-AC56-FAEC0EE0128A}"/>
    <cellStyle name="40% - Accent2 3 3 3 3" xfId="21857" xr:uid="{9F456493-38D8-4732-A198-9EE632C72A4B}"/>
    <cellStyle name="40% - Accent2 3 3 4" xfId="9204" xr:uid="{21AF867E-0827-4226-A2C4-6631C4547827}"/>
    <cellStyle name="40% - Accent2 3 3 5" xfId="17640" xr:uid="{D472D02C-B299-4C74-A263-396E953E5AA4}"/>
    <cellStyle name="40% - Accent2 3 4" xfId="1084" xr:uid="{00000000-0005-0000-0000-0000CB040000}"/>
    <cellStyle name="40% - Accent2 3 4 2" xfId="3315" xr:uid="{00000000-0005-0000-0000-0000CC040000}"/>
    <cellStyle name="40% - Accent2 3 4 2 2" xfId="7538" xr:uid="{00000000-0005-0000-0000-0000CD040000}"/>
    <cellStyle name="40% - Accent2 3 4 2 2 2" xfId="15980" xr:uid="{FA31D7F1-8C45-4C8F-9E8F-8227D34A0CC2}"/>
    <cellStyle name="40% - Accent2 3 4 2 2 3" xfId="24415" xr:uid="{550CC22B-5C76-4B40-AA09-F09A94DC871E}"/>
    <cellStyle name="40% - Accent2 3 4 2 3" xfId="11762" xr:uid="{774BC4ED-85DB-4B9E-9A5A-6816D9F63749}"/>
    <cellStyle name="40% - Accent2 3 4 2 4" xfId="20198" xr:uid="{1DFA8FD3-4D2F-4CA5-9D5C-324BD7F267E9}"/>
    <cellStyle name="40% - Accent2 3 4 3" xfId="5393" xr:uid="{00000000-0005-0000-0000-0000CE040000}"/>
    <cellStyle name="40% - Accent2 3 4 3 2" xfId="13835" xr:uid="{0CA92B4B-5CBA-4DA5-A377-499FF6506703}"/>
    <cellStyle name="40% - Accent2 3 4 3 3" xfId="22270" xr:uid="{0B32BFB7-5C0A-4673-B3A6-FA12588E2E37}"/>
    <cellStyle name="40% - Accent2 3 4 4" xfId="9617" xr:uid="{8B1E6C81-D4E3-4542-A11E-58C2FC71DA1B}"/>
    <cellStyle name="40% - Accent2 3 4 5" xfId="18053" xr:uid="{DACF0DA9-8732-4CFB-92CA-E48D9B5221E0}"/>
    <cellStyle name="40% - Accent2 3 5" xfId="1498" xr:uid="{00000000-0005-0000-0000-0000CF040000}"/>
    <cellStyle name="40% - Accent2 3 5 2" xfId="3728" xr:uid="{00000000-0005-0000-0000-0000D0040000}"/>
    <cellStyle name="40% - Accent2 3 5 2 2" xfId="7951" xr:uid="{00000000-0005-0000-0000-0000D1040000}"/>
    <cellStyle name="40% - Accent2 3 5 2 2 2" xfId="16393" xr:uid="{CF125EDD-E1F3-481E-AD94-A68C40C8A454}"/>
    <cellStyle name="40% - Accent2 3 5 2 2 3" xfId="24828" xr:uid="{52278913-D370-4DF9-A002-51B55F1ABC28}"/>
    <cellStyle name="40% - Accent2 3 5 2 3" xfId="12175" xr:uid="{7B6F4275-1A4A-427D-817F-A8FE6A91A5AA}"/>
    <cellStyle name="40% - Accent2 3 5 2 4" xfId="20611" xr:uid="{630A5D5B-17AF-4461-836D-5BF532C59C77}"/>
    <cellStyle name="40% - Accent2 3 5 3" xfId="5806" xr:uid="{00000000-0005-0000-0000-0000D2040000}"/>
    <cellStyle name="40% - Accent2 3 5 3 2" xfId="14248" xr:uid="{D2695C4B-58B6-4AC1-A45A-1EC2A198CD18}"/>
    <cellStyle name="40% - Accent2 3 5 3 3" xfId="22683" xr:uid="{40101839-7097-4CCE-9131-466E812BCD37}"/>
    <cellStyle name="40% - Accent2 3 5 4" xfId="10030" xr:uid="{56DEFFB2-A25D-47A6-B4A3-C0C620C63B4C}"/>
    <cellStyle name="40% - Accent2 3 5 5" xfId="18466" xr:uid="{D6206754-D955-41A0-AEBE-0827031B04BF}"/>
    <cellStyle name="40% - Accent2 3 6" xfId="1912" xr:uid="{00000000-0005-0000-0000-0000D3040000}"/>
    <cellStyle name="40% - Accent2 3 6 2" xfId="4141" xr:uid="{00000000-0005-0000-0000-0000D4040000}"/>
    <cellStyle name="40% - Accent2 3 6 2 2" xfId="8364" xr:uid="{00000000-0005-0000-0000-0000D5040000}"/>
    <cellStyle name="40% - Accent2 3 6 2 2 2" xfId="16806" xr:uid="{EBBCCB08-2B02-4E60-843A-50D97130400A}"/>
    <cellStyle name="40% - Accent2 3 6 2 2 3" xfId="25241" xr:uid="{8DBED2D6-A3A6-4327-A85A-FD2276FE06A6}"/>
    <cellStyle name="40% - Accent2 3 6 2 3" xfId="12588" xr:uid="{C129D189-3520-4878-B76E-7445F636D852}"/>
    <cellStyle name="40% - Accent2 3 6 2 4" xfId="21024" xr:uid="{6F4D5090-DCF9-48DA-A1BF-462CEF9FDF30}"/>
    <cellStyle name="40% - Accent2 3 6 3" xfId="6219" xr:uid="{00000000-0005-0000-0000-0000D6040000}"/>
    <cellStyle name="40% - Accent2 3 6 3 2" xfId="14661" xr:uid="{9E6502FA-2A2F-49EC-91F1-019A49D6AC70}"/>
    <cellStyle name="40% - Accent2 3 6 3 3" xfId="23096" xr:uid="{53512413-B1D7-4C36-9AFA-37BCB6FD6F55}"/>
    <cellStyle name="40% - Accent2 3 6 4" xfId="10443" xr:uid="{0BD42D3D-F5FB-4085-957C-45995AEEC2F9}"/>
    <cellStyle name="40% - Accent2 3 6 5" xfId="18879" xr:uid="{FBFA2F6F-F74D-4A3E-AC58-0315066F5EBE}"/>
    <cellStyle name="40% - Accent2 3 7" xfId="2325" xr:uid="{00000000-0005-0000-0000-0000D7040000}"/>
    <cellStyle name="40% - Accent2 3 7 2" xfId="6632" xr:uid="{00000000-0005-0000-0000-0000D8040000}"/>
    <cellStyle name="40% - Accent2 3 7 2 2" xfId="15074" xr:uid="{84B8996F-794B-44FE-829D-0500A6716C39}"/>
    <cellStyle name="40% - Accent2 3 7 2 3" xfId="23509" xr:uid="{BDF473A7-354A-4B2A-8028-8FDF94879580}"/>
    <cellStyle name="40% - Accent2 3 7 3" xfId="10856" xr:uid="{976A3EC4-1EDF-46BD-8F29-E4FC1B0A2273}"/>
    <cellStyle name="40% - Accent2 3 7 4" xfId="19292" xr:uid="{E2EC049C-6D5A-49E6-87F3-A309E658B6D6}"/>
    <cellStyle name="40% - Accent2 3 8" xfId="4566" xr:uid="{00000000-0005-0000-0000-0000D9040000}"/>
    <cellStyle name="40% - Accent2 3 8 2" xfId="13008" xr:uid="{0A58DB89-655B-4B83-8997-EFD16C3E0B01}"/>
    <cellStyle name="40% - Accent2 3 8 3" xfId="21443" xr:uid="{9638F718-71DF-469D-84A5-6FAC31ABF40E}"/>
    <cellStyle name="40% - Accent2 3 9" xfId="8790" xr:uid="{FA8E79B3-F369-4B8D-BB01-5DA8C987F424}"/>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2 2 2" xfId="15569" xr:uid="{F313F61C-E919-4E13-B801-6140E52E35A8}"/>
    <cellStyle name="40% - Accent2 4 2 2 2 3" xfId="24004" xr:uid="{CF079E12-55B9-447D-B86D-51E71F113808}"/>
    <cellStyle name="40% - Accent2 4 2 2 3" xfId="11351" xr:uid="{BF803D1A-5A94-4F69-8A9D-10399E2E5CBD}"/>
    <cellStyle name="40% - Accent2 4 2 2 4" xfId="19787" xr:uid="{D7E8BC69-F124-4B4A-A111-FE53E2735704}"/>
    <cellStyle name="40% - Accent2 4 2 3" xfId="4982" xr:uid="{00000000-0005-0000-0000-0000DE040000}"/>
    <cellStyle name="40% - Accent2 4 2 3 2" xfId="13424" xr:uid="{E5345A97-415F-4E0A-95DD-941D94FD3467}"/>
    <cellStyle name="40% - Accent2 4 2 3 3" xfId="21859" xr:uid="{B1C6593C-553B-4894-ADB1-AAC79F32A4E2}"/>
    <cellStyle name="40% - Accent2 4 2 4" xfId="9206" xr:uid="{8AD24B45-9821-4920-B925-F675D3C0D6D7}"/>
    <cellStyle name="40% - Accent2 4 2 5" xfId="17642" xr:uid="{4F1BC143-E9DA-44C4-801D-E8D2AE88A1B2}"/>
    <cellStyle name="40% - Accent2 4 3" xfId="1086" xr:uid="{00000000-0005-0000-0000-0000DF040000}"/>
    <cellStyle name="40% - Accent2 4 3 2" xfId="3317" xr:uid="{00000000-0005-0000-0000-0000E0040000}"/>
    <cellStyle name="40% - Accent2 4 3 2 2" xfId="7540" xr:uid="{00000000-0005-0000-0000-0000E1040000}"/>
    <cellStyle name="40% - Accent2 4 3 2 2 2" xfId="15982" xr:uid="{F07D1D43-8075-4166-98B6-CA12239CD96D}"/>
    <cellStyle name="40% - Accent2 4 3 2 2 3" xfId="24417" xr:uid="{AB989C3B-899E-414B-ACFB-B2B7FAA5A6DC}"/>
    <cellStyle name="40% - Accent2 4 3 2 3" xfId="11764" xr:uid="{6D5C6E99-A50B-46FD-A36C-35951114ED0F}"/>
    <cellStyle name="40% - Accent2 4 3 2 4" xfId="20200" xr:uid="{BDB01199-818F-4DCE-90AB-3445A99079F9}"/>
    <cellStyle name="40% - Accent2 4 3 3" xfId="5395" xr:uid="{00000000-0005-0000-0000-0000E2040000}"/>
    <cellStyle name="40% - Accent2 4 3 3 2" xfId="13837" xr:uid="{50C57F46-771C-4F22-B726-E0A96A59E971}"/>
    <cellStyle name="40% - Accent2 4 3 3 3" xfId="22272" xr:uid="{A7BD28BD-51E2-424C-B322-16C606B6150E}"/>
    <cellStyle name="40% - Accent2 4 3 4" xfId="9619" xr:uid="{431C2F65-DAE5-4033-86D4-B6DFEE569D5F}"/>
    <cellStyle name="40% - Accent2 4 3 5" xfId="18055" xr:uid="{D0CFC658-1D00-439D-A213-FD87B45A60E4}"/>
    <cellStyle name="40% - Accent2 4 4" xfId="1500" xr:uid="{00000000-0005-0000-0000-0000E3040000}"/>
    <cellStyle name="40% - Accent2 4 4 2" xfId="3730" xr:uid="{00000000-0005-0000-0000-0000E4040000}"/>
    <cellStyle name="40% - Accent2 4 4 2 2" xfId="7953" xr:uid="{00000000-0005-0000-0000-0000E5040000}"/>
    <cellStyle name="40% - Accent2 4 4 2 2 2" xfId="16395" xr:uid="{75EEA648-EA1C-4D40-81E6-86EE4B7E8292}"/>
    <cellStyle name="40% - Accent2 4 4 2 2 3" xfId="24830" xr:uid="{3B3943D5-FE64-4E8A-A5D5-2AAD47D87F28}"/>
    <cellStyle name="40% - Accent2 4 4 2 3" xfId="12177" xr:uid="{3C196A49-5579-4E5F-B8D5-AA0B9A1C49B7}"/>
    <cellStyle name="40% - Accent2 4 4 2 4" xfId="20613" xr:uid="{5AEE782C-4F4E-4BB4-B45E-DB44D02C4942}"/>
    <cellStyle name="40% - Accent2 4 4 3" xfId="5808" xr:uid="{00000000-0005-0000-0000-0000E6040000}"/>
    <cellStyle name="40% - Accent2 4 4 3 2" xfId="14250" xr:uid="{64090A37-5EAF-4288-9602-71703863C3BC}"/>
    <cellStyle name="40% - Accent2 4 4 3 3" xfId="22685" xr:uid="{5E6D736B-44F6-46DA-946B-6F82921EF91E}"/>
    <cellStyle name="40% - Accent2 4 4 4" xfId="10032" xr:uid="{A4A0EEE2-42B3-43F8-A239-CF1220550821}"/>
    <cellStyle name="40% - Accent2 4 4 5" xfId="18468" xr:uid="{ED4BEF39-D130-4171-AFD1-54DDB484FD5A}"/>
    <cellStyle name="40% - Accent2 4 5" xfId="1914" xr:uid="{00000000-0005-0000-0000-0000E7040000}"/>
    <cellStyle name="40% - Accent2 4 5 2" xfId="4143" xr:uid="{00000000-0005-0000-0000-0000E8040000}"/>
    <cellStyle name="40% - Accent2 4 5 2 2" xfId="8366" xr:uid="{00000000-0005-0000-0000-0000E9040000}"/>
    <cellStyle name="40% - Accent2 4 5 2 2 2" xfId="16808" xr:uid="{BB2972B9-B783-4053-AFF0-BD23EAD69863}"/>
    <cellStyle name="40% - Accent2 4 5 2 2 3" xfId="25243" xr:uid="{DED4F7AA-05D2-4115-B658-5554D1105038}"/>
    <cellStyle name="40% - Accent2 4 5 2 3" xfId="12590" xr:uid="{A4CB238F-ED1D-4305-9040-729BF3D441F5}"/>
    <cellStyle name="40% - Accent2 4 5 2 4" xfId="21026" xr:uid="{4F6E5C08-2F89-4D5F-A694-64EEA3617FFA}"/>
    <cellStyle name="40% - Accent2 4 5 3" xfId="6221" xr:uid="{00000000-0005-0000-0000-0000EA040000}"/>
    <cellStyle name="40% - Accent2 4 5 3 2" xfId="14663" xr:uid="{F8488569-8ACA-4AEB-80A5-A12007892DD8}"/>
    <cellStyle name="40% - Accent2 4 5 3 3" xfId="23098" xr:uid="{A94FFBE0-22D9-4FDB-A5F2-34A60801B562}"/>
    <cellStyle name="40% - Accent2 4 5 4" xfId="10445" xr:uid="{F37D646F-6841-406B-95FA-2346FCA7E5F6}"/>
    <cellStyle name="40% - Accent2 4 5 5" xfId="18881" xr:uid="{4DFD94BB-EF0B-4699-91B2-2625F15289F7}"/>
    <cellStyle name="40% - Accent2 4 6" xfId="2327" xr:uid="{00000000-0005-0000-0000-0000EB040000}"/>
    <cellStyle name="40% - Accent2 4 6 2" xfId="6634" xr:uid="{00000000-0005-0000-0000-0000EC040000}"/>
    <cellStyle name="40% - Accent2 4 6 2 2" xfId="15076" xr:uid="{64B767A8-12A1-4A20-BCF8-7E45CB606958}"/>
    <cellStyle name="40% - Accent2 4 6 2 3" xfId="23511" xr:uid="{7013622A-3B50-4437-A954-1126F71CB2C9}"/>
    <cellStyle name="40% - Accent2 4 6 3" xfId="10858" xr:uid="{4B79119A-E6CE-448D-B9FE-0CE31D642192}"/>
    <cellStyle name="40% - Accent2 4 6 4" xfId="19294" xr:uid="{180281DF-04DD-4C91-97F4-CC59564F06CF}"/>
    <cellStyle name="40% - Accent2 4 7" xfId="4568" xr:uid="{00000000-0005-0000-0000-0000ED040000}"/>
    <cellStyle name="40% - Accent2 4 7 2" xfId="13010" xr:uid="{7223C8B9-6ED0-41FF-9980-AE7E24D853AC}"/>
    <cellStyle name="40% - Accent2 4 7 3" xfId="21445" xr:uid="{C347894B-BB40-43C3-9B54-D2D7F9806671}"/>
    <cellStyle name="40% - Accent2 4 8" xfId="8792" xr:uid="{8245E70A-8CC1-460B-84D9-BEF63DCF5683}"/>
    <cellStyle name="40% - Accent2 4 9" xfId="17228" xr:uid="{578350EB-C63E-40E2-A7FB-75A068B662B1}"/>
    <cellStyle name="40% - Accent2 5" xfId="626" xr:uid="{00000000-0005-0000-0000-0000EE040000}"/>
    <cellStyle name="40% - Accent2 5 2" xfId="2897" xr:uid="{00000000-0005-0000-0000-0000EF040000}"/>
    <cellStyle name="40% - Accent2 5 2 2" xfId="7120" xr:uid="{00000000-0005-0000-0000-0000F0040000}"/>
    <cellStyle name="40% - Accent2 5 2 2 2" xfId="15562" xr:uid="{8BA58A0C-9FD9-4112-A5EE-29402AA597CD}"/>
    <cellStyle name="40% - Accent2 5 2 2 3" xfId="23997" xr:uid="{8661D0D7-FC7A-4F80-AD0B-A3A65F4C3575}"/>
    <cellStyle name="40% - Accent2 5 2 3" xfId="11344" xr:uid="{C1F31924-D000-45B5-A4B0-A1892938AB29}"/>
    <cellStyle name="40% - Accent2 5 2 4" xfId="19780" xr:uid="{7B4DFC31-88A7-4A41-9F03-F6051CAAEEF6}"/>
    <cellStyle name="40% - Accent2 5 3" xfId="4975" xr:uid="{00000000-0005-0000-0000-0000F1040000}"/>
    <cellStyle name="40% - Accent2 5 3 2" xfId="13417" xr:uid="{5518CA13-E5DB-43EA-AB77-5E92FF1F74B1}"/>
    <cellStyle name="40% - Accent2 5 3 3" xfId="21852" xr:uid="{BE0DFE6F-E91F-4F19-B324-4D7951432290}"/>
    <cellStyle name="40% - Accent2 5 4" xfId="9199" xr:uid="{AFFB9781-B37C-4210-A8BC-F22662B7B4C6}"/>
    <cellStyle name="40% - Accent2 5 5" xfId="17635" xr:uid="{82BB29F9-3893-4E22-A294-3E73AD9FF2B7}"/>
    <cellStyle name="40% - Accent2 6" xfId="1079" xr:uid="{00000000-0005-0000-0000-0000F2040000}"/>
    <cellStyle name="40% - Accent2 6 2" xfId="3310" xr:uid="{00000000-0005-0000-0000-0000F3040000}"/>
    <cellStyle name="40% - Accent2 6 2 2" xfId="7533" xr:uid="{00000000-0005-0000-0000-0000F4040000}"/>
    <cellStyle name="40% - Accent2 6 2 2 2" xfId="15975" xr:uid="{99DB4BC5-78D8-4FDC-AC94-E4F8E4273F3A}"/>
    <cellStyle name="40% - Accent2 6 2 2 3" xfId="24410" xr:uid="{50EE1450-AF59-4726-8027-19CE2D663BBF}"/>
    <cellStyle name="40% - Accent2 6 2 3" xfId="11757" xr:uid="{755DD58E-8AE6-4F6A-8FCD-689182E11372}"/>
    <cellStyle name="40% - Accent2 6 2 4" xfId="20193" xr:uid="{D687950F-1681-4E95-9881-2AB39ACEEA5A}"/>
    <cellStyle name="40% - Accent2 6 3" xfId="5388" xr:uid="{00000000-0005-0000-0000-0000F5040000}"/>
    <cellStyle name="40% - Accent2 6 3 2" xfId="13830" xr:uid="{57E8174B-058A-4584-A634-D20F12CA0175}"/>
    <cellStyle name="40% - Accent2 6 3 3" xfId="22265" xr:uid="{13B5A01B-D3CB-4E58-8E58-255F0A33ADAE}"/>
    <cellStyle name="40% - Accent2 6 4" xfId="9612" xr:uid="{8B5DED48-45C6-4B22-899A-FAD71CC680BC}"/>
    <cellStyle name="40% - Accent2 6 5" xfId="18048" xr:uid="{0E3D9A79-AC9C-4417-AF49-C691C13D4CBE}"/>
    <cellStyle name="40% - Accent2 7" xfId="1493" xr:uid="{00000000-0005-0000-0000-0000F6040000}"/>
    <cellStyle name="40% - Accent2 7 2" xfId="3723" xr:uid="{00000000-0005-0000-0000-0000F7040000}"/>
    <cellStyle name="40% - Accent2 7 2 2" xfId="7946" xr:uid="{00000000-0005-0000-0000-0000F8040000}"/>
    <cellStyle name="40% - Accent2 7 2 2 2" xfId="16388" xr:uid="{25D6B3C1-FAA9-4737-8527-7BE05DE46992}"/>
    <cellStyle name="40% - Accent2 7 2 2 3" xfId="24823" xr:uid="{51FBD152-E956-4025-AB61-BA8E3B5BDB18}"/>
    <cellStyle name="40% - Accent2 7 2 3" xfId="12170" xr:uid="{9CBE8541-14B9-4600-85D8-518451BA522A}"/>
    <cellStyle name="40% - Accent2 7 2 4" xfId="20606" xr:uid="{EFF2C370-11B2-4065-8586-EFCFE1CDE57B}"/>
    <cellStyle name="40% - Accent2 7 3" xfId="5801" xr:uid="{00000000-0005-0000-0000-0000F9040000}"/>
    <cellStyle name="40% - Accent2 7 3 2" xfId="14243" xr:uid="{043EFD9D-BC8F-4458-97B3-31DF863548C1}"/>
    <cellStyle name="40% - Accent2 7 3 3" xfId="22678" xr:uid="{A022E7F8-82F4-4BD2-B962-75CE80DFAECC}"/>
    <cellStyle name="40% - Accent2 7 4" xfId="10025" xr:uid="{555A3FDA-1E46-4D95-AC07-7A734FBD6BF5}"/>
    <cellStyle name="40% - Accent2 7 5" xfId="18461" xr:uid="{B219C6E3-3097-4647-8CF5-9D51510145CF}"/>
    <cellStyle name="40% - Accent2 8" xfId="1907" xr:uid="{00000000-0005-0000-0000-0000FA040000}"/>
    <cellStyle name="40% - Accent2 8 2" xfId="4136" xr:uid="{00000000-0005-0000-0000-0000FB040000}"/>
    <cellStyle name="40% - Accent2 8 2 2" xfId="8359" xr:uid="{00000000-0005-0000-0000-0000FC040000}"/>
    <cellStyle name="40% - Accent2 8 2 2 2" xfId="16801" xr:uid="{AD159B4D-AE08-485F-AAEA-9E189ABBC84C}"/>
    <cellStyle name="40% - Accent2 8 2 2 3" xfId="25236" xr:uid="{A6460DB1-D5FA-484E-A1E3-3D62DF7C677A}"/>
    <cellStyle name="40% - Accent2 8 2 3" xfId="12583" xr:uid="{04469404-17A0-4785-952E-2697A54242EF}"/>
    <cellStyle name="40% - Accent2 8 2 4" xfId="21019" xr:uid="{7A9F97F2-C5BD-4DC2-AD0F-12CD60EDDB8D}"/>
    <cellStyle name="40% - Accent2 8 3" xfId="6214" xr:uid="{00000000-0005-0000-0000-0000FD040000}"/>
    <cellStyle name="40% - Accent2 8 3 2" xfId="14656" xr:uid="{0874A0DF-BC65-4A60-9BD3-E6F76E672C87}"/>
    <cellStyle name="40% - Accent2 8 3 3" xfId="23091" xr:uid="{22DD4BE2-81E2-4CDD-84DE-EEAFD0A2F9B2}"/>
    <cellStyle name="40% - Accent2 8 4" xfId="10438" xr:uid="{EF60AD99-6386-4A8E-A161-FC1CC3EAFF1A}"/>
    <cellStyle name="40% - Accent2 8 5" xfId="18874" xr:uid="{B4662C8A-FC61-4B9E-A6AA-1AFA59A13EE9}"/>
    <cellStyle name="40% - Accent2 9" xfId="2320" xr:uid="{00000000-0005-0000-0000-0000FE040000}"/>
    <cellStyle name="40% - Accent2 9 2" xfId="6627" xr:uid="{00000000-0005-0000-0000-0000FF040000}"/>
    <cellStyle name="40% - Accent2 9 2 2" xfId="15069" xr:uid="{1DC0CC65-8263-4B85-A3E4-0B22D8252E7B}"/>
    <cellStyle name="40% - Accent2 9 2 3" xfId="23504" xr:uid="{2269A15A-AF23-4057-A70F-446D711E0443}"/>
    <cellStyle name="40% - Accent2 9 3" xfId="10851" xr:uid="{6D19CFB7-1C6F-4EF2-A1E4-3360D325C9A1}"/>
    <cellStyle name="40% - Accent2 9 4" xfId="19287" xr:uid="{D7084FA1-406E-493C-9BEB-1730BFF7F507}"/>
    <cellStyle name="40% - Accent3" xfId="65" builtinId="39" customBuiltin="1"/>
    <cellStyle name="40% - Accent3 10" xfId="4569" xr:uid="{00000000-0005-0000-0000-000001050000}"/>
    <cellStyle name="40% - Accent3 10 2" xfId="13011" xr:uid="{E49F0079-AE2C-4A7D-AC27-791BF53DD72A}"/>
    <cellStyle name="40% - Accent3 10 3" xfId="21446" xr:uid="{4B9C077E-61F4-4353-A79A-842232BA6B23}"/>
    <cellStyle name="40% - Accent3 11" xfId="8793" xr:uid="{947759E0-F3E3-45D1-91B4-DBB818100E9D}"/>
    <cellStyle name="40% - Accent3 12" xfId="17229" xr:uid="{997388A1-A90C-4B58-8416-355599AADA81}"/>
    <cellStyle name="40% - Accent3 2" xfId="66" xr:uid="{00000000-0005-0000-0000-000002050000}"/>
    <cellStyle name="40% - Accent3 2 10" xfId="8794" xr:uid="{DBA7F082-3B6D-4519-88E3-10926D975E3A}"/>
    <cellStyle name="40% - Accent3 2 11" xfId="17230" xr:uid="{80BE0C68-9FCE-4428-B528-2AF8A7DF25BB}"/>
    <cellStyle name="40% - Accent3 2 2" xfId="67" xr:uid="{00000000-0005-0000-0000-000003050000}"/>
    <cellStyle name="40% - Accent3 2 2 10" xfId="17231" xr:uid="{312C126E-74E6-4969-B1CD-401951DE0B0D}"/>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2 2 2" xfId="15573" xr:uid="{7C0D2195-25E3-42A1-BF17-5C63DB3D6B11}"/>
    <cellStyle name="40% - Accent3 2 2 2 2 2 2 3" xfId="24008" xr:uid="{E456D5F3-FC51-4B66-8620-310DB1B0532D}"/>
    <cellStyle name="40% - Accent3 2 2 2 2 2 3" xfId="11355" xr:uid="{274EB6BE-020E-44F3-B35F-A9E03BECA8C7}"/>
    <cellStyle name="40% - Accent3 2 2 2 2 2 4" xfId="19791" xr:uid="{AB86CDBD-9ED5-41DF-95D2-50D0B6F1673B}"/>
    <cellStyle name="40% - Accent3 2 2 2 2 3" xfId="4986" xr:uid="{00000000-0005-0000-0000-000008050000}"/>
    <cellStyle name="40% - Accent3 2 2 2 2 3 2" xfId="13428" xr:uid="{1AC110B0-1DDC-425E-AAB7-D8D2F2EA1D34}"/>
    <cellStyle name="40% - Accent3 2 2 2 2 3 3" xfId="21863" xr:uid="{656347CB-68BB-48B5-974D-67848FDAF2EE}"/>
    <cellStyle name="40% - Accent3 2 2 2 2 4" xfId="9210" xr:uid="{9E306AD6-1E09-42FF-ACB9-C145127E62B2}"/>
    <cellStyle name="40% - Accent3 2 2 2 2 5" xfId="17646" xr:uid="{1C27152A-5AAF-4389-8D7C-7FC533F44AE8}"/>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2 2 2" xfId="15986" xr:uid="{ED1CDEE5-4DAD-4BD1-BCA9-5792C351E65D}"/>
    <cellStyle name="40% - Accent3 2 2 2 3 2 2 3" xfId="24421" xr:uid="{EEE2E73D-E392-4701-90FA-629885BA0D5B}"/>
    <cellStyle name="40% - Accent3 2 2 2 3 2 3" xfId="11768" xr:uid="{7E2911C5-6C61-4DC4-B892-991A8894D13E}"/>
    <cellStyle name="40% - Accent3 2 2 2 3 2 4" xfId="20204" xr:uid="{C311C43B-59A3-43C7-8912-3F0716B4D39C}"/>
    <cellStyle name="40% - Accent3 2 2 2 3 3" xfId="5399" xr:uid="{00000000-0005-0000-0000-00000C050000}"/>
    <cellStyle name="40% - Accent3 2 2 2 3 3 2" xfId="13841" xr:uid="{5258F9E3-FA2C-4878-BCA4-3D4F514548DF}"/>
    <cellStyle name="40% - Accent3 2 2 2 3 3 3" xfId="22276" xr:uid="{CB3DF5BC-6262-448B-80AF-C603B9A14734}"/>
    <cellStyle name="40% - Accent3 2 2 2 3 4" xfId="9623" xr:uid="{4E37977E-1D42-4654-839F-C4EF9C58F380}"/>
    <cellStyle name="40% - Accent3 2 2 2 3 5" xfId="18059" xr:uid="{BFECC33E-EF93-46EF-BAA8-645140DB682B}"/>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2 2 2" xfId="16399" xr:uid="{AC345101-A9B8-4D73-9A8F-6843E297671D}"/>
    <cellStyle name="40% - Accent3 2 2 2 4 2 2 3" xfId="24834" xr:uid="{8703310F-8DC1-4EA0-8E01-570B02C7784E}"/>
    <cellStyle name="40% - Accent3 2 2 2 4 2 3" xfId="12181" xr:uid="{3368B19C-2CDE-49C8-A7C2-F1D7A4A3EA0B}"/>
    <cellStyle name="40% - Accent3 2 2 2 4 2 4" xfId="20617" xr:uid="{7E4771E4-065D-43D7-B3D0-29B03604D39E}"/>
    <cellStyle name="40% - Accent3 2 2 2 4 3" xfId="5812" xr:uid="{00000000-0005-0000-0000-000010050000}"/>
    <cellStyle name="40% - Accent3 2 2 2 4 3 2" xfId="14254" xr:uid="{09ED9099-3F5A-45A0-BF87-9B94705C59A5}"/>
    <cellStyle name="40% - Accent3 2 2 2 4 3 3" xfId="22689" xr:uid="{6534CBE5-8980-4391-B898-9C1D083C2667}"/>
    <cellStyle name="40% - Accent3 2 2 2 4 4" xfId="10036" xr:uid="{1A59E23D-32B9-47D9-A992-AE454704D241}"/>
    <cellStyle name="40% - Accent3 2 2 2 4 5" xfId="18472" xr:uid="{83716A6A-4201-491E-B189-766A4AF1C756}"/>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2 2 2" xfId="16812" xr:uid="{9D0B4004-00B2-48B9-8196-44D33EAACA92}"/>
    <cellStyle name="40% - Accent3 2 2 2 5 2 2 3" xfId="25247" xr:uid="{0EE13817-66A7-4648-8B9D-47CB7C454408}"/>
    <cellStyle name="40% - Accent3 2 2 2 5 2 3" xfId="12594" xr:uid="{60E374B2-5A15-4614-BE18-84D39394B725}"/>
    <cellStyle name="40% - Accent3 2 2 2 5 2 4" xfId="21030" xr:uid="{23E41772-8507-441E-9B0F-3D63C7914B56}"/>
    <cellStyle name="40% - Accent3 2 2 2 5 3" xfId="6225" xr:uid="{00000000-0005-0000-0000-000014050000}"/>
    <cellStyle name="40% - Accent3 2 2 2 5 3 2" xfId="14667" xr:uid="{6A85A920-B1B7-468B-B515-B5E1A848485B}"/>
    <cellStyle name="40% - Accent3 2 2 2 5 3 3" xfId="23102" xr:uid="{819A18C1-CE8B-4C1E-ABD2-B19DB60B05BE}"/>
    <cellStyle name="40% - Accent3 2 2 2 5 4" xfId="10449" xr:uid="{65CE7A1C-ADD9-4E72-A082-D59CE419E3FC}"/>
    <cellStyle name="40% - Accent3 2 2 2 5 5" xfId="18885" xr:uid="{5CEA4A4B-981F-49C6-A1EC-52851101A14D}"/>
    <cellStyle name="40% - Accent3 2 2 2 6" xfId="2331" xr:uid="{00000000-0005-0000-0000-000015050000}"/>
    <cellStyle name="40% - Accent3 2 2 2 6 2" xfId="6638" xr:uid="{00000000-0005-0000-0000-000016050000}"/>
    <cellStyle name="40% - Accent3 2 2 2 6 2 2" xfId="15080" xr:uid="{86FB7D35-EFFA-41D6-9678-4DFD94894B38}"/>
    <cellStyle name="40% - Accent3 2 2 2 6 2 3" xfId="23515" xr:uid="{810968D1-C157-4C90-9A96-E15A80EFF595}"/>
    <cellStyle name="40% - Accent3 2 2 2 6 3" xfId="10862" xr:uid="{652F5EE6-FA93-40B1-9D0F-8F649550F625}"/>
    <cellStyle name="40% - Accent3 2 2 2 6 4" xfId="19298" xr:uid="{EAABD634-0F1D-4E04-9534-68392994881E}"/>
    <cellStyle name="40% - Accent3 2 2 2 7" xfId="4572" xr:uid="{00000000-0005-0000-0000-000017050000}"/>
    <cellStyle name="40% - Accent3 2 2 2 7 2" xfId="13014" xr:uid="{6D9A8379-4814-402E-A924-E80918FC6C57}"/>
    <cellStyle name="40% - Accent3 2 2 2 7 3" xfId="21449" xr:uid="{01123E90-FFB0-4D6C-A75E-1A07DD617A03}"/>
    <cellStyle name="40% - Accent3 2 2 2 8" xfId="8796" xr:uid="{99ADF03F-A0E0-44EF-894D-B5F08D9AED64}"/>
    <cellStyle name="40% - Accent3 2 2 2 9" xfId="17232" xr:uid="{5DDED299-B060-4EE1-9B4A-669F0CF1F157}"/>
    <cellStyle name="40% - Accent3 2 2 3" xfId="636" xr:uid="{00000000-0005-0000-0000-000018050000}"/>
    <cellStyle name="40% - Accent3 2 2 3 2" xfId="2907" xr:uid="{00000000-0005-0000-0000-000019050000}"/>
    <cellStyle name="40% - Accent3 2 2 3 2 2" xfId="7130" xr:uid="{00000000-0005-0000-0000-00001A050000}"/>
    <cellStyle name="40% - Accent3 2 2 3 2 2 2" xfId="15572" xr:uid="{D1DE2B51-A196-48CA-BA41-33F130A30B94}"/>
    <cellStyle name="40% - Accent3 2 2 3 2 2 3" xfId="24007" xr:uid="{A1AD9760-4B99-455E-8A7F-411E8C317F4B}"/>
    <cellStyle name="40% - Accent3 2 2 3 2 3" xfId="11354" xr:uid="{7F8962BD-EF49-410E-965A-56D93FBEF502}"/>
    <cellStyle name="40% - Accent3 2 2 3 2 4" xfId="19790" xr:uid="{D0DB1780-7618-4F89-98FB-52598D15AA88}"/>
    <cellStyle name="40% - Accent3 2 2 3 3" xfId="4985" xr:uid="{00000000-0005-0000-0000-00001B050000}"/>
    <cellStyle name="40% - Accent3 2 2 3 3 2" xfId="13427" xr:uid="{430B743B-A187-4562-A1FE-9BC586840786}"/>
    <cellStyle name="40% - Accent3 2 2 3 3 3" xfId="21862" xr:uid="{F99A66F6-4582-461C-A207-AC7B7B51EAFE}"/>
    <cellStyle name="40% - Accent3 2 2 3 4" xfId="9209" xr:uid="{3A98C3E6-9BDB-4AE8-BEC5-862842492FBB}"/>
    <cellStyle name="40% - Accent3 2 2 3 5" xfId="17645" xr:uid="{0CC1DF89-6703-40FB-A0F2-21FA56E77563}"/>
    <cellStyle name="40% - Accent3 2 2 4" xfId="1089" xr:uid="{00000000-0005-0000-0000-00001C050000}"/>
    <cellStyle name="40% - Accent3 2 2 4 2" xfId="3320" xr:uid="{00000000-0005-0000-0000-00001D050000}"/>
    <cellStyle name="40% - Accent3 2 2 4 2 2" xfId="7543" xr:uid="{00000000-0005-0000-0000-00001E050000}"/>
    <cellStyle name="40% - Accent3 2 2 4 2 2 2" xfId="15985" xr:uid="{D2EC4E2A-6B7B-4BFE-AEE2-F4265D0120D2}"/>
    <cellStyle name="40% - Accent3 2 2 4 2 2 3" xfId="24420" xr:uid="{0722F707-F340-4EC1-8759-20BCF6ED7819}"/>
    <cellStyle name="40% - Accent3 2 2 4 2 3" xfId="11767" xr:uid="{95693766-7C60-43C6-8277-D0A20BFC88F6}"/>
    <cellStyle name="40% - Accent3 2 2 4 2 4" xfId="20203" xr:uid="{A542D479-375D-4FC4-92CB-63FF350CE633}"/>
    <cellStyle name="40% - Accent3 2 2 4 3" xfId="5398" xr:uid="{00000000-0005-0000-0000-00001F050000}"/>
    <cellStyle name="40% - Accent3 2 2 4 3 2" xfId="13840" xr:uid="{C0B9F3F5-DCF2-4EA9-A01F-5E7AA4964FAA}"/>
    <cellStyle name="40% - Accent3 2 2 4 3 3" xfId="22275" xr:uid="{BE56F6DF-092D-497F-9DFD-E91BC0D560B3}"/>
    <cellStyle name="40% - Accent3 2 2 4 4" xfId="9622" xr:uid="{2C3D3A14-6A6D-495A-8CF3-6B5E2170A42A}"/>
    <cellStyle name="40% - Accent3 2 2 4 5" xfId="18058" xr:uid="{6813409D-27BD-4454-9BC0-672862C03E84}"/>
    <cellStyle name="40% - Accent3 2 2 5" xfId="1503" xr:uid="{00000000-0005-0000-0000-000020050000}"/>
    <cellStyle name="40% - Accent3 2 2 5 2" xfId="3733" xr:uid="{00000000-0005-0000-0000-000021050000}"/>
    <cellStyle name="40% - Accent3 2 2 5 2 2" xfId="7956" xr:uid="{00000000-0005-0000-0000-000022050000}"/>
    <cellStyle name="40% - Accent3 2 2 5 2 2 2" xfId="16398" xr:uid="{055945D4-1CA7-4B27-93C0-61C21812CFBB}"/>
    <cellStyle name="40% - Accent3 2 2 5 2 2 3" xfId="24833" xr:uid="{F570CE7B-0DAE-4141-8E6D-4E7AD1A5EA58}"/>
    <cellStyle name="40% - Accent3 2 2 5 2 3" xfId="12180" xr:uid="{E38DF38A-C8F9-4875-B4D7-67B6A74A7EDC}"/>
    <cellStyle name="40% - Accent3 2 2 5 2 4" xfId="20616" xr:uid="{C3FCC408-C2F9-4A82-85C5-309CC62AB621}"/>
    <cellStyle name="40% - Accent3 2 2 5 3" xfId="5811" xr:uid="{00000000-0005-0000-0000-000023050000}"/>
    <cellStyle name="40% - Accent3 2 2 5 3 2" xfId="14253" xr:uid="{B81081BE-CCBA-4EA9-9560-9E211DBE8BAF}"/>
    <cellStyle name="40% - Accent3 2 2 5 3 3" xfId="22688" xr:uid="{10185216-3AAC-409D-AD6A-A93B232684C3}"/>
    <cellStyle name="40% - Accent3 2 2 5 4" xfId="10035" xr:uid="{3EC42C0D-58EE-4B2C-9FA8-F5B5F62E5A95}"/>
    <cellStyle name="40% - Accent3 2 2 5 5" xfId="18471" xr:uid="{3E73F38C-F3E4-4816-B16C-011CB442E71D}"/>
    <cellStyle name="40% - Accent3 2 2 6" xfId="1917" xr:uid="{00000000-0005-0000-0000-000024050000}"/>
    <cellStyle name="40% - Accent3 2 2 6 2" xfId="4146" xr:uid="{00000000-0005-0000-0000-000025050000}"/>
    <cellStyle name="40% - Accent3 2 2 6 2 2" xfId="8369" xr:uid="{00000000-0005-0000-0000-000026050000}"/>
    <cellStyle name="40% - Accent3 2 2 6 2 2 2" xfId="16811" xr:uid="{69A6DC45-C42F-4602-952B-9B949B8F12A5}"/>
    <cellStyle name="40% - Accent3 2 2 6 2 2 3" xfId="25246" xr:uid="{E5CB3017-4700-40A6-BF6B-9B32DE0AA57C}"/>
    <cellStyle name="40% - Accent3 2 2 6 2 3" xfId="12593" xr:uid="{ADCB7760-12A5-443A-8AF1-DC2F14AB7CFC}"/>
    <cellStyle name="40% - Accent3 2 2 6 2 4" xfId="21029" xr:uid="{5A33A1C5-C92C-4D23-9DE6-B94A29FAEF9C}"/>
    <cellStyle name="40% - Accent3 2 2 6 3" xfId="6224" xr:uid="{00000000-0005-0000-0000-000027050000}"/>
    <cellStyle name="40% - Accent3 2 2 6 3 2" xfId="14666" xr:uid="{98610742-1AF0-4B48-B5E1-02F70E03D57A}"/>
    <cellStyle name="40% - Accent3 2 2 6 3 3" xfId="23101" xr:uid="{8A46A7EF-4C62-4B72-9CC1-C40D474DDC29}"/>
    <cellStyle name="40% - Accent3 2 2 6 4" xfId="10448" xr:uid="{521B4388-F543-4D13-B29C-66C6A417883A}"/>
    <cellStyle name="40% - Accent3 2 2 6 5" xfId="18884" xr:uid="{A124E13C-40F3-458A-A197-0686E91D0D54}"/>
    <cellStyle name="40% - Accent3 2 2 7" xfId="2330" xr:uid="{00000000-0005-0000-0000-000028050000}"/>
    <cellStyle name="40% - Accent3 2 2 7 2" xfId="6637" xr:uid="{00000000-0005-0000-0000-000029050000}"/>
    <cellStyle name="40% - Accent3 2 2 7 2 2" xfId="15079" xr:uid="{BDD7F86F-1BE6-4E65-B3CE-455E81896B8D}"/>
    <cellStyle name="40% - Accent3 2 2 7 2 3" xfId="23514" xr:uid="{2CB710CA-8916-4F51-9F8E-D0E4ECED00E7}"/>
    <cellStyle name="40% - Accent3 2 2 7 3" xfId="10861" xr:uid="{AFE3FD89-D72C-42AA-B099-206C1963423F}"/>
    <cellStyle name="40% - Accent3 2 2 7 4" xfId="19297" xr:uid="{6530CAC4-E8C5-4047-B20D-8B2191F50645}"/>
    <cellStyle name="40% - Accent3 2 2 8" xfId="4571" xr:uid="{00000000-0005-0000-0000-00002A050000}"/>
    <cellStyle name="40% - Accent3 2 2 8 2" xfId="13013" xr:uid="{1DA004E4-F5C5-4CD7-9976-19C7500D7C0E}"/>
    <cellStyle name="40% - Accent3 2 2 8 3" xfId="21448" xr:uid="{97513147-32D3-4795-A8F4-81348D8C0C18}"/>
    <cellStyle name="40% - Accent3 2 2 9" xfId="8795" xr:uid="{D9A24031-99CD-4B30-A1D4-1BEFFD5CF027}"/>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2 2 2" xfId="15574" xr:uid="{F1F1D99D-9362-46D5-96CD-701E5F5009EB}"/>
    <cellStyle name="40% - Accent3 2 3 2 2 2 3" xfId="24009" xr:uid="{638ECF6C-25CF-4206-8A3D-C395B4DF9C2A}"/>
    <cellStyle name="40% - Accent3 2 3 2 2 3" xfId="11356" xr:uid="{247F72BB-A043-4BEE-9A60-DE7675977F46}"/>
    <cellStyle name="40% - Accent3 2 3 2 2 4" xfId="19792" xr:uid="{4B2920F4-A9BD-4A1A-A2B7-1F7FA293211A}"/>
    <cellStyle name="40% - Accent3 2 3 2 3" xfId="4987" xr:uid="{00000000-0005-0000-0000-00002F050000}"/>
    <cellStyle name="40% - Accent3 2 3 2 3 2" xfId="13429" xr:uid="{301D4D8D-2CC6-4D83-A8AC-90E903C906D4}"/>
    <cellStyle name="40% - Accent3 2 3 2 3 3" xfId="21864" xr:uid="{42EB69E7-D6EA-49B7-B779-F151D901691A}"/>
    <cellStyle name="40% - Accent3 2 3 2 4" xfId="9211" xr:uid="{8AD98EB0-B3D6-4ED0-A82A-D15011ECA520}"/>
    <cellStyle name="40% - Accent3 2 3 2 5" xfId="17647" xr:uid="{BD617FD2-241B-482E-9E0C-213C315A6363}"/>
    <cellStyle name="40% - Accent3 2 3 3" xfId="1091" xr:uid="{00000000-0005-0000-0000-000030050000}"/>
    <cellStyle name="40% - Accent3 2 3 3 2" xfId="3322" xr:uid="{00000000-0005-0000-0000-000031050000}"/>
    <cellStyle name="40% - Accent3 2 3 3 2 2" xfId="7545" xr:uid="{00000000-0005-0000-0000-000032050000}"/>
    <cellStyle name="40% - Accent3 2 3 3 2 2 2" xfId="15987" xr:uid="{9DCD2DC3-76A9-4B08-8493-2F8E4D9DE951}"/>
    <cellStyle name="40% - Accent3 2 3 3 2 2 3" xfId="24422" xr:uid="{97F1A68D-3411-452D-A2AC-23A2352DEB56}"/>
    <cellStyle name="40% - Accent3 2 3 3 2 3" xfId="11769" xr:uid="{5A966985-47AD-4109-89C5-2AD99A8669E5}"/>
    <cellStyle name="40% - Accent3 2 3 3 2 4" xfId="20205" xr:uid="{8DF174AA-2FE4-4E22-A5C7-F95A9D2485EE}"/>
    <cellStyle name="40% - Accent3 2 3 3 3" xfId="5400" xr:uid="{00000000-0005-0000-0000-000033050000}"/>
    <cellStyle name="40% - Accent3 2 3 3 3 2" xfId="13842" xr:uid="{D9B8624C-EE28-4954-BF0D-4E180720F33A}"/>
    <cellStyle name="40% - Accent3 2 3 3 3 3" xfId="22277" xr:uid="{5617EEEC-5241-434D-9D09-FA7DAB8C2F3A}"/>
    <cellStyle name="40% - Accent3 2 3 3 4" xfId="9624" xr:uid="{BEED3388-A5C8-4017-AEB5-D637F2861C01}"/>
    <cellStyle name="40% - Accent3 2 3 3 5" xfId="18060" xr:uid="{8C4A65A4-C3D0-4A61-9814-51E00C3EDDFB}"/>
    <cellStyle name="40% - Accent3 2 3 4" xfId="1505" xr:uid="{00000000-0005-0000-0000-000034050000}"/>
    <cellStyle name="40% - Accent3 2 3 4 2" xfId="3735" xr:uid="{00000000-0005-0000-0000-000035050000}"/>
    <cellStyle name="40% - Accent3 2 3 4 2 2" xfId="7958" xr:uid="{00000000-0005-0000-0000-000036050000}"/>
    <cellStyle name="40% - Accent3 2 3 4 2 2 2" xfId="16400" xr:uid="{D6F4B8A2-CAD1-4A21-AAD6-090DF2C97671}"/>
    <cellStyle name="40% - Accent3 2 3 4 2 2 3" xfId="24835" xr:uid="{305152AA-E91A-4326-A7BE-876BA70B8531}"/>
    <cellStyle name="40% - Accent3 2 3 4 2 3" xfId="12182" xr:uid="{D12D3D83-28F6-489E-9202-4E58A337BC61}"/>
    <cellStyle name="40% - Accent3 2 3 4 2 4" xfId="20618" xr:uid="{D5D35C6D-3624-429B-B3FE-62ED1B084D47}"/>
    <cellStyle name="40% - Accent3 2 3 4 3" xfId="5813" xr:uid="{00000000-0005-0000-0000-000037050000}"/>
    <cellStyle name="40% - Accent3 2 3 4 3 2" xfId="14255" xr:uid="{07BF6086-D7BE-4FFF-9380-FB668C917D82}"/>
    <cellStyle name="40% - Accent3 2 3 4 3 3" xfId="22690" xr:uid="{287FA218-5C40-414E-B634-8FE1B951D477}"/>
    <cellStyle name="40% - Accent3 2 3 4 4" xfId="10037" xr:uid="{A26E74D9-F695-41CB-9C39-4321FBE90253}"/>
    <cellStyle name="40% - Accent3 2 3 4 5" xfId="18473" xr:uid="{D8078625-052E-4E83-97CC-B87B17CED250}"/>
    <cellStyle name="40% - Accent3 2 3 5" xfId="1919" xr:uid="{00000000-0005-0000-0000-000038050000}"/>
    <cellStyle name="40% - Accent3 2 3 5 2" xfId="4148" xr:uid="{00000000-0005-0000-0000-000039050000}"/>
    <cellStyle name="40% - Accent3 2 3 5 2 2" xfId="8371" xr:uid="{00000000-0005-0000-0000-00003A050000}"/>
    <cellStyle name="40% - Accent3 2 3 5 2 2 2" xfId="16813" xr:uid="{608FEDD7-9327-4B91-9642-5953FF40080B}"/>
    <cellStyle name="40% - Accent3 2 3 5 2 2 3" xfId="25248" xr:uid="{9435A44C-71FC-446D-9B1F-5388FA66D17E}"/>
    <cellStyle name="40% - Accent3 2 3 5 2 3" xfId="12595" xr:uid="{0CA35787-0521-4218-9D4E-1BE5B302A02C}"/>
    <cellStyle name="40% - Accent3 2 3 5 2 4" xfId="21031" xr:uid="{939C20D2-51F4-433C-A529-0D99DD696E53}"/>
    <cellStyle name="40% - Accent3 2 3 5 3" xfId="6226" xr:uid="{00000000-0005-0000-0000-00003B050000}"/>
    <cellStyle name="40% - Accent3 2 3 5 3 2" xfId="14668" xr:uid="{813875B1-7235-4BD8-9F6B-C1E6BF824681}"/>
    <cellStyle name="40% - Accent3 2 3 5 3 3" xfId="23103" xr:uid="{4117CB68-2B29-4DA1-AC39-12411DA456DA}"/>
    <cellStyle name="40% - Accent3 2 3 5 4" xfId="10450" xr:uid="{1278C0C2-EF61-41C0-8F54-642C34007A24}"/>
    <cellStyle name="40% - Accent3 2 3 5 5" xfId="18886" xr:uid="{EC2D71BA-22C0-42A6-9A0F-1271FDBDCD2A}"/>
    <cellStyle name="40% - Accent3 2 3 6" xfId="2332" xr:uid="{00000000-0005-0000-0000-00003C050000}"/>
    <cellStyle name="40% - Accent3 2 3 6 2" xfId="6639" xr:uid="{00000000-0005-0000-0000-00003D050000}"/>
    <cellStyle name="40% - Accent3 2 3 6 2 2" xfId="15081" xr:uid="{9836E00D-5B82-4733-B33F-572CBDA49282}"/>
    <cellStyle name="40% - Accent3 2 3 6 2 3" xfId="23516" xr:uid="{69E47B1E-2A4A-4A53-8EE0-B0C2F18185D6}"/>
    <cellStyle name="40% - Accent3 2 3 6 3" xfId="10863" xr:uid="{7F5093F8-577A-48B0-A614-1004B16C6422}"/>
    <cellStyle name="40% - Accent3 2 3 6 4" xfId="19299" xr:uid="{DB696105-A966-49B8-90B2-EABEF400B211}"/>
    <cellStyle name="40% - Accent3 2 3 7" xfId="4573" xr:uid="{00000000-0005-0000-0000-00003E050000}"/>
    <cellStyle name="40% - Accent3 2 3 7 2" xfId="13015" xr:uid="{0C3C4B0E-D510-42F2-8256-F18E90271E40}"/>
    <cellStyle name="40% - Accent3 2 3 7 3" xfId="21450" xr:uid="{BDF106E5-0410-4E8B-BCE0-AD9A3B363DC9}"/>
    <cellStyle name="40% - Accent3 2 3 8" xfId="8797" xr:uid="{55BBA5C4-5B49-4FC1-877A-7C5F3EE7E24A}"/>
    <cellStyle name="40% - Accent3 2 3 9" xfId="17233" xr:uid="{43F1936E-D88C-4166-A589-23318F016961}"/>
    <cellStyle name="40% - Accent3 2 4" xfId="635" xr:uid="{00000000-0005-0000-0000-00003F050000}"/>
    <cellStyle name="40% - Accent3 2 4 2" xfId="2906" xr:uid="{00000000-0005-0000-0000-000040050000}"/>
    <cellStyle name="40% - Accent3 2 4 2 2" xfId="7129" xr:uid="{00000000-0005-0000-0000-000041050000}"/>
    <cellStyle name="40% - Accent3 2 4 2 2 2" xfId="15571" xr:uid="{AC11A27D-9BD2-437B-9FDB-5998C2F108F5}"/>
    <cellStyle name="40% - Accent3 2 4 2 2 3" xfId="24006" xr:uid="{E20D6123-4B9F-4814-9B6A-DBC75EC70746}"/>
    <cellStyle name="40% - Accent3 2 4 2 3" xfId="11353" xr:uid="{B0A05526-7B5A-42E7-A005-C2BA02530678}"/>
    <cellStyle name="40% - Accent3 2 4 2 4" xfId="19789" xr:uid="{B64BD034-7A9E-453D-9155-552F9307AA1F}"/>
    <cellStyle name="40% - Accent3 2 4 3" xfId="4984" xr:uid="{00000000-0005-0000-0000-000042050000}"/>
    <cellStyle name="40% - Accent3 2 4 3 2" xfId="13426" xr:uid="{A7DEDFF4-9FA5-45C4-B747-8CA900517C23}"/>
    <cellStyle name="40% - Accent3 2 4 3 3" xfId="21861" xr:uid="{EFDB7963-4D0F-4195-B0B1-68253B66CEE8}"/>
    <cellStyle name="40% - Accent3 2 4 4" xfId="9208" xr:uid="{FBCA0FE3-C42A-4BEE-A7A5-969AAB489184}"/>
    <cellStyle name="40% - Accent3 2 4 5" xfId="17644" xr:uid="{3634C9C7-82A7-4BD4-A4C8-300D32818166}"/>
    <cellStyle name="40% - Accent3 2 5" xfId="1088" xr:uid="{00000000-0005-0000-0000-000043050000}"/>
    <cellStyle name="40% - Accent3 2 5 2" xfId="3319" xr:uid="{00000000-0005-0000-0000-000044050000}"/>
    <cellStyle name="40% - Accent3 2 5 2 2" xfId="7542" xr:uid="{00000000-0005-0000-0000-000045050000}"/>
    <cellStyle name="40% - Accent3 2 5 2 2 2" xfId="15984" xr:uid="{907245D8-8F25-425D-8A1D-D8A89BE9B290}"/>
    <cellStyle name="40% - Accent3 2 5 2 2 3" xfId="24419" xr:uid="{AD442D58-0A2A-4167-B326-5335DA1D163C}"/>
    <cellStyle name="40% - Accent3 2 5 2 3" xfId="11766" xr:uid="{9CC002CA-8B2B-4BBF-AF67-D5957B5A757A}"/>
    <cellStyle name="40% - Accent3 2 5 2 4" xfId="20202" xr:uid="{DD3E5991-1C30-4C97-804B-EFBBA1089272}"/>
    <cellStyle name="40% - Accent3 2 5 3" xfId="5397" xr:uid="{00000000-0005-0000-0000-000046050000}"/>
    <cellStyle name="40% - Accent3 2 5 3 2" xfId="13839" xr:uid="{8882CD65-335E-4D54-A66F-722232019369}"/>
    <cellStyle name="40% - Accent3 2 5 3 3" xfId="22274" xr:uid="{D5D85444-12BB-44A5-9388-8FE6F82EE05A}"/>
    <cellStyle name="40% - Accent3 2 5 4" xfId="9621" xr:uid="{99187B18-BF9A-4FB9-B3F4-2959AD08A551}"/>
    <cellStyle name="40% - Accent3 2 5 5" xfId="18057" xr:uid="{B6149E06-BC8E-4FEF-8A2E-0927F1B942C5}"/>
    <cellStyle name="40% - Accent3 2 6" xfId="1502" xr:uid="{00000000-0005-0000-0000-000047050000}"/>
    <cellStyle name="40% - Accent3 2 6 2" xfId="3732" xr:uid="{00000000-0005-0000-0000-000048050000}"/>
    <cellStyle name="40% - Accent3 2 6 2 2" xfId="7955" xr:uid="{00000000-0005-0000-0000-000049050000}"/>
    <cellStyle name="40% - Accent3 2 6 2 2 2" xfId="16397" xr:uid="{8EB0443C-3C97-40E1-9276-50ACF76E4A66}"/>
    <cellStyle name="40% - Accent3 2 6 2 2 3" xfId="24832" xr:uid="{8E6217AD-D591-4382-A44F-EC72E614597D}"/>
    <cellStyle name="40% - Accent3 2 6 2 3" xfId="12179" xr:uid="{8186A879-4544-46D5-9901-F0095894A185}"/>
    <cellStyle name="40% - Accent3 2 6 2 4" xfId="20615" xr:uid="{B2F9D588-3E30-42CC-AE9F-D130923C6A39}"/>
    <cellStyle name="40% - Accent3 2 6 3" xfId="5810" xr:uid="{00000000-0005-0000-0000-00004A050000}"/>
    <cellStyle name="40% - Accent3 2 6 3 2" xfId="14252" xr:uid="{ADA81EA2-5216-4639-94C4-15B9D3485096}"/>
    <cellStyle name="40% - Accent3 2 6 3 3" xfId="22687" xr:uid="{79B4F70A-2524-461D-83DC-5C29A2A01EC7}"/>
    <cellStyle name="40% - Accent3 2 6 4" xfId="10034" xr:uid="{D3646D33-FA59-4E32-9520-17634DAAB5C8}"/>
    <cellStyle name="40% - Accent3 2 6 5" xfId="18470" xr:uid="{7B9B94E7-D9C4-4F35-A7DB-2D30375FBA00}"/>
    <cellStyle name="40% - Accent3 2 7" xfId="1916" xr:uid="{00000000-0005-0000-0000-00004B050000}"/>
    <cellStyle name="40% - Accent3 2 7 2" xfId="4145" xr:uid="{00000000-0005-0000-0000-00004C050000}"/>
    <cellStyle name="40% - Accent3 2 7 2 2" xfId="8368" xr:uid="{00000000-0005-0000-0000-00004D050000}"/>
    <cellStyle name="40% - Accent3 2 7 2 2 2" xfId="16810" xr:uid="{B59D5F08-BD3A-4BF0-A2C7-0D79394755BF}"/>
    <cellStyle name="40% - Accent3 2 7 2 2 3" xfId="25245" xr:uid="{B3C60F33-6F63-4BCF-BEC0-49E5BCA2F45A}"/>
    <cellStyle name="40% - Accent3 2 7 2 3" xfId="12592" xr:uid="{57F8DEE4-C29F-498E-A180-72BE5960C42A}"/>
    <cellStyle name="40% - Accent3 2 7 2 4" xfId="21028" xr:uid="{C61B8360-A8C8-4B05-8568-EEBDBB9994EE}"/>
    <cellStyle name="40% - Accent3 2 7 3" xfId="6223" xr:uid="{00000000-0005-0000-0000-00004E050000}"/>
    <cellStyle name="40% - Accent3 2 7 3 2" xfId="14665" xr:uid="{310E893C-A7C4-4707-8AAF-E9A7E0A99CF9}"/>
    <cellStyle name="40% - Accent3 2 7 3 3" xfId="23100" xr:uid="{2EB7D642-EED6-4023-B5E8-2A4878AF96D7}"/>
    <cellStyle name="40% - Accent3 2 7 4" xfId="10447" xr:uid="{2EBADBD8-520E-4E72-90F5-56C7926129D9}"/>
    <cellStyle name="40% - Accent3 2 7 5" xfId="18883" xr:uid="{09EE65F2-3AE8-46F2-82DC-627CF1DDDC1F}"/>
    <cellStyle name="40% - Accent3 2 8" xfId="2329" xr:uid="{00000000-0005-0000-0000-00004F050000}"/>
    <cellStyle name="40% - Accent3 2 8 2" xfId="6636" xr:uid="{00000000-0005-0000-0000-000050050000}"/>
    <cellStyle name="40% - Accent3 2 8 2 2" xfId="15078" xr:uid="{5C7AFDDE-A19F-4FF2-851C-B5FC7EABA78C}"/>
    <cellStyle name="40% - Accent3 2 8 2 3" xfId="23513" xr:uid="{5E515AD4-3691-4836-83A2-91308A16735A}"/>
    <cellStyle name="40% - Accent3 2 8 3" xfId="10860" xr:uid="{ADB58F07-858D-49F3-AD13-9E78A7EBD2B9}"/>
    <cellStyle name="40% - Accent3 2 8 4" xfId="19296" xr:uid="{CEC16A76-D75B-46C0-A9D8-A2076B8F82C1}"/>
    <cellStyle name="40% - Accent3 2 9" xfId="4570" xr:uid="{00000000-0005-0000-0000-000051050000}"/>
    <cellStyle name="40% - Accent3 2 9 2" xfId="13012" xr:uid="{29A8FFE3-6F23-4FFD-BE96-91687780180B}"/>
    <cellStyle name="40% - Accent3 2 9 3" xfId="21447" xr:uid="{24B4093D-09B5-45A4-B9C9-EFBF34945590}"/>
    <cellStyle name="40% - Accent3 3" xfId="70" xr:uid="{00000000-0005-0000-0000-000052050000}"/>
    <cellStyle name="40% - Accent3 3 10" xfId="17234" xr:uid="{C3B1C5EA-A437-4B2C-B3C3-D7800A3D372B}"/>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2 2 2" xfId="15576" xr:uid="{FAE336E4-D943-4465-A427-BB51E7ACF9A0}"/>
    <cellStyle name="40% - Accent3 3 2 2 2 2 3" xfId="24011" xr:uid="{BAAAA8D0-DBC6-4851-8BD4-DE61F76F5416}"/>
    <cellStyle name="40% - Accent3 3 2 2 2 3" xfId="11358" xr:uid="{1A89C3CB-D245-496E-8ABD-AB98426DEA68}"/>
    <cellStyle name="40% - Accent3 3 2 2 2 4" xfId="19794" xr:uid="{E6E23919-A732-4D04-9E0C-C498E37FCDA5}"/>
    <cellStyle name="40% - Accent3 3 2 2 3" xfId="4989" xr:uid="{00000000-0005-0000-0000-000057050000}"/>
    <cellStyle name="40% - Accent3 3 2 2 3 2" xfId="13431" xr:uid="{CCEDD9ED-1227-4013-B566-79E772EDAB7C}"/>
    <cellStyle name="40% - Accent3 3 2 2 3 3" xfId="21866" xr:uid="{DCBFD736-0038-4AE4-A722-C7489A54C9CD}"/>
    <cellStyle name="40% - Accent3 3 2 2 4" xfId="9213" xr:uid="{DF602A9F-A550-4302-98F1-B8694C166807}"/>
    <cellStyle name="40% - Accent3 3 2 2 5" xfId="17649" xr:uid="{951074A5-4A05-45F2-9659-20C5CB6E0631}"/>
    <cellStyle name="40% - Accent3 3 2 3" xfId="1093" xr:uid="{00000000-0005-0000-0000-000058050000}"/>
    <cellStyle name="40% - Accent3 3 2 3 2" xfId="3324" xr:uid="{00000000-0005-0000-0000-000059050000}"/>
    <cellStyle name="40% - Accent3 3 2 3 2 2" xfId="7547" xr:uid="{00000000-0005-0000-0000-00005A050000}"/>
    <cellStyle name="40% - Accent3 3 2 3 2 2 2" xfId="15989" xr:uid="{27609443-FF7E-4858-8402-D338BF20C2D9}"/>
    <cellStyle name="40% - Accent3 3 2 3 2 2 3" xfId="24424" xr:uid="{D1AD3450-AC6B-4C27-B7DC-FDD09B4E22EE}"/>
    <cellStyle name="40% - Accent3 3 2 3 2 3" xfId="11771" xr:uid="{F743FF77-AC76-426F-8E58-C710ACBE59FF}"/>
    <cellStyle name="40% - Accent3 3 2 3 2 4" xfId="20207" xr:uid="{688E2246-4286-4B76-962F-A16C92424815}"/>
    <cellStyle name="40% - Accent3 3 2 3 3" xfId="5402" xr:uid="{00000000-0005-0000-0000-00005B050000}"/>
    <cellStyle name="40% - Accent3 3 2 3 3 2" xfId="13844" xr:uid="{B6E24FC4-8DE5-4B5C-A3B2-0B4B2A3DA47F}"/>
    <cellStyle name="40% - Accent3 3 2 3 3 3" xfId="22279" xr:uid="{31D44438-C07B-4A2C-AB22-B0858BF755C0}"/>
    <cellStyle name="40% - Accent3 3 2 3 4" xfId="9626" xr:uid="{41E6896B-1BD2-434C-91CB-C5EE7C014F35}"/>
    <cellStyle name="40% - Accent3 3 2 3 5" xfId="18062" xr:uid="{5B99EA68-CECE-4FD7-944C-8F9206BDD651}"/>
    <cellStyle name="40% - Accent3 3 2 4" xfId="1507" xr:uid="{00000000-0005-0000-0000-00005C050000}"/>
    <cellStyle name="40% - Accent3 3 2 4 2" xfId="3737" xr:uid="{00000000-0005-0000-0000-00005D050000}"/>
    <cellStyle name="40% - Accent3 3 2 4 2 2" xfId="7960" xr:uid="{00000000-0005-0000-0000-00005E050000}"/>
    <cellStyle name="40% - Accent3 3 2 4 2 2 2" xfId="16402" xr:uid="{23BF6918-7918-40CD-87D6-483F3C9B7849}"/>
    <cellStyle name="40% - Accent3 3 2 4 2 2 3" xfId="24837" xr:uid="{97EB62E8-5801-4D87-8E06-D724F6BA6B2E}"/>
    <cellStyle name="40% - Accent3 3 2 4 2 3" xfId="12184" xr:uid="{8302FFA2-CF6F-4246-B6CD-7F5F42CB7E82}"/>
    <cellStyle name="40% - Accent3 3 2 4 2 4" xfId="20620" xr:uid="{5E963366-4521-4887-8A11-466939DBD48B}"/>
    <cellStyle name="40% - Accent3 3 2 4 3" xfId="5815" xr:uid="{00000000-0005-0000-0000-00005F050000}"/>
    <cellStyle name="40% - Accent3 3 2 4 3 2" xfId="14257" xr:uid="{0E2A9B94-1DAA-45D1-8EC2-848ACB02D679}"/>
    <cellStyle name="40% - Accent3 3 2 4 3 3" xfId="22692" xr:uid="{FFD4734A-D58B-4CB9-9AE5-30597DFEAD3A}"/>
    <cellStyle name="40% - Accent3 3 2 4 4" xfId="10039" xr:uid="{9BD7B2E0-6854-4DE4-A3A8-97CC87BE5AE5}"/>
    <cellStyle name="40% - Accent3 3 2 4 5" xfId="18475" xr:uid="{2D1BAC3D-A1D1-4333-9187-527B518A99CC}"/>
    <cellStyle name="40% - Accent3 3 2 5" xfId="1921" xr:uid="{00000000-0005-0000-0000-000060050000}"/>
    <cellStyle name="40% - Accent3 3 2 5 2" xfId="4150" xr:uid="{00000000-0005-0000-0000-000061050000}"/>
    <cellStyle name="40% - Accent3 3 2 5 2 2" xfId="8373" xr:uid="{00000000-0005-0000-0000-000062050000}"/>
    <cellStyle name="40% - Accent3 3 2 5 2 2 2" xfId="16815" xr:uid="{A767AE25-C367-48A6-AE0C-AF285DB41B1C}"/>
    <cellStyle name="40% - Accent3 3 2 5 2 2 3" xfId="25250" xr:uid="{8851730B-A38E-463B-B8CF-61EEAE9E32C2}"/>
    <cellStyle name="40% - Accent3 3 2 5 2 3" xfId="12597" xr:uid="{3636CEEF-6230-4704-B511-4ADB8DF10323}"/>
    <cellStyle name="40% - Accent3 3 2 5 2 4" xfId="21033" xr:uid="{324B2F41-92F3-476A-B046-252CE8FF7311}"/>
    <cellStyle name="40% - Accent3 3 2 5 3" xfId="6228" xr:uid="{00000000-0005-0000-0000-000063050000}"/>
    <cellStyle name="40% - Accent3 3 2 5 3 2" xfId="14670" xr:uid="{C38ADC13-1FFA-4781-B5AE-95E6CF372058}"/>
    <cellStyle name="40% - Accent3 3 2 5 3 3" xfId="23105" xr:uid="{F6D779E8-9641-4CD0-9867-88D8A8EB5786}"/>
    <cellStyle name="40% - Accent3 3 2 5 4" xfId="10452" xr:uid="{68C7B102-9657-417E-ADE3-A53DF88A8E55}"/>
    <cellStyle name="40% - Accent3 3 2 5 5" xfId="18888" xr:uid="{AE93CD0F-2372-4C65-B3C1-91E0AE0C1094}"/>
    <cellStyle name="40% - Accent3 3 2 6" xfId="2334" xr:uid="{00000000-0005-0000-0000-000064050000}"/>
    <cellStyle name="40% - Accent3 3 2 6 2" xfId="6641" xr:uid="{00000000-0005-0000-0000-000065050000}"/>
    <cellStyle name="40% - Accent3 3 2 6 2 2" xfId="15083" xr:uid="{C91ABBFC-040D-4102-A178-AC5329003377}"/>
    <cellStyle name="40% - Accent3 3 2 6 2 3" xfId="23518" xr:uid="{792475B7-63C8-43C5-8527-C0915621C186}"/>
    <cellStyle name="40% - Accent3 3 2 6 3" xfId="10865" xr:uid="{6E293F68-B8B5-4C8A-9FDA-41DA953D8280}"/>
    <cellStyle name="40% - Accent3 3 2 6 4" xfId="19301" xr:uid="{F4A15B26-9ABC-4C88-9FA2-646A9F60CAB3}"/>
    <cellStyle name="40% - Accent3 3 2 7" xfId="4575" xr:uid="{00000000-0005-0000-0000-000066050000}"/>
    <cellStyle name="40% - Accent3 3 2 7 2" xfId="13017" xr:uid="{8267226C-5579-4D18-B771-2ED977772FB4}"/>
    <cellStyle name="40% - Accent3 3 2 7 3" xfId="21452" xr:uid="{4537647C-C08E-4CF6-8E27-7DBEF22BFFD5}"/>
    <cellStyle name="40% - Accent3 3 2 8" xfId="8799" xr:uid="{C418DBB0-56BA-40C8-A914-143A5DB8AFCE}"/>
    <cellStyle name="40% - Accent3 3 2 9" xfId="17235" xr:uid="{0F6F82AF-5763-435A-B3AF-5873F8EDC9B3}"/>
    <cellStyle name="40% - Accent3 3 3" xfId="639" xr:uid="{00000000-0005-0000-0000-000067050000}"/>
    <cellStyle name="40% - Accent3 3 3 2" xfId="2910" xr:uid="{00000000-0005-0000-0000-000068050000}"/>
    <cellStyle name="40% - Accent3 3 3 2 2" xfId="7133" xr:uid="{00000000-0005-0000-0000-000069050000}"/>
    <cellStyle name="40% - Accent3 3 3 2 2 2" xfId="15575" xr:uid="{CE673A62-FDE7-43A6-A792-F6655BA310C3}"/>
    <cellStyle name="40% - Accent3 3 3 2 2 3" xfId="24010" xr:uid="{47C6EA3D-9E6F-47F3-99D8-8F39DC08CCB9}"/>
    <cellStyle name="40% - Accent3 3 3 2 3" xfId="11357" xr:uid="{7DCC2A28-4376-4BD2-88DF-7AC9985BE3BA}"/>
    <cellStyle name="40% - Accent3 3 3 2 4" xfId="19793" xr:uid="{28A299E3-02A8-4619-B5B5-C6A30B56BC7D}"/>
    <cellStyle name="40% - Accent3 3 3 3" xfId="4988" xr:uid="{00000000-0005-0000-0000-00006A050000}"/>
    <cellStyle name="40% - Accent3 3 3 3 2" xfId="13430" xr:uid="{6E4D9D8D-CC74-4721-A56D-81C64A037C24}"/>
    <cellStyle name="40% - Accent3 3 3 3 3" xfId="21865" xr:uid="{17916E8E-7D00-4CF1-9E4B-2CB73A3028E1}"/>
    <cellStyle name="40% - Accent3 3 3 4" xfId="9212" xr:uid="{EC0555CF-5BA1-4C93-8BAB-65392DB574E3}"/>
    <cellStyle name="40% - Accent3 3 3 5" xfId="17648" xr:uid="{832E0769-875A-4460-862D-8A3A15F658C0}"/>
    <cellStyle name="40% - Accent3 3 4" xfId="1092" xr:uid="{00000000-0005-0000-0000-00006B050000}"/>
    <cellStyle name="40% - Accent3 3 4 2" xfId="3323" xr:uid="{00000000-0005-0000-0000-00006C050000}"/>
    <cellStyle name="40% - Accent3 3 4 2 2" xfId="7546" xr:uid="{00000000-0005-0000-0000-00006D050000}"/>
    <cellStyle name="40% - Accent3 3 4 2 2 2" xfId="15988" xr:uid="{97782B5A-DD57-415A-A502-AC32E5B87273}"/>
    <cellStyle name="40% - Accent3 3 4 2 2 3" xfId="24423" xr:uid="{23E6EC33-2570-4AB6-9433-9E6D36F2ADE8}"/>
    <cellStyle name="40% - Accent3 3 4 2 3" xfId="11770" xr:uid="{3AD504D3-1683-42BF-8974-3A2BC0CC4B5F}"/>
    <cellStyle name="40% - Accent3 3 4 2 4" xfId="20206" xr:uid="{B53B1443-E702-40B1-9F73-5E2321BD8D92}"/>
    <cellStyle name="40% - Accent3 3 4 3" xfId="5401" xr:uid="{00000000-0005-0000-0000-00006E050000}"/>
    <cellStyle name="40% - Accent3 3 4 3 2" xfId="13843" xr:uid="{C22A00EC-FE93-47A1-B2E4-9C7E8DD07551}"/>
    <cellStyle name="40% - Accent3 3 4 3 3" xfId="22278" xr:uid="{FE3795E2-53E3-4C2A-B69E-D7E600737822}"/>
    <cellStyle name="40% - Accent3 3 4 4" xfId="9625" xr:uid="{35B60724-66A9-4C28-936E-7340B30797A5}"/>
    <cellStyle name="40% - Accent3 3 4 5" xfId="18061" xr:uid="{73DEF75F-2988-4092-8897-DCD8CAF08287}"/>
    <cellStyle name="40% - Accent3 3 5" xfId="1506" xr:uid="{00000000-0005-0000-0000-00006F050000}"/>
    <cellStyle name="40% - Accent3 3 5 2" xfId="3736" xr:uid="{00000000-0005-0000-0000-000070050000}"/>
    <cellStyle name="40% - Accent3 3 5 2 2" xfId="7959" xr:uid="{00000000-0005-0000-0000-000071050000}"/>
    <cellStyle name="40% - Accent3 3 5 2 2 2" xfId="16401" xr:uid="{945D50A3-816A-4F92-BD04-4BB558136B35}"/>
    <cellStyle name="40% - Accent3 3 5 2 2 3" xfId="24836" xr:uid="{B7EE85EA-2621-441E-9924-360C0769032F}"/>
    <cellStyle name="40% - Accent3 3 5 2 3" xfId="12183" xr:uid="{C6BC0021-05A8-4DD2-B046-0C336FCF2B43}"/>
    <cellStyle name="40% - Accent3 3 5 2 4" xfId="20619" xr:uid="{57A3212C-4BDE-48A8-9637-25331E5F9D85}"/>
    <cellStyle name="40% - Accent3 3 5 3" xfId="5814" xr:uid="{00000000-0005-0000-0000-000072050000}"/>
    <cellStyle name="40% - Accent3 3 5 3 2" xfId="14256" xr:uid="{131D2D3D-2797-44C9-9CD9-3B680B174156}"/>
    <cellStyle name="40% - Accent3 3 5 3 3" xfId="22691" xr:uid="{88D999B9-074C-4BD4-A7E8-E11F11ED092D}"/>
    <cellStyle name="40% - Accent3 3 5 4" xfId="10038" xr:uid="{7D5EE596-4B15-430E-869E-17D26236F73C}"/>
    <cellStyle name="40% - Accent3 3 5 5" xfId="18474" xr:uid="{4C06FC47-FE3E-4D93-8A21-2FE4F44D40AA}"/>
    <cellStyle name="40% - Accent3 3 6" xfId="1920" xr:uid="{00000000-0005-0000-0000-000073050000}"/>
    <cellStyle name="40% - Accent3 3 6 2" xfId="4149" xr:uid="{00000000-0005-0000-0000-000074050000}"/>
    <cellStyle name="40% - Accent3 3 6 2 2" xfId="8372" xr:uid="{00000000-0005-0000-0000-000075050000}"/>
    <cellStyle name="40% - Accent3 3 6 2 2 2" xfId="16814" xr:uid="{A5275F3D-28C9-49DA-A716-B4FC809B21DE}"/>
    <cellStyle name="40% - Accent3 3 6 2 2 3" xfId="25249" xr:uid="{52A7ED17-6778-4C42-945A-D0EE0BECC032}"/>
    <cellStyle name="40% - Accent3 3 6 2 3" xfId="12596" xr:uid="{99AF357E-3F81-4CD1-AD9C-EC9C4D27F4AA}"/>
    <cellStyle name="40% - Accent3 3 6 2 4" xfId="21032" xr:uid="{A885F236-D35B-4744-8AC1-7785685EE732}"/>
    <cellStyle name="40% - Accent3 3 6 3" xfId="6227" xr:uid="{00000000-0005-0000-0000-000076050000}"/>
    <cellStyle name="40% - Accent3 3 6 3 2" xfId="14669" xr:uid="{53AC4ACA-BBDB-446C-A5F1-F1B21C023538}"/>
    <cellStyle name="40% - Accent3 3 6 3 3" xfId="23104" xr:uid="{D9EDD668-5BFA-4475-8AD1-0995DF138914}"/>
    <cellStyle name="40% - Accent3 3 6 4" xfId="10451" xr:uid="{258952A0-BE85-4677-9C82-4D9B2F780ECF}"/>
    <cellStyle name="40% - Accent3 3 6 5" xfId="18887" xr:uid="{694E925A-3138-4011-9ACF-8764FDC4FBB0}"/>
    <cellStyle name="40% - Accent3 3 7" xfId="2333" xr:uid="{00000000-0005-0000-0000-000077050000}"/>
    <cellStyle name="40% - Accent3 3 7 2" xfId="6640" xr:uid="{00000000-0005-0000-0000-000078050000}"/>
    <cellStyle name="40% - Accent3 3 7 2 2" xfId="15082" xr:uid="{6C939AAA-5725-40F9-A358-DC85E1989CA2}"/>
    <cellStyle name="40% - Accent3 3 7 2 3" xfId="23517" xr:uid="{6124A8EA-D6B8-4A03-9FFA-9DE19B3B358E}"/>
    <cellStyle name="40% - Accent3 3 7 3" xfId="10864" xr:uid="{6748CDC9-17FB-488A-AAC6-5824CCB36979}"/>
    <cellStyle name="40% - Accent3 3 7 4" xfId="19300" xr:uid="{0F5ACD5A-E4DC-4769-AA52-A0E7EC5BE7F2}"/>
    <cellStyle name="40% - Accent3 3 8" xfId="4574" xr:uid="{00000000-0005-0000-0000-000079050000}"/>
    <cellStyle name="40% - Accent3 3 8 2" xfId="13016" xr:uid="{C6BA8BF9-D837-4FF6-9F96-73574334E489}"/>
    <cellStyle name="40% - Accent3 3 8 3" xfId="21451" xr:uid="{F1C38F17-0425-4AB7-82A1-58450AADC126}"/>
    <cellStyle name="40% - Accent3 3 9" xfId="8798" xr:uid="{CA972C0C-97A7-4010-9741-D409CAD02E4D}"/>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2 2 2" xfId="15577" xr:uid="{7BC87ED0-D29F-4C61-B2E8-8503C324AF93}"/>
    <cellStyle name="40% - Accent3 4 2 2 2 3" xfId="24012" xr:uid="{7E4CE0F4-685E-4085-98AC-264325A709E7}"/>
    <cellStyle name="40% - Accent3 4 2 2 3" xfId="11359" xr:uid="{D6EC5721-FCA5-4A5D-9C20-D35750C24AC8}"/>
    <cellStyle name="40% - Accent3 4 2 2 4" xfId="19795" xr:uid="{C89ADFEC-C0E5-4B59-BFED-398468FC5E65}"/>
    <cellStyle name="40% - Accent3 4 2 3" xfId="4990" xr:uid="{00000000-0005-0000-0000-00007E050000}"/>
    <cellStyle name="40% - Accent3 4 2 3 2" xfId="13432" xr:uid="{CCB2DA14-0A32-4807-AEE8-93B8CB353D09}"/>
    <cellStyle name="40% - Accent3 4 2 3 3" xfId="21867" xr:uid="{6EFFDB48-490E-42B5-9081-6E76E3E934DE}"/>
    <cellStyle name="40% - Accent3 4 2 4" xfId="9214" xr:uid="{63E63E6B-6ADD-4068-B88D-FA05920E1950}"/>
    <cellStyle name="40% - Accent3 4 2 5" xfId="17650" xr:uid="{588006CD-9A6C-4ADD-BBDE-4308B6438C85}"/>
    <cellStyle name="40% - Accent3 4 3" xfId="1094" xr:uid="{00000000-0005-0000-0000-00007F050000}"/>
    <cellStyle name="40% - Accent3 4 3 2" xfId="3325" xr:uid="{00000000-0005-0000-0000-000080050000}"/>
    <cellStyle name="40% - Accent3 4 3 2 2" xfId="7548" xr:uid="{00000000-0005-0000-0000-000081050000}"/>
    <cellStyle name="40% - Accent3 4 3 2 2 2" xfId="15990" xr:uid="{5CB6AB1F-FC1A-4832-8E07-46824139187A}"/>
    <cellStyle name="40% - Accent3 4 3 2 2 3" xfId="24425" xr:uid="{DF655249-D82A-44B8-AEDD-ED9828A5987E}"/>
    <cellStyle name="40% - Accent3 4 3 2 3" xfId="11772" xr:uid="{D78559E5-8F84-4EB9-9DB9-85A29FED744B}"/>
    <cellStyle name="40% - Accent3 4 3 2 4" xfId="20208" xr:uid="{FBBDEF7F-EB4C-4A9D-8D34-CB135243357A}"/>
    <cellStyle name="40% - Accent3 4 3 3" xfId="5403" xr:uid="{00000000-0005-0000-0000-000082050000}"/>
    <cellStyle name="40% - Accent3 4 3 3 2" xfId="13845" xr:uid="{5E94D131-5C9C-4FDB-9A64-F9AC1A38B77C}"/>
    <cellStyle name="40% - Accent3 4 3 3 3" xfId="22280" xr:uid="{0BE6D603-31A9-4321-B433-5AE16777B5BA}"/>
    <cellStyle name="40% - Accent3 4 3 4" xfId="9627" xr:uid="{3E0AC8E4-45F2-4813-9DDF-D3BA06E7712C}"/>
    <cellStyle name="40% - Accent3 4 3 5" xfId="18063" xr:uid="{FE65B4E3-5ED5-438B-A04C-57E8A1B5CCF7}"/>
    <cellStyle name="40% - Accent3 4 4" xfId="1508" xr:uid="{00000000-0005-0000-0000-000083050000}"/>
    <cellStyle name="40% - Accent3 4 4 2" xfId="3738" xr:uid="{00000000-0005-0000-0000-000084050000}"/>
    <cellStyle name="40% - Accent3 4 4 2 2" xfId="7961" xr:uid="{00000000-0005-0000-0000-000085050000}"/>
    <cellStyle name="40% - Accent3 4 4 2 2 2" xfId="16403" xr:uid="{915F6B08-A42A-4D44-928C-A4E8E9B7B6FB}"/>
    <cellStyle name="40% - Accent3 4 4 2 2 3" xfId="24838" xr:uid="{F7E57074-ADC1-4B77-987E-7AB988703772}"/>
    <cellStyle name="40% - Accent3 4 4 2 3" xfId="12185" xr:uid="{89AD6608-062C-4258-8FA3-7FB9A48FF58F}"/>
    <cellStyle name="40% - Accent3 4 4 2 4" xfId="20621" xr:uid="{0DA8866F-3C94-4CAF-B08A-6F3A8B6ABA28}"/>
    <cellStyle name="40% - Accent3 4 4 3" xfId="5816" xr:uid="{00000000-0005-0000-0000-000086050000}"/>
    <cellStyle name="40% - Accent3 4 4 3 2" xfId="14258" xr:uid="{3A108B7A-5154-49E7-9875-ABA6AA621FCF}"/>
    <cellStyle name="40% - Accent3 4 4 3 3" xfId="22693" xr:uid="{743761EB-09AA-4EE6-9B1D-29536B05917A}"/>
    <cellStyle name="40% - Accent3 4 4 4" xfId="10040" xr:uid="{B2189782-D104-491E-89D9-9A8EE5D53877}"/>
    <cellStyle name="40% - Accent3 4 4 5" xfId="18476" xr:uid="{C976DD0B-94EE-4481-AF88-C052352D7503}"/>
    <cellStyle name="40% - Accent3 4 5" xfId="1922" xr:uid="{00000000-0005-0000-0000-000087050000}"/>
    <cellStyle name="40% - Accent3 4 5 2" xfId="4151" xr:uid="{00000000-0005-0000-0000-000088050000}"/>
    <cellStyle name="40% - Accent3 4 5 2 2" xfId="8374" xr:uid="{00000000-0005-0000-0000-000089050000}"/>
    <cellStyle name="40% - Accent3 4 5 2 2 2" xfId="16816" xr:uid="{3537462C-89A3-4175-AEC3-A63761524CA6}"/>
    <cellStyle name="40% - Accent3 4 5 2 2 3" xfId="25251" xr:uid="{1F1AA681-472C-4985-9B58-C0D47D79F831}"/>
    <cellStyle name="40% - Accent3 4 5 2 3" xfId="12598" xr:uid="{5AED103B-5D8E-4076-A319-82042246C442}"/>
    <cellStyle name="40% - Accent3 4 5 2 4" xfId="21034" xr:uid="{CBD36503-F600-4E58-BCE7-D4FCB26D5385}"/>
    <cellStyle name="40% - Accent3 4 5 3" xfId="6229" xr:uid="{00000000-0005-0000-0000-00008A050000}"/>
    <cellStyle name="40% - Accent3 4 5 3 2" xfId="14671" xr:uid="{1953D154-B2C9-4364-9308-8D2CA531EFFD}"/>
    <cellStyle name="40% - Accent3 4 5 3 3" xfId="23106" xr:uid="{D8764373-D5E6-40BA-8174-F1C4EF23922D}"/>
    <cellStyle name="40% - Accent3 4 5 4" xfId="10453" xr:uid="{641D2143-E16B-4982-A918-64D50239631E}"/>
    <cellStyle name="40% - Accent3 4 5 5" xfId="18889" xr:uid="{50B62CD7-DB9A-436B-BC90-1D675B59D11E}"/>
    <cellStyle name="40% - Accent3 4 6" xfId="2335" xr:uid="{00000000-0005-0000-0000-00008B050000}"/>
    <cellStyle name="40% - Accent3 4 6 2" xfId="6642" xr:uid="{00000000-0005-0000-0000-00008C050000}"/>
    <cellStyle name="40% - Accent3 4 6 2 2" xfId="15084" xr:uid="{8DCF6009-3FA6-4AF2-8E55-56977FAB7B12}"/>
    <cellStyle name="40% - Accent3 4 6 2 3" xfId="23519" xr:uid="{9E44BE3C-1DC7-439F-8A24-9E9E454FDBB6}"/>
    <cellStyle name="40% - Accent3 4 6 3" xfId="10866" xr:uid="{BB9BAF8B-A244-4843-B8D9-C6C0FF0475DF}"/>
    <cellStyle name="40% - Accent3 4 6 4" xfId="19302" xr:uid="{16E45400-1538-4AD3-8DB8-300B42CFBD89}"/>
    <cellStyle name="40% - Accent3 4 7" xfId="4576" xr:uid="{00000000-0005-0000-0000-00008D050000}"/>
    <cellStyle name="40% - Accent3 4 7 2" xfId="13018" xr:uid="{EDE5C510-EA74-4071-A6E9-BEAA9BE3AE64}"/>
    <cellStyle name="40% - Accent3 4 7 3" xfId="21453" xr:uid="{9ACEB31E-57CF-47FF-A85D-DB4E47A4FB76}"/>
    <cellStyle name="40% - Accent3 4 8" xfId="8800" xr:uid="{33AD3E11-30D9-4E0D-B144-F1897458DACA}"/>
    <cellStyle name="40% - Accent3 4 9" xfId="17236" xr:uid="{C77F680A-51F8-4765-99C4-E534E46CE82E}"/>
    <cellStyle name="40% - Accent3 5" xfId="634" xr:uid="{00000000-0005-0000-0000-00008E050000}"/>
    <cellStyle name="40% - Accent3 5 2" xfId="2905" xr:uid="{00000000-0005-0000-0000-00008F050000}"/>
    <cellStyle name="40% - Accent3 5 2 2" xfId="7128" xr:uid="{00000000-0005-0000-0000-000090050000}"/>
    <cellStyle name="40% - Accent3 5 2 2 2" xfId="15570" xr:uid="{B7C00E7D-8C96-405F-A3D4-5113F4B30386}"/>
    <cellStyle name="40% - Accent3 5 2 2 3" xfId="24005" xr:uid="{2265CAF7-F73D-41F2-9546-5170421EE39A}"/>
    <cellStyle name="40% - Accent3 5 2 3" xfId="11352" xr:uid="{248D99A6-27A5-44E3-9BE0-DF8B10EEB8EA}"/>
    <cellStyle name="40% - Accent3 5 2 4" xfId="19788" xr:uid="{096BDC27-7F6B-4242-84F1-45A75EB98D25}"/>
    <cellStyle name="40% - Accent3 5 3" xfId="4983" xr:uid="{00000000-0005-0000-0000-000091050000}"/>
    <cellStyle name="40% - Accent3 5 3 2" xfId="13425" xr:uid="{12462A6C-F9AF-49C3-AD50-21B31144C5CF}"/>
    <cellStyle name="40% - Accent3 5 3 3" xfId="21860" xr:uid="{2F7E0519-90B6-4CB3-8E31-4FCA129E521F}"/>
    <cellStyle name="40% - Accent3 5 4" xfId="9207" xr:uid="{369F2D0D-F22E-4F30-8027-CA25BBA8920B}"/>
    <cellStyle name="40% - Accent3 5 5" xfId="17643" xr:uid="{4C6F3845-7B69-4386-BDD1-F7B1DF9B30BA}"/>
    <cellStyle name="40% - Accent3 6" xfId="1087" xr:uid="{00000000-0005-0000-0000-000092050000}"/>
    <cellStyle name="40% - Accent3 6 2" xfId="3318" xr:uid="{00000000-0005-0000-0000-000093050000}"/>
    <cellStyle name="40% - Accent3 6 2 2" xfId="7541" xr:uid="{00000000-0005-0000-0000-000094050000}"/>
    <cellStyle name="40% - Accent3 6 2 2 2" xfId="15983" xr:uid="{0E60C0EF-4320-492F-9BBE-5F269DBCE677}"/>
    <cellStyle name="40% - Accent3 6 2 2 3" xfId="24418" xr:uid="{AE5949FC-B63C-465B-AC4F-B56F1F2C1FC0}"/>
    <cellStyle name="40% - Accent3 6 2 3" xfId="11765" xr:uid="{BC54D489-E36A-48EF-B502-4DF9AB3DB310}"/>
    <cellStyle name="40% - Accent3 6 2 4" xfId="20201" xr:uid="{FE1CF310-E7CD-4317-9FD8-FF0E89AEA006}"/>
    <cellStyle name="40% - Accent3 6 3" xfId="5396" xr:uid="{00000000-0005-0000-0000-000095050000}"/>
    <cellStyle name="40% - Accent3 6 3 2" xfId="13838" xr:uid="{63CFC06D-C6C6-49B2-A63B-10EF6184689D}"/>
    <cellStyle name="40% - Accent3 6 3 3" xfId="22273" xr:uid="{5E0CF7A3-41FC-4BCB-A01B-01D710F42C8C}"/>
    <cellStyle name="40% - Accent3 6 4" xfId="9620" xr:uid="{BB32C914-8C13-4078-9D51-DD0E27DD7054}"/>
    <cellStyle name="40% - Accent3 6 5" xfId="18056" xr:uid="{F4612BE8-F50C-4917-8971-4383B49A3050}"/>
    <cellStyle name="40% - Accent3 7" xfId="1501" xr:uid="{00000000-0005-0000-0000-000096050000}"/>
    <cellStyle name="40% - Accent3 7 2" xfId="3731" xr:uid="{00000000-0005-0000-0000-000097050000}"/>
    <cellStyle name="40% - Accent3 7 2 2" xfId="7954" xr:uid="{00000000-0005-0000-0000-000098050000}"/>
    <cellStyle name="40% - Accent3 7 2 2 2" xfId="16396" xr:uid="{ACC26CCC-74A4-43D3-A825-F48702D258E7}"/>
    <cellStyle name="40% - Accent3 7 2 2 3" xfId="24831" xr:uid="{56F28758-B082-48E6-93DC-79D1693E8313}"/>
    <cellStyle name="40% - Accent3 7 2 3" xfId="12178" xr:uid="{EB471329-B180-42D9-A7D3-DA898D00C2E9}"/>
    <cellStyle name="40% - Accent3 7 2 4" xfId="20614" xr:uid="{C4B02B21-8D96-4D2C-AA0E-FC2467E0EACE}"/>
    <cellStyle name="40% - Accent3 7 3" xfId="5809" xr:uid="{00000000-0005-0000-0000-000099050000}"/>
    <cellStyle name="40% - Accent3 7 3 2" xfId="14251" xr:uid="{50BC8507-3E01-496E-9E57-641C52034873}"/>
    <cellStyle name="40% - Accent3 7 3 3" xfId="22686" xr:uid="{2A967944-7D1D-4F57-A470-E29F649EC4E2}"/>
    <cellStyle name="40% - Accent3 7 4" xfId="10033" xr:uid="{AABF6917-0D1E-4327-8008-B09CA39C9FA1}"/>
    <cellStyle name="40% - Accent3 7 5" xfId="18469" xr:uid="{CE018438-4B8B-41EA-8626-DB31266A67B9}"/>
    <cellStyle name="40% - Accent3 8" xfId="1915" xr:uid="{00000000-0005-0000-0000-00009A050000}"/>
    <cellStyle name="40% - Accent3 8 2" xfId="4144" xr:uid="{00000000-0005-0000-0000-00009B050000}"/>
    <cellStyle name="40% - Accent3 8 2 2" xfId="8367" xr:uid="{00000000-0005-0000-0000-00009C050000}"/>
    <cellStyle name="40% - Accent3 8 2 2 2" xfId="16809" xr:uid="{83DF716A-1AD5-425F-8895-B47AA808AE7C}"/>
    <cellStyle name="40% - Accent3 8 2 2 3" xfId="25244" xr:uid="{11392095-7A40-4536-B79B-0E0D061A4E0B}"/>
    <cellStyle name="40% - Accent3 8 2 3" xfId="12591" xr:uid="{CB85F843-19C5-4A36-BFE4-46B0366ADDB0}"/>
    <cellStyle name="40% - Accent3 8 2 4" xfId="21027" xr:uid="{BEFA2E38-6722-46EB-BADD-73914F45FE0B}"/>
    <cellStyle name="40% - Accent3 8 3" xfId="6222" xr:uid="{00000000-0005-0000-0000-00009D050000}"/>
    <cellStyle name="40% - Accent3 8 3 2" xfId="14664" xr:uid="{4385D041-4697-4E72-848F-BCA9D1C779AF}"/>
    <cellStyle name="40% - Accent3 8 3 3" xfId="23099" xr:uid="{E2FD06F7-4A1C-4840-ADBB-6427A7573BDD}"/>
    <cellStyle name="40% - Accent3 8 4" xfId="10446" xr:uid="{4BA9804F-8D58-4E9A-BDDE-38FDE852B538}"/>
    <cellStyle name="40% - Accent3 8 5" xfId="18882" xr:uid="{AA4ABE40-041E-4702-8FCE-EA8EDCE23D45}"/>
    <cellStyle name="40% - Accent3 9" xfId="2328" xr:uid="{00000000-0005-0000-0000-00009E050000}"/>
    <cellStyle name="40% - Accent3 9 2" xfId="6635" xr:uid="{00000000-0005-0000-0000-00009F050000}"/>
    <cellStyle name="40% - Accent3 9 2 2" xfId="15077" xr:uid="{3FE9C3CF-37F9-4F2F-8E19-B4BE7B53F447}"/>
    <cellStyle name="40% - Accent3 9 2 3" xfId="23512" xr:uid="{3D2E8C87-A688-4B24-A4CD-48CD78C0B31B}"/>
    <cellStyle name="40% - Accent3 9 3" xfId="10859" xr:uid="{86CE8625-9E7C-4BDE-926C-9F5C0F2A1DA5}"/>
    <cellStyle name="40% - Accent3 9 4" xfId="19295" xr:uid="{66208F12-4B28-41EE-B2E3-C8E086B63F33}"/>
    <cellStyle name="40% - Accent4" xfId="73" builtinId="43" customBuiltin="1"/>
    <cellStyle name="40% - Accent4 10" xfId="4577" xr:uid="{00000000-0005-0000-0000-0000A1050000}"/>
    <cellStyle name="40% - Accent4 10 2" xfId="13019" xr:uid="{4BD713E7-BD0F-45D4-942F-784130A7BBC4}"/>
    <cellStyle name="40% - Accent4 10 3" xfId="21454" xr:uid="{C5AE1B89-44C2-4316-83C3-63625AFEA7F2}"/>
    <cellStyle name="40% - Accent4 11" xfId="8801" xr:uid="{4F140EB1-710C-462F-806D-FE626E48CA97}"/>
    <cellStyle name="40% - Accent4 12" xfId="17237" xr:uid="{C4895A19-A1A2-4C36-B49F-6C03B1A00E70}"/>
    <cellStyle name="40% - Accent4 2" xfId="74" xr:uid="{00000000-0005-0000-0000-0000A2050000}"/>
    <cellStyle name="40% - Accent4 2 10" xfId="8802" xr:uid="{346AACFF-5C2A-4C0F-AD0A-4F6A9C1A2031}"/>
    <cellStyle name="40% - Accent4 2 11" xfId="17238" xr:uid="{05A9C2C8-8922-449A-91BC-669823EE8508}"/>
    <cellStyle name="40% - Accent4 2 2" xfId="75" xr:uid="{00000000-0005-0000-0000-0000A3050000}"/>
    <cellStyle name="40% - Accent4 2 2 10" xfId="17239" xr:uid="{0E45936D-48CE-47EF-A972-90C15321658B}"/>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2 2 2" xfId="15581" xr:uid="{AE2BC96E-3777-4AF2-A631-454DE261C160}"/>
    <cellStyle name="40% - Accent4 2 2 2 2 2 2 3" xfId="24016" xr:uid="{A968902A-E806-4C35-A6EA-A71D9249EDC2}"/>
    <cellStyle name="40% - Accent4 2 2 2 2 2 3" xfId="11363" xr:uid="{A97874F3-56A7-47BF-A119-BF7CD7DAC08C}"/>
    <cellStyle name="40% - Accent4 2 2 2 2 2 4" xfId="19799" xr:uid="{0D5FBBE7-AC9F-41E4-B4E1-83C7DD117DEA}"/>
    <cellStyle name="40% - Accent4 2 2 2 2 3" xfId="4994" xr:uid="{00000000-0005-0000-0000-0000A8050000}"/>
    <cellStyle name="40% - Accent4 2 2 2 2 3 2" xfId="13436" xr:uid="{B86B160B-5B6D-4684-8687-A37915FF7E07}"/>
    <cellStyle name="40% - Accent4 2 2 2 2 3 3" xfId="21871" xr:uid="{FB6EAC89-11EB-46CF-9EB2-5714F941ED77}"/>
    <cellStyle name="40% - Accent4 2 2 2 2 4" xfId="9218" xr:uid="{428DAB8A-4C81-4147-BAE1-3730EB0A181F}"/>
    <cellStyle name="40% - Accent4 2 2 2 2 5" xfId="17654" xr:uid="{8EF0CFF4-455B-41C2-B7D4-D10D38FF24AA}"/>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2 2 2" xfId="15994" xr:uid="{4495CA37-1E3F-4A86-A568-6FE7476C09DF}"/>
    <cellStyle name="40% - Accent4 2 2 2 3 2 2 3" xfId="24429" xr:uid="{BB4A8B91-4301-4756-A569-6B09D62E8B91}"/>
    <cellStyle name="40% - Accent4 2 2 2 3 2 3" xfId="11776" xr:uid="{5E225A77-C076-404A-A2F3-BB5F4D7DAA7E}"/>
    <cellStyle name="40% - Accent4 2 2 2 3 2 4" xfId="20212" xr:uid="{E44B27DE-4B0A-4137-9293-7785776815CE}"/>
    <cellStyle name="40% - Accent4 2 2 2 3 3" xfId="5407" xr:uid="{00000000-0005-0000-0000-0000AC050000}"/>
    <cellStyle name="40% - Accent4 2 2 2 3 3 2" xfId="13849" xr:uid="{EABEE962-CE47-4384-B2D4-481552A923A8}"/>
    <cellStyle name="40% - Accent4 2 2 2 3 3 3" xfId="22284" xr:uid="{D03A1230-80CB-4D8D-A8AC-CEF2982F395C}"/>
    <cellStyle name="40% - Accent4 2 2 2 3 4" xfId="9631" xr:uid="{FCC16E3F-3B0E-44EA-8909-837F982E08FD}"/>
    <cellStyle name="40% - Accent4 2 2 2 3 5" xfId="18067" xr:uid="{B0D1DA97-0E98-4DA0-8BB0-E883D9138032}"/>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2 2 2" xfId="16407" xr:uid="{80F8F4A2-3C37-4365-BBA2-1E357BD24292}"/>
    <cellStyle name="40% - Accent4 2 2 2 4 2 2 3" xfId="24842" xr:uid="{82C95C13-CFA0-44A4-ACC3-8759FD85CA68}"/>
    <cellStyle name="40% - Accent4 2 2 2 4 2 3" xfId="12189" xr:uid="{5D33752D-F06E-4B1D-877F-2CD12425E7EA}"/>
    <cellStyle name="40% - Accent4 2 2 2 4 2 4" xfId="20625" xr:uid="{FA93F321-D6AC-4F20-BE99-3E0346B9266B}"/>
    <cellStyle name="40% - Accent4 2 2 2 4 3" xfId="5820" xr:uid="{00000000-0005-0000-0000-0000B0050000}"/>
    <cellStyle name="40% - Accent4 2 2 2 4 3 2" xfId="14262" xr:uid="{70261A8F-F8D2-45F3-B1E4-0B1924993CEF}"/>
    <cellStyle name="40% - Accent4 2 2 2 4 3 3" xfId="22697" xr:uid="{D419C996-E324-44B9-9E86-C5E02823A2E1}"/>
    <cellStyle name="40% - Accent4 2 2 2 4 4" xfId="10044" xr:uid="{099FDFBA-76F5-420A-96EC-6FEE0796015A}"/>
    <cellStyle name="40% - Accent4 2 2 2 4 5" xfId="18480" xr:uid="{FF14884D-0382-4E6A-90A2-F50E436B10AF}"/>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2 2 2" xfId="16820" xr:uid="{92C9E88F-D77D-4E63-87E4-CCAA772734FE}"/>
    <cellStyle name="40% - Accent4 2 2 2 5 2 2 3" xfId="25255" xr:uid="{EF4CE92D-5B61-4CAD-9257-F8DBAD76513A}"/>
    <cellStyle name="40% - Accent4 2 2 2 5 2 3" xfId="12602" xr:uid="{05D510AC-9B56-46B3-8C21-4F77E9CD977D}"/>
    <cellStyle name="40% - Accent4 2 2 2 5 2 4" xfId="21038" xr:uid="{02FAA9C9-388F-426E-9654-528AFADE139D}"/>
    <cellStyle name="40% - Accent4 2 2 2 5 3" xfId="6233" xr:uid="{00000000-0005-0000-0000-0000B4050000}"/>
    <cellStyle name="40% - Accent4 2 2 2 5 3 2" xfId="14675" xr:uid="{5221F9DA-4368-465B-AC5E-C4E5C09AFE64}"/>
    <cellStyle name="40% - Accent4 2 2 2 5 3 3" xfId="23110" xr:uid="{07B12ECC-3A67-4E70-8179-26E0250C23EF}"/>
    <cellStyle name="40% - Accent4 2 2 2 5 4" xfId="10457" xr:uid="{1F183013-3AC6-417F-A383-EF1898DBC2CC}"/>
    <cellStyle name="40% - Accent4 2 2 2 5 5" xfId="18893" xr:uid="{24E11643-14E3-4771-9DA2-6762F795C560}"/>
    <cellStyle name="40% - Accent4 2 2 2 6" xfId="2339" xr:uid="{00000000-0005-0000-0000-0000B5050000}"/>
    <cellStyle name="40% - Accent4 2 2 2 6 2" xfId="6646" xr:uid="{00000000-0005-0000-0000-0000B6050000}"/>
    <cellStyle name="40% - Accent4 2 2 2 6 2 2" xfId="15088" xr:uid="{BE9993B3-32E6-41EF-96BE-AE339B6528C7}"/>
    <cellStyle name="40% - Accent4 2 2 2 6 2 3" xfId="23523" xr:uid="{05704AA5-F86A-4D5C-A7E1-19617242B2C7}"/>
    <cellStyle name="40% - Accent4 2 2 2 6 3" xfId="10870" xr:uid="{248147F2-80EA-4D88-9F59-3A89E6633697}"/>
    <cellStyle name="40% - Accent4 2 2 2 6 4" xfId="19306" xr:uid="{D491037E-5B41-486E-9D4C-B66485FD1E17}"/>
    <cellStyle name="40% - Accent4 2 2 2 7" xfId="4580" xr:uid="{00000000-0005-0000-0000-0000B7050000}"/>
    <cellStyle name="40% - Accent4 2 2 2 7 2" xfId="13022" xr:uid="{8E2E23AD-AE48-4ABD-8292-9E9FDFBB274C}"/>
    <cellStyle name="40% - Accent4 2 2 2 7 3" xfId="21457" xr:uid="{411CBE8F-9199-4E50-B590-609D430139CE}"/>
    <cellStyle name="40% - Accent4 2 2 2 8" xfId="8804" xr:uid="{D7E7622F-89BE-46AE-A2D2-54B8F727AADD}"/>
    <cellStyle name="40% - Accent4 2 2 2 9" xfId="17240" xr:uid="{5C5E82BE-CA9D-49ED-A745-C09BC0195F4F}"/>
    <cellStyle name="40% - Accent4 2 2 3" xfId="644" xr:uid="{00000000-0005-0000-0000-0000B8050000}"/>
    <cellStyle name="40% - Accent4 2 2 3 2" xfId="2915" xr:uid="{00000000-0005-0000-0000-0000B9050000}"/>
    <cellStyle name="40% - Accent4 2 2 3 2 2" xfId="7138" xr:uid="{00000000-0005-0000-0000-0000BA050000}"/>
    <cellStyle name="40% - Accent4 2 2 3 2 2 2" xfId="15580" xr:uid="{E68F3971-E9D7-45B2-8D9E-B4C1759239E5}"/>
    <cellStyle name="40% - Accent4 2 2 3 2 2 3" xfId="24015" xr:uid="{18A7D3F0-9C28-4F4C-A9F7-518B5855E5D6}"/>
    <cellStyle name="40% - Accent4 2 2 3 2 3" xfId="11362" xr:uid="{772A5477-7D5F-4027-B058-83A3612D33EE}"/>
    <cellStyle name="40% - Accent4 2 2 3 2 4" xfId="19798" xr:uid="{A036C5F4-A71C-4AE2-AABE-93CB365AE4F7}"/>
    <cellStyle name="40% - Accent4 2 2 3 3" xfId="4993" xr:uid="{00000000-0005-0000-0000-0000BB050000}"/>
    <cellStyle name="40% - Accent4 2 2 3 3 2" xfId="13435" xr:uid="{ED58E90A-CBBC-49F4-8D75-267F1A1C13ED}"/>
    <cellStyle name="40% - Accent4 2 2 3 3 3" xfId="21870" xr:uid="{6A388D4D-25B6-47D8-82EC-B5F75021360B}"/>
    <cellStyle name="40% - Accent4 2 2 3 4" xfId="9217" xr:uid="{17FBB7B7-82B6-4DE4-92C1-D75B2CCFE990}"/>
    <cellStyle name="40% - Accent4 2 2 3 5" xfId="17653" xr:uid="{659524D9-A2A6-4AF3-AF23-8FBBBD8B775A}"/>
    <cellStyle name="40% - Accent4 2 2 4" xfId="1097" xr:uid="{00000000-0005-0000-0000-0000BC050000}"/>
    <cellStyle name="40% - Accent4 2 2 4 2" xfId="3328" xr:uid="{00000000-0005-0000-0000-0000BD050000}"/>
    <cellStyle name="40% - Accent4 2 2 4 2 2" xfId="7551" xr:uid="{00000000-0005-0000-0000-0000BE050000}"/>
    <cellStyle name="40% - Accent4 2 2 4 2 2 2" xfId="15993" xr:uid="{3973817B-BB16-4740-A984-BE7ACAA76442}"/>
    <cellStyle name="40% - Accent4 2 2 4 2 2 3" xfId="24428" xr:uid="{23BC041E-4183-48AB-BAB4-A4AE03FCE0C4}"/>
    <cellStyle name="40% - Accent4 2 2 4 2 3" xfId="11775" xr:uid="{A5BF7A63-1DD2-4633-B17F-2494DAE4FCC2}"/>
    <cellStyle name="40% - Accent4 2 2 4 2 4" xfId="20211" xr:uid="{5908DA32-91A7-4F2B-8847-E6D533D6B1ED}"/>
    <cellStyle name="40% - Accent4 2 2 4 3" xfId="5406" xr:uid="{00000000-0005-0000-0000-0000BF050000}"/>
    <cellStyle name="40% - Accent4 2 2 4 3 2" xfId="13848" xr:uid="{401B6589-86C6-43B2-9273-ED1F5569A27A}"/>
    <cellStyle name="40% - Accent4 2 2 4 3 3" xfId="22283" xr:uid="{A0DF6E9F-4F04-4FF6-A0A1-A2D19D2CA355}"/>
    <cellStyle name="40% - Accent4 2 2 4 4" xfId="9630" xr:uid="{4E43DCC9-006F-4184-AD40-5F77066A0124}"/>
    <cellStyle name="40% - Accent4 2 2 4 5" xfId="18066" xr:uid="{CC99A61A-2F19-4F9F-A98E-BA3D7F92B08D}"/>
    <cellStyle name="40% - Accent4 2 2 5" xfId="1511" xr:uid="{00000000-0005-0000-0000-0000C0050000}"/>
    <cellStyle name="40% - Accent4 2 2 5 2" xfId="3741" xr:uid="{00000000-0005-0000-0000-0000C1050000}"/>
    <cellStyle name="40% - Accent4 2 2 5 2 2" xfId="7964" xr:uid="{00000000-0005-0000-0000-0000C2050000}"/>
    <cellStyle name="40% - Accent4 2 2 5 2 2 2" xfId="16406" xr:uid="{9FF71DD8-1EB3-4217-AC09-6FBED3D67BCD}"/>
    <cellStyle name="40% - Accent4 2 2 5 2 2 3" xfId="24841" xr:uid="{2CE77192-9677-4233-857C-6432D5C3232B}"/>
    <cellStyle name="40% - Accent4 2 2 5 2 3" xfId="12188" xr:uid="{9DBB941D-369A-40D7-ABAB-DF79DC00C416}"/>
    <cellStyle name="40% - Accent4 2 2 5 2 4" xfId="20624" xr:uid="{009F90BF-9300-4A2C-8081-FA73F04450D8}"/>
    <cellStyle name="40% - Accent4 2 2 5 3" xfId="5819" xr:uid="{00000000-0005-0000-0000-0000C3050000}"/>
    <cellStyle name="40% - Accent4 2 2 5 3 2" xfId="14261" xr:uid="{2E9EB8DD-6A95-4055-AFC4-3292F240BAD4}"/>
    <cellStyle name="40% - Accent4 2 2 5 3 3" xfId="22696" xr:uid="{60C1C391-3465-4E8D-8A50-B3E46488FCD1}"/>
    <cellStyle name="40% - Accent4 2 2 5 4" xfId="10043" xr:uid="{F6DC934E-5A36-4A1D-ADC4-A7B4134EC148}"/>
    <cellStyle name="40% - Accent4 2 2 5 5" xfId="18479" xr:uid="{2F11DEAB-F19F-48E4-8B32-D3A48490A4C4}"/>
    <cellStyle name="40% - Accent4 2 2 6" xfId="1925" xr:uid="{00000000-0005-0000-0000-0000C4050000}"/>
    <cellStyle name="40% - Accent4 2 2 6 2" xfId="4154" xr:uid="{00000000-0005-0000-0000-0000C5050000}"/>
    <cellStyle name="40% - Accent4 2 2 6 2 2" xfId="8377" xr:uid="{00000000-0005-0000-0000-0000C6050000}"/>
    <cellStyle name="40% - Accent4 2 2 6 2 2 2" xfId="16819" xr:uid="{CC25796F-3046-4B9E-BF35-1269050673E6}"/>
    <cellStyle name="40% - Accent4 2 2 6 2 2 3" xfId="25254" xr:uid="{8E93CBF6-C00B-4DEF-986D-C05B9D0C1D6C}"/>
    <cellStyle name="40% - Accent4 2 2 6 2 3" xfId="12601" xr:uid="{616AF2B7-5187-4F7F-8482-ABED9725115D}"/>
    <cellStyle name="40% - Accent4 2 2 6 2 4" xfId="21037" xr:uid="{AAA8071A-90CF-4C41-9E33-304148ABDF0B}"/>
    <cellStyle name="40% - Accent4 2 2 6 3" xfId="6232" xr:uid="{00000000-0005-0000-0000-0000C7050000}"/>
    <cellStyle name="40% - Accent4 2 2 6 3 2" xfId="14674" xr:uid="{9F879A14-0512-4988-BE1D-6A527EDBAB0E}"/>
    <cellStyle name="40% - Accent4 2 2 6 3 3" xfId="23109" xr:uid="{E314ED72-2C94-4D02-B0DA-4735FA96A80C}"/>
    <cellStyle name="40% - Accent4 2 2 6 4" xfId="10456" xr:uid="{7FFB653F-3D99-42CB-ABA3-C70DF3A039EA}"/>
    <cellStyle name="40% - Accent4 2 2 6 5" xfId="18892" xr:uid="{2119058B-C3D1-4523-B872-D03D0227AEB4}"/>
    <cellStyle name="40% - Accent4 2 2 7" xfId="2338" xr:uid="{00000000-0005-0000-0000-0000C8050000}"/>
    <cellStyle name="40% - Accent4 2 2 7 2" xfId="6645" xr:uid="{00000000-0005-0000-0000-0000C9050000}"/>
    <cellStyle name="40% - Accent4 2 2 7 2 2" xfId="15087" xr:uid="{8763060D-4783-491E-9E37-E6CE4F55496A}"/>
    <cellStyle name="40% - Accent4 2 2 7 2 3" xfId="23522" xr:uid="{2FC6B92E-C16F-423F-B666-C971C0F96822}"/>
    <cellStyle name="40% - Accent4 2 2 7 3" xfId="10869" xr:uid="{D7D25ED5-FC0D-4CA1-A808-927B36A039DF}"/>
    <cellStyle name="40% - Accent4 2 2 7 4" xfId="19305" xr:uid="{DA797539-18E8-4025-9D54-AC167DF4A476}"/>
    <cellStyle name="40% - Accent4 2 2 8" xfId="4579" xr:uid="{00000000-0005-0000-0000-0000CA050000}"/>
    <cellStyle name="40% - Accent4 2 2 8 2" xfId="13021" xr:uid="{4120F63B-F695-4576-A660-AC5463EB67D5}"/>
    <cellStyle name="40% - Accent4 2 2 8 3" xfId="21456" xr:uid="{9BAD7164-7D39-4A90-9C1A-49DC720320BE}"/>
    <cellStyle name="40% - Accent4 2 2 9" xfId="8803" xr:uid="{0106990B-0DAB-48B7-AE25-AC0499500012}"/>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2 2 2" xfId="15582" xr:uid="{D1953B0E-11DB-4458-9964-6A1BE3157162}"/>
    <cellStyle name="40% - Accent4 2 3 2 2 2 3" xfId="24017" xr:uid="{4CF720B8-740F-437F-B612-7C71D736E4B8}"/>
    <cellStyle name="40% - Accent4 2 3 2 2 3" xfId="11364" xr:uid="{F9D670EE-A8E9-492E-902F-F13B777CCE27}"/>
    <cellStyle name="40% - Accent4 2 3 2 2 4" xfId="19800" xr:uid="{3D4D60E2-AD07-4485-824A-1039EA189E25}"/>
    <cellStyle name="40% - Accent4 2 3 2 3" xfId="4995" xr:uid="{00000000-0005-0000-0000-0000CF050000}"/>
    <cellStyle name="40% - Accent4 2 3 2 3 2" xfId="13437" xr:uid="{032AD968-0A9F-4D28-9A80-0A30E733C0F0}"/>
    <cellStyle name="40% - Accent4 2 3 2 3 3" xfId="21872" xr:uid="{069A3BC9-0967-41FF-B775-7506BA885810}"/>
    <cellStyle name="40% - Accent4 2 3 2 4" xfId="9219" xr:uid="{E44F5A7F-4DD2-4DE2-B3CF-935C59ECDF3A}"/>
    <cellStyle name="40% - Accent4 2 3 2 5" xfId="17655" xr:uid="{4316BBD9-6CB3-49B1-A667-690DC8D9F915}"/>
    <cellStyle name="40% - Accent4 2 3 3" xfId="1099" xr:uid="{00000000-0005-0000-0000-0000D0050000}"/>
    <cellStyle name="40% - Accent4 2 3 3 2" xfId="3330" xr:uid="{00000000-0005-0000-0000-0000D1050000}"/>
    <cellStyle name="40% - Accent4 2 3 3 2 2" xfId="7553" xr:uid="{00000000-0005-0000-0000-0000D2050000}"/>
    <cellStyle name="40% - Accent4 2 3 3 2 2 2" xfId="15995" xr:uid="{05F61482-87F5-4E86-BB96-188DCA2672E8}"/>
    <cellStyle name="40% - Accent4 2 3 3 2 2 3" xfId="24430" xr:uid="{34624CC9-227D-4E6A-B1A7-B78A5D0E8B9E}"/>
    <cellStyle name="40% - Accent4 2 3 3 2 3" xfId="11777" xr:uid="{BB28EAC3-9F4B-4E67-8362-9C9B20CC1DE9}"/>
    <cellStyle name="40% - Accent4 2 3 3 2 4" xfId="20213" xr:uid="{0B11710F-8AFF-4AB5-B3E5-C12C4222C10C}"/>
    <cellStyle name="40% - Accent4 2 3 3 3" xfId="5408" xr:uid="{00000000-0005-0000-0000-0000D3050000}"/>
    <cellStyle name="40% - Accent4 2 3 3 3 2" xfId="13850" xr:uid="{50AB4910-2F1B-4EE2-BE23-27AEF8D4C864}"/>
    <cellStyle name="40% - Accent4 2 3 3 3 3" xfId="22285" xr:uid="{5ED63A16-015D-44F0-8EC4-B562DA710F9E}"/>
    <cellStyle name="40% - Accent4 2 3 3 4" xfId="9632" xr:uid="{E6835AA0-7A28-496C-A39A-78A22123D51B}"/>
    <cellStyle name="40% - Accent4 2 3 3 5" xfId="18068" xr:uid="{8E5E6322-EF18-464D-BCD1-D1CBD8536017}"/>
    <cellStyle name="40% - Accent4 2 3 4" xfId="1513" xr:uid="{00000000-0005-0000-0000-0000D4050000}"/>
    <cellStyle name="40% - Accent4 2 3 4 2" xfId="3743" xr:uid="{00000000-0005-0000-0000-0000D5050000}"/>
    <cellStyle name="40% - Accent4 2 3 4 2 2" xfId="7966" xr:uid="{00000000-0005-0000-0000-0000D6050000}"/>
    <cellStyle name="40% - Accent4 2 3 4 2 2 2" xfId="16408" xr:uid="{F188B273-196B-48D9-972B-3125D8E6D018}"/>
    <cellStyle name="40% - Accent4 2 3 4 2 2 3" xfId="24843" xr:uid="{A7CD93AD-B3C4-4097-BAEA-C47D6525D749}"/>
    <cellStyle name="40% - Accent4 2 3 4 2 3" xfId="12190" xr:uid="{1214F4FA-E7D2-468A-A210-D65A346904EA}"/>
    <cellStyle name="40% - Accent4 2 3 4 2 4" xfId="20626" xr:uid="{CF9D15CD-8AFD-4C03-8FF0-FBC0BA39C415}"/>
    <cellStyle name="40% - Accent4 2 3 4 3" xfId="5821" xr:uid="{00000000-0005-0000-0000-0000D7050000}"/>
    <cellStyle name="40% - Accent4 2 3 4 3 2" xfId="14263" xr:uid="{CDF01262-3F93-4AAC-9072-4427607F22C6}"/>
    <cellStyle name="40% - Accent4 2 3 4 3 3" xfId="22698" xr:uid="{8258E44D-331E-4EFB-BAA9-8D988F9EED3B}"/>
    <cellStyle name="40% - Accent4 2 3 4 4" xfId="10045" xr:uid="{27668E20-1319-4C31-9B3C-827C2588EDED}"/>
    <cellStyle name="40% - Accent4 2 3 4 5" xfId="18481" xr:uid="{99EF1D55-0729-45DC-88CB-1B277F005384}"/>
    <cellStyle name="40% - Accent4 2 3 5" xfId="1927" xr:uid="{00000000-0005-0000-0000-0000D8050000}"/>
    <cellStyle name="40% - Accent4 2 3 5 2" xfId="4156" xr:uid="{00000000-0005-0000-0000-0000D9050000}"/>
    <cellStyle name="40% - Accent4 2 3 5 2 2" xfId="8379" xr:uid="{00000000-0005-0000-0000-0000DA050000}"/>
    <cellStyle name="40% - Accent4 2 3 5 2 2 2" xfId="16821" xr:uid="{75E8B7FA-B767-4E92-90DC-91074F2FD1A2}"/>
    <cellStyle name="40% - Accent4 2 3 5 2 2 3" xfId="25256" xr:uid="{E9D72055-6C3A-4CCA-8544-A3AACE194A61}"/>
    <cellStyle name="40% - Accent4 2 3 5 2 3" xfId="12603" xr:uid="{2257B203-4902-4259-B3C4-1AB8A4D47221}"/>
    <cellStyle name="40% - Accent4 2 3 5 2 4" xfId="21039" xr:uid="{551043EC-3AE3-4035-B2D2-4F37B5231DE5}"/>
    <cellStyle name="40% - Accent4 2 3 5 3" xfId="6234" xr:uid="{00000000-0005-0000-0000-0000DB050000}"/>
    <cellStyle name="40% - Accent4 2 3 5 3 2" xfId="14676" xr:uid="{38CE4EC1-AFDF-405F-8A11-15418623A0AE}"/>
    <cellStyle name="40% - Accent4 2 3 5 3 3" xfId="23111" xr:uid="{4F40B155-97E1-4A9E-9A83-58203C80DDAF}"/>
    <cellStyle name="40% - Accent4 2 3 5 4" xfId="10458" xr:uid="{FED08094-775E-4BD1-A483-C4A0073DE129}"/>
    <cellStyle name="40% - Accent4 2 3 5 5" xfId="18894" xr:uid="{E450E9D8-32BA-4EFA-825F-3C71381E36ED}"/>
    <cellStyle name="40% - Accent4 2 3 6" xfId="2340" xr:uid="{00000000-0005-0000-0000-0000DC050000}"/>
    <cellStyle name="40% - Accent4 2 3 6 2" xfId="6647" xr:uid="{00000000-0005-0000-0000-0000DD050000}"/>
    <cellStyle name="40% - Accent4 2 3 6 2 2" xfId="15089" xr:uid="{A117FEAC-4CC9-4BE7-8EFC-FFF91FA30DAD}"/>
    <cellStyle name="40% - Accent4 2 3 6 2 3" xfId="23524" xr:uid="{93BBBCD3-1CAE-4D70-9C7F-17695F99B8A6}"/>
    <cellStyle name="40% - Accent4 2 3 6 3" xfId="10871" xr:uid="{B354865E-5178-4832-8AD9-AA55DCB97F3F}"/>
    <cellStyle name="40% - Accent4 2 3 6 4" xfId="19307" xr:uid="{610FC27F-3E94-490D-A89C-07F9E4D831DA}"/>
    <cellStyle name="40% - Accent4 2 3 7" xfId="4581" xr:uid="{00000000-0005-0000-0000-0000DE050000}"/>
    <cellStyle name="40% - Accent4 2 3 7 2" xfId="13023" xr:uid="{D81F9E5B-8B94-4C3E-A1EF-546F788BF362}"/>
    <cellStyle name="40% - Accent4 2 3 7 3" xfId="21458" xr:uid="{B4B42253-64AB-4486-A852-47E8354D595D}"/>
    <cellStyle name="40% - Accent4 2 3 8" xfId="8805" xr:uid="{DD0DD7CB-6D23-4355-897D-07B661293621}"/>
    <cellStyle name="40% - Accent4 2 3 9" xfId="17241" xr:uid="{B6616753-CE33-4DA3-A2E7-64E61CA07010}"/>
    <cellStyle name="40% - Accent4 2 4" xfId="643" xr:uid="{00000000-0005-0000-0000-0000DF050000}"/>
    <cellStyle name="40% - Accent4 2 4 2" xfId="2914" xr:uid="{00000000-0005-0000-0000-0000E0050000}"/>
    <cellStyle name="40% - Accent4 2 4 2 2" xfId="7137" xr:uid="{00000000-0005-0000-0000-0000E1050000}"/>
    <cellStyle name="40% - Accent4 2 4 2 2 2" xfId="15579" xr:uid="{10201446-44FB-4FAD-AD8A-0E7AAB46FB0C}"/>
    <cellStyle name="40% - Accent4 2 4 2 2 3" xfId="24014" xr:uid="{6F1A7449-401A-41EC-AC9F-0E791793E65C}"/>
    <cellStyle name="40% - Accent4 2 4 2 3" xfId="11361" xr:uid="{85018D77-D24E-4EA6-BBF0-3C3BDC7C5C69}"/>
    <cellStyle name="40% - Accent4 2 4 2 4" xfId="19797" xr:uid="{B095FFD9-777F-487A-9E0F-33CB0F14EB56}"/>
    <cellStyle name="40% - Accent4 2 4 3" xfId="4992" xr:uid="{00000000-0005-0000-0000-0000E2050000}"/>
    <cellStyle name="40% - Accent4 2 4 3 2" xfId="13434" xr:uid="{B0C08064-1E7F-48CC-8D5E-CB8DC445752D}"/>
    <cellStyle name="40% - Accent4 2 4 3 3" xfId="21869" xr:uid="{F4A6915E-EF5E-4893-935D-270B1AD463CE}"/>
    <cellStyle name="40% - Accent4 2 4 4" xfId="9216" xr:uid="{EECE6E66-93D4-4254-9822-BCEAA8A111AF}"/>
    <cellStyle name="40% - Accent4 2 4 5" xfId="17652" xr:uid="{182F6DE1-7F33-4054-AF61-4201B0CE93BD}"/>
    <cellStyle name="40% - Accent4 2 5" xfId="1096" xr:uid="{00000000-0005-0000-0000-0000E3050000}"/>
    <cellStyle name="40% - Accent4 2 5 2" xfId="3327" xr:uid="{00000000-0005-0000-0000-0000E4050000}"/>
    <cellStyle name="40% - Accent4 2 5 2 2" xfId="7550" xr:uid="{00000000-0005-0000-0000-0000E5050000}"/>
    <cellStyle name="40% - Accent4 2 5 2 2 2" xfId="15992" xr:uid="{4A426EC6-939F-4E40-BBB9-3D3DFBA9BE66}"/>
    <cellStyle name="40% - Accent4 2 5 2 2 3" xfId="24427" xr:uid="{86E413DF-6EEE-493F-BB4C-860C3A07980B}"/>
    <cellStyle name="40% - Accent4 2 5 2 3" xfId="11774" xr:uid="{90246613-FC06-47F2-BB0D-5C11B6B75FC8}"/>
    <cellStyle name="40% - Accent4 2 5 2 4" xfId="20210" xr:uid="{CDC87C1A-65EA-4531-AEF0-133B52A87C17}"/>
    <cellStyle name="40% - Accent4 2 5 3" xfId="5405" xr:uid="{00000000-0005-0000-0000-0000E6050000}"/>
    <cellStyle name="40% - Accent4 2 5 3 2" xfId="13847" xr:uid="{AE6502A7-4082-4885-97CD-C1A7391D4570}"/>
    <cellStyle name="40% - Accent4 2 5 3 3" xfId="22282" xr:uid="{A2FE4583-7105-4204-B5E1-E00AD49B2D30}"/>
    <cellStyle name="40% - Accent4 2 5 4" xfId="9629" xr:uid="{095B21C6-0E30-427B-8920-00DBAA9A3412}"/>
    <cellStyle name="40% - Accent4 2 5 5" xfId="18065" xr:uid="{BE02AE9D-A3C7-47AB-A368-758DF0663E39}"/>
    <cellStyle name="40% - Accent4 2 6" xfId="1510" xr:uid="{00000000-0005-0000-0000-0000E7050000}"/>
    <cellStyle name="40% - Accent4 2 6 2" xfId="3740" xr:uid="{00000000-0005-0000-0000-0000E8050000}"/>
    <cellStyle name="40% - Accent4 2 6 2 2" xfId="7963" xr:uid="{00000000-0005-0000-0000-0000E9050000}"/>
    <cellStyle name="40% - Accent4 2 6 2 2 2" xfId="16405" xr:uid="{718E4193-1FC3-4443-8EE1-EB2981F126BB}"/>
    <cellStyle name="40% - Accent4 2 6 2 2 3" xfId="24840" xr:uid="{D41EF9F3-3FAB-40C4-8415-3212115A7C46}"/>
    <cellStyle name="40% - Accent4 2 6 2 3" xfId="12187" xr:uid="{FF7891FC-66DA-44E5-B4AF-67E171D7BC38}"/>
    <cellStyle name="40% - Accent4 2 6 2 4" xfId="20623" xr:uid="{1F84E385-BF5F-4A48-9D60-DFB68F1B61EA}"/>
    <cellStyle name="40% - Accent4 2 6 3" xfId="5818" xr:uid="{00000000-0005-0000-0000-0000EA050000}"/>
    <cellStyle name="40% - Accent4 2 6 3 2" xfId="14260" xr:uid="{5E45AFD7-6EDD-44B4-8519-0DF175BE9191}"/>
    <cellStyle name="40% - Accent4 2 6 3 3" xfId="22695" xr:uid="{E7534B79-C152-4D83-AB6A-B01A817F12E0}"/>
    <cellStyle name="40% - Accent4 2 6 4" xfId="10042" xr:uid="{DC3C76EB-D8E8-479E-A4C7-8285E266BFF5}"/>
    <cellStyle name="40% - Accent4 2 6 5" xfId="18478" xr:uid="{B75E2043-BFAD-41D7-80D5-A1A1ABC3A6F4}"/>
    <cellStyle name="40% - Accent4 2 7" xfId="1924" xr:uid="{00000000-0005-0000-0000-0000EB050000}"/>
    <cellStyle name="40% - Accent4 2 7 2" xfId="4153" xr:uid="{00000000-0005-0000-0000-0000EC050000}"/>
    <cellStyle name="40% - Accent4 2 7 2 2" xfId="8376" xr:uid="{00000000-0005-0000-0000-0000ED050000}"/>
    <cellStyle name="40% - Accent4 2 7 2 2 2" xfId="16818" xr:uid="{EACA56CD-E3C0-4A64-9A62-2A7218048E1F}"/>
    <cellStyle name="40% - Accent4 2 7 2 2 3" xfId="25253" xr:uid="{5BF6C13A-8FD9-40A3-9828-81D401086A9D}"/>
    <cellStyle name="40% - Accent4 2 7 2 3" xfId="12600" xr:uid="{B70B9D30-9BBA-403B-9038-D961CC01E672}"/>
    <cellStyle name="40% - Accent4 2 7 2 4" xfId="21036" xr:uid="{5DD1C50F-8898-4AB7-A10B-89E786ACD277}"/>
    <cellStyle name="40% - Accent4 2 7 3" xfId="6231" xr:uid="{00000000-0005-0000-0000-0000EE050000}"/>
    <cellStyle name="40% - Accent4 2 7 3 2" xfId="14673" xr:uid="{B7F4C8B5-D9DD-4730-B441-730BA2F86787}"/>
    <cellStyle name="40% - Accent4 2 7 3 3" xfId="23108" xr:uid="{D68D19B6-7A30-43C4-961D-CECE0F3C0B29}"/>
    <cellStyle name="40% - Accent4 2 7 4" xfId="10455" xr:uid="{9359ADEE-D2FC-4C38-B8E2-26F8244365C9}"/>
    <cellStyle name="40% - Accent4 2 7 5" xfId="18891" xr:uid="{3396FC17-EC47-42A6-93D3-8C9D31033C3E}"/>
    <cellStyle name="40% - Accent4 2 8" xfId="2337" xr:uid="{00000000-0005-0000-0000-0000EF050000}"/>
    <cellStyle name="40% - Accent4 2 8 2" xfId="6644" xr:uid="{00000000-0005-0000-0000-0000F0050000}"/>
    <cellStyle name="40% - Accent4 2 8 2 2" xfId="15086" xr:uid="{9B77DE8B-2421-4B4C-9BC2-63ADCD496DD7}"/>
    <cellStyle name="40% - Accent4 2 8 2 3" xfId="23521" xr:uid="{AE7B524E-8589-463D-8530-44D27A5F26F9}"/>
    <cellStyle name="40% - Accent4 2 8 3" xfId="10868" xr:uid="{E650A793-B8DC-4C7A-AE89-ABF6FC6DB43F}"/>
    <cellStyle name="40% - Accent4 2 8 4" xfId="19304" xr:uid="{C6249E58-8661-45FE-A7D5-FCF037E45A3F}"/>
    <cellStyle name="40% - Accent4 2 9" xfId="4578" xr:uid="{00000000-0005-0000-0000-0000F1050000}"/>
    <cellStyle name="40% - Accent4 2 9 2" xfId="13020" xr:uid="{7ADA5C05-B26D-4258-9AB2-51F93831100B}"/>
    <cellStyle name="40% - Accent4 2 9 3" xfId="21455" xr:uid="{4A5B83BD-E69A-457A-8840-BE34B0F67993}"/>
    <cellStyle name="40% - Accent4 3" xfId="78" xr:uid="{00000000-0005-0000-0000-0000F2050000}"/>
    <cellStyle name="40% - Accent4 3 10" xfId="17242" xr:uid="{3F0E2036-7B47-4E03-A576-44D6E824507C}"/>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2 2 2" xfId="15584" xr:uid="{03C7D6FB-4A65-445D-92D0-40F26A291F50}"/>
    <cellStyle name="40% - Accent4 3 2 2 2 2 3" xfId="24019" xr:uid="{A30F598E-B9FB-4603-B401-A8C93C77D6A1}"/>
    <cellStyle name="40% - Accent4 3 2 2 2 3" xfId="11366" xr:uid="{A722FC7B-440C-49E1-9E03-A1EA7897B919}"/>
    <cellStyle name="40% - Accent4 3 2 2 2 4" xfId="19802" xr:uid="{9CE909C8-7DC9-44B1-A436-A6172CCBDBBA}"/>
    <cellStyle name="40% - Accent4 3 2 2 3" xfId="4997" xr:uid="{00000000-0005-0000-0000-0000F7050000}"/>
    <cellStyle name="40% - Accent4 3 2 2 3 2" xfId="13439" xr:uid="{F2B02A8E-E5D7-46B1-AB8B-252148B64B17}"/>
    <cellStyle name="40% - Accent4 3 2 2 3 3" xfId="21874" xr:uid="{029DFDC6-D706-4734-A090-DFB59DC173B7}"/>
    <cellStyle name="40% - Accent4 3 2 2 4" xfId="9221" xr:uid="{F9F9D4DC-B922-4D52-A9C4-DEE1DC9E8A74}"/>
    <cellStyle name="40% - Accent4 3 2 2 5" xfId="17657" xr:uid="{290B6EC9-389B-4240-84D7-C8DE932610CA}"/>
    <cellStyle name="40% - Accent4 3 2 3" xfId="1101" xr:uid="{00000000-0005-0000-0000-0000F8050000}"/>
    <cellStyle name="40% - Accent4 3 2 3 2" xfId="3332" xr:uid="{00000000-0005-0000-0000-0000F9050000}"/>
    <cellStyle name="40% - Accent4 3 2 3 2 2" xfId="7555" xr:uid="{00000000-0005-0000-0000-0000FA050000}"/>
    <cellStyle name="40% - Accent4 3 2 3 2 2 2" xfId="15997" xr:uid="{FD76C4D1-E516-468D-AE75-4719EEE98AB5}"/>
    <cellStyle name="40% - Accent4 3 2 3 2 2 3" xfId="24432" xr:uid="{F588BAAE-38E8-465E-8132-3988BFA35EE8}"/>
    <cellStyle name="40% - Accent4 3 2 3 2 3" xfId="11779" xr:uid="{30D85C59-6DF8-4EA4-B665-8BFF9FA1263C}"/>
    <cellStyle name="40% - Accent4 3 2 3 2 4" xfId="20215" xr:uid="{B2328B88-2A8E-4C6E-BF1D-597618E4CB99}"/>
    <cellStyle name="40% - Accent4 3 2 3 3" xfId="5410" xr:uid="{00000000-0005-0000-0000-0000FB050000}"/>
    <cellStyle name="40% - Accent4 3 2 3 3 2" xfId="13852" xr:uid="{E1E6E374-8D9D-419D-BC5D-FAE3EF2AF925}"/>
    <cellStyle name="40% - Accent4 3 2 3 3 3" xfId="22287" xr:uid="{1ADCA597-13E8-4366-A14E-0531C9502F5A}"/>
    <cellStyle name="40% - Accent4 3 2 3 4" xfId="9634" xr:uid="{3B658132-FAB9-4D65-81A1-86F148EF6C45}"/>
    <cellStyle name="40% - Accent4 3 2 3 5" xfId="18070" xr:uid="{D9B3D819-F7CC-4AA5-8FFD-68086C8BAAD6}"/>
    <cellStyle name="40% - Accent4 3 2 4" xfId="1515" xr:uid="{00000000-0005-0000-0000-0000FC050000}"/>
    <cellStyle name="40% - Accent4 3 2 4 2" xfId="3745" xr:uid="{00000000-0005-0000-0000-0000FD050000}"/>
    <cellStyle name="40% - Accent4 3 2 4 2 2" xfId="7968" xr:uid="{00000000-0005-0000-0000-0000FE050000}"/>
    <cellStyle name="40% - Accent4 3 2 4 2 2 2" xfId="16410" xr:uid="{686D51EB-9879-4867-BAA5-7F324FF57B85}"/>
    <cellStyle name="40% - Accent4 3 2 4 2 2 3" xfId="24845" xr:uid="{00F3E5FF-6A8E-4D28-9D23-CB6F9EED74D3}"/>
    <cellStyle name="40% - Accent4 3 2 4 2 3" xfId="12192" xr:uid="{232CE927-5D14-4CCC-A273-6CE1E0CF9764}"/>
    <cellStyle name="40% - Accent4 3 2 4 2 4" xfId="20628" xr:uid="{BEB36519-5A64-4FCF-AF0E-FD5130DE4052}"/>
    <cellStyle name="40% - Accent4 3 2 4 3" xfId="5823" xr:uid="{00000000-0005-0000-0000-0000FF050000}"/>
    <cellStyle name="40% - Accent4 3 2 4 3 2" xfId="14265" xr:uid="{446535DE-8B0A-4B53-B239-68663C20D402}"/>
    <cellStyle name="40% - Accent4 3 2 4 3 3" xfId="22700" xr:uid="{CF776AC5-0655-4BF3-B3C4-5AE70B4C44AE}"/>
    <cellStyle name="40% - Accent4 3 2 4 4" xfId="10047" xr:uid="{8F436EA6-BFB2-4B7D-830A-2B0DBEA79B76}"/>
    <cellStyle name="40% - Accent4 3 2 4 5" xfId="18483" xr:uid="{FC999471-D277-4754-BD6B-4B84F36F3E29}"/>
    <cellStyle name="40% - Accent4 3 2 5" xfId="1929" xr:uid="{00000000-0005-0000-0000-000000060000}"/>
    <cellStyle name="40% - Accent4 3 2 5 2" xfId="4158" xr:uid="{00000000-0005-0000-0000-000001060000}"/>
    <cellStyle name="40% - Accent4 3 2 5 2 2" xfId="8381" xr:uid="{00000000-0005-0000-0000-000002060000}"/>
    <cellStyle name="40% - Accent4 3 2 5 2 2 2" xfId="16823" xr:uid="{DF96F1DA-29EC-46C1-9D1A-CA9B6FF0A936}"/>
    <cellStyle name="40% - Accent4 3 2 5 2 2 3" xfId="25258" xr:uid="{DD3304AC-4468-435D-A455-54A7EB979435}"/>
    <cellStyle name="40% - Accent4 3 2 5 2 3" xfId="12605" xr:uid="{DAB38092-3039-4C1B-A8B2-BE4943B52CE6}"/>
    <cellStyle name="40% - Accent4 3 2 5 2 4" xfId="21041" xr:uid="{18B6F535-4152-4541-A36E-14C0BBDE43E4}"/>
    <cellStyle name="40% - Accent4 3 2 5 3" xfId="6236" xr:uid="{00000000-0005-0000-0000-000003060000}"/>
    <cellStyle name="40% - Accent4 3 2 5 3 2" xfId="14678" xr:uid="{55626DFF-8631-44E6-9069-783374E8B832}"/>
    <cellStyle name="40% - Accent4 3 2 5 3 3" xfId="23113" xr:uid="{9E3F7F5A-3A71-40F2-BE12-13CC51E18C8E}"/>
    <cellStyle name="40% - Accent4 3 2 5 4" xfId="10460" xr:uid="{DD17FDF3-1F16-434E-B2A3-F34D52798C53}"/>
    <cellStyle name="40% - Accent4 3 2 5 5" xfId="18896" xr:uid="{49713CA2-E4A9-4F56-B5DB-B3197D1A8DA3}"/>
    <cellStyle name="40% - Accent4 3 2 6" xfId="2342" xr:uid="{00000000-0005-0000-0000-000004060000}"/>
    <cellStyle name="40% - Accent4 3 2 6 2" xfId="6649" xr:uid="{00000000-0005-0000-0000-000005060000}"/>
    <cellStyle name="40% - Accent4 3 2 6 2 2" xfId="15091" xr:uid="{DA17EE9D-2AAA-459E-B0F1-CA0E21FDB8C8}"/>
    <cellStyle name="40% - Accent4 3 2 6 2 3" xfId="23526" xr:uid="{65E662D9-5BA2-4C51-A099-61D32EA84B93}"/>
    <cellStyle name="40% - Accent4 3 2 6 3" xfId="10873" xr:uid="{5031F460-4B40-477B-99A1-AD392606011E}"/>
    <cellStyle name="40% - Accent4 3 2 6 4" xfId="19309" xr:uid="{3760ACE6-0716-40B1-A084-9F6709CEA853}"/>
    <cellStyle name="40% - Accent4 3 2 7" xfId="4583" xr:uid="{00000000-0005-0000-0000-000006060000}"/>
    <cellStyle name="40% - Accent4 3 2 7 2" xfId="13025" xr:uid="{FD582ACB-EDAC-4CF5-9BCA-1E7630513E7A}"/>
    <cellStyle name="40% - Accent4 3 2 7 3" xfId="21460" xr:uid="{50020671-2DB7-4D01-AC9C-241358329E7E}"/>
    <cellStyle name="40% - Accent4 3 2 8" xfId="8807" xr:uid="{2E7F2D54-FD4B-4226-B4A9-1D96E3B674DB}"/>
    <cellStyle name="40% - Accent4 3 2 9" xfId="17243" xr:uid="{E46503D0-79D6-4EEF-99F8-8F42DC034610}"/>
    <cellStyle name="40% - Accent4 3 3" xfId="647" xr:uid="{00000000-0005-0000-0000-000007060000}"/>
    <cellStyle name="40% - Accent4 3 3 2" xfId="2918" xr:uid="{00000000-0005-0000-0000-000008060000}"/>
    <cellStyle name="40% - Accent4 3 3 2 2" xfId="7141" xr:uid="{00000000-0005-0000-0000-000009060000}"/>
    <cellStyle name="40% - Accent4 3 3 2 2 2" xfId="15583" xr:uid="{F93B659D-A0C6-4714-92D0-330595484421}"/>
    <cellStyle name="40% - Accent4 3 3 2 2 3" xfId="24018" xr:uid="{0A0E5B1E-9CE3-48DB-9F2A-6DCA71FA037D}"/>
    <cellStyle name="40% - Accent4 3 3 2 3" xfId="11365" xr:uid="{62C17178-18DE-489F-8388-824DBF92A82C}"/>
    <cellStyle name="40% - Accent4 3 3 2 4" xfId="19801" xr:uid="{F89D63F3-6E1A-41FC-9E5F-0A2D0D43351E}"/>
    <cellStyle name="40% - Accent4 3 3 3" xfId="4996" xr:uid="{00000000-0005-0000-0000-00000A060000}"/>
    <cellStyle name="40% - Accent4 3 3 3 2" xfId="13438" xr:uid="{01E93038-862E-4043-A591-97695AA3AB54}"/>
    <cellStyle name="40% - Accent4 3 3 3 3" xfId="21873" xr:uid="{2B993558-5A24-452D-8C9E-DCC19859627B}"/>
    <cellStyle name="40% - Accent4 3 3 4" xfId="9220" xr:uid="{D9F1E10F-691C-4EC8-8DDD-E3D3229CBDC9}"/>
    <cellStyle name="40% - Accent4 3 3 5" xfId="17656" xr:uid="{EAFD501A-3D4F-4B27-A204-65AAD0F0A79F}"/>
    <cellStyle name="40% - Accent4 3 4" xfId="1100" xr:uid="{00000000-0005-0000-0000-00000B060000}"/>
    <cellStyle name="40% - Accent4 3 4 2" xfId="3331" xr:uid="{00000000-0005-0000-0000-00000C060000}"/>
    <cellStyle name="40% - Accent4 3 4 2 2" xfId="7554" xr:uid="{00000000-0005-0000-0000-00000D060000}"/>
    <cellStyle name="40% - Accent4 3 4 2 2 2" xfId="15996" xr:uid="{16575C2E-0866-43C6-90D1-141460EA0C24}"/>
    <cellStyle name="40% - Accent4 3 4 2 2 3" xfId="24431" xr:uid="{2E708472-1152-463E-A88F-05958608A438}"/>
    <cellStyle name="40% - Accent4 3 4 2 3" xfId="11778" xr:uid="{0409E022-7D34-473F-AA44-221579CAD155}"/>
    <cellStyle name="40% - Accent4 3 4 2 4" xfId="20214" xr:uid="{C085F8B0-1603-470D-B8D0-5233FD33EAC2}"/>
    <cellStyle name="40% - Accent4 3 4 3" xfId="5409" xr:uid="{00000000-0005-0000-0000-00000E060000}"/>
    <cellStyle name="40% - Accent4 3 4 3 2" xfId="13851" xr:uid="{744D8FCF-C729-4227-9FD8-8BB4A78CEDD3}"/>
    <cellStyle name="40% - Accent4 3 4 3 3" xfId="22286" xr:uid="{180AC748-DFA0-45B0-80EA-08090C5D799C}"/>
    <cellStyle name="40% - Accent4 3 4 4" xfId="9633" xr:uid="{7D682958-6454-46C8-803A-56204EA85D78}"/>
    <cellStyle name="40% - Accent4 3 4 5" xfId="18069" xr:uid="{D3A98700-B353-4378-AAB4-98D1CDF2D823}"/>
    <cellStyle name="40% - Accent4 3 5" xfId="1514" xr:uid="{00000000-0005-0000-0000-00000F060000}"/>
    <cellStyle name="40% - Accent4 3 5 2" xfId="3744" xr:uid="{00000000-0005-0000-0000-000010060000}"/>
    <cellStyle name="40% - Accent4 3 5 2 2" xfId="7967" xr:uid="{00000000-0005-0000-0000-000011060000}"/>
    <cellStyle name="40% - Accent4 3 5 2 2 2" xfId="16409" xr:uid="{A79FCDE3-B3F3-496A-B7D8-2DD8E3D6DF6D}"/>
    <cellStyle name="40% - Accent4 3 5 2 2 3" xfId="24844" xr:uid="{70F257F3-D3E8-49A5-B37D-4E0DC0AD3E84}"/>
    <cellStyle name="40% - Accent4 3 5 2 3" xfId="12191" xr:uid="{FC39C1A5-C1FE-460E-9A58-18FA26F6027A}"/>
    <cellStyle name="40% - Accent4 3 5 2 4" xfId="20627" xr:uid="{F95E1FA8-7242-4962-8840-8B48876817DD}"/>
    <cellStyle name="40% - Accent4 3 5 3" xfId="5822" xr:uid="{00000000-0005-0000-0000-000012060000}"/>
    <cellStyle name="40% - Accent4 3 5 3 2" xfId="14264" xr:uid="{C9957E22-A8FA-46FD-ADC9-5E739AEED52D}"/>
    <cellStyle name="40% - Accent4 3 5 3 3" xfId="22699" xr:uid="{5519FC16-F8C6-4A1D-A83E-90F840A96411}"/>
    <cellStyle name="40% - Accent4 3 5 4" xfId="10046" xr:uid="{E511A971-0848-4926-BA28-5177849DAAB8}"/>
    <cellStyle name="40% - Accent4 3 5 5" xfId="18482" xr:uid="{9A051787-A8C4-4043-B098-3BE5247795F1}"/>
    <cellStyle name="40% - Accent4 3 6" xfId="1928" xr:uid="{00000000-0005-0000-0000-000013060000}"/>
    <cellStyle name="40% - Accent4 3 6 2" xfId="4157" xr:uid="{00000000-0005-0000-0000-000014060000}"/>
    <cellStyle name="40% - Accent4 3 6 2 2" xfId="8380" xr:uid="{00000000-0005-0000-0000-000015060000}"/>
    <cellStyle name="40% - Accent4 3 6 2 2 2" xfId="16822" xr:uid="{6B08F49C-467C-4839-8077-E59E7BECF9A2}"/>
    <cellStyle name="40% - Accent4 3 6 2 2 3" xfId="25257" xr:uid="{DD431867-EAEB-43CB-9626-7EA5EE15AAA2}"/>
    <cellStyle name="40% - Accent4 3 6 2 3" xfId="12604" xr:uid="{DA849E6D-6622-42A0-A346-CFA7424AB3F4}"/>
    <cellStyle name="40% - Accent4 3 6 2 4" xfId="21040" xr:uid="{10027A56-33E8-4A9D-8012-1F18A66F4245}"/>
    <cellStyle name="40% - Accent4 3 6 3" xfId="6235" xr:uid="{00000000-0005-0000-0000-000016060000}"/>
    <cellStyle name="40% - Accent4 3 6 3 2" xfId="14677" xr:uid="{C9E22BD2-4B55-42F1-9FF5-7539499C71AC}"/>
    <cellStyle name="40% - Accent4 3 6 3 3" xfId="23112" xr:uid="{140351E5-62B5-4A91-8DF1-77195C8FF6DD}"/>
    <cellStyle name="40% - Accent4 3 6 4" xfId="10459" xr:uid="{FE8D99C5-EA42-4859-BD7B-1467CA9C80F7}"/>
    <cellStyle name="40% - Accent4 3 6 5" xfId="18895" xr:uid="{C0A02591-5154-4476-8EFC-2697ED861A65}"/>
    <cellStyle name="40% - Accent4 3 7" xfId="2341" xr:uid="{00000000-0005-0000-0000-000017060000}"/>
    <cellStyle name="40% - Accent4 3 7 2" xfId="6648" xr:uid="{00000000-0005-0000-0000-000018060000}"/>
    <cellStyle name="40% - Accent4 3 7 2 2" xfId="15090" xr:uid="{2CCC3B4B-5391-46B2-97D4-3DDE9A736ACD}"/>
    <cellStyle name="40% - Accent4 3 7 2 3" xfId="23525" xr:uid="{4D59A23A-8D08-49EF-B1AB-AD7060953513}"/>
    <cellStyle name="40% - Accent4 3 7 3" xfId="10872" xr:uid="{EC4CD04F-E38E-4470-B202-58CD1CA0EA7E}"/>
    <cellStyle name="40% - Accent4 3 7 4" xfId="19308" xr:uid="{386AF92B-5155-4AD8-9AA5-CB64B8A44F45}"/>
    <cellStyle name="40% - Accent4 3 8" xfId="4582" xr:uid="{00000000-0005-0000-0000-000019060000}"/>
    <cellStyle name="40% - Accent4 3 8 2" xfId="13024" xr:uid="{9D49B7FD-4907-4758-996A-53E5093468CB}"/>
    <cellStyle name="40% - Accent4 3 8 3" xfId="21459" xr:uid="{DAE3EBBE-1A9D-4580-9ACB-F5719E3E48D9}"/>
    <cellStyle name="40% - Accent4 3 9" xfId="8806" xr:uid="{9781F665-9F88-4C4F-BE82-76D95D649758}"/>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2 2 2" xfId="15585" xr:uid="{29CDFA41-F9BD-4919-90BD-C2174608E59D}"/>
    <cellStyle name="40% - Accent4 4 2 2 2 3" xfId="24020" xr:uid="{7736F18B-3591-4EC2-99F9-7A1316B7F3F7}"/>
    <cellStyle name="40% - Accent4 4 2 2 3" xfId="11367" xr:uid="{268AAD87-CE14-4531-B790-E3AC7C2BCB9A}"/>
    <cellStyle name="40% - Accent4 4 2 2 4" xfId="19803" xr:uid="{73DFA177-D6DC-4DB7-85FB-7D6EFECB66F6}"/>
    <cellStyle name="40% - Accent4 4 2 3" xfId="4998" xr:uid="{00000000-0005-0000-0000-00001E060000}"/>
    <cellStyle name="40% - Accent4 4 2 3 2" xfId="13440" xr:uid="{789CCBF3-62FD-4909-9406-C657E4A7667F}"/>
    <cellStyle name="40% - Accent4 4 2 3 3" xfId="21875" xr:uid="{42BCE9D6-DE43-4C4D-ABA6-E6E0C2BFD192}"/>
    <cellStyle name="40% - Accent4 4 2 4" xfId="9222" xr:uid="{42B0D754-F8F1-45AD-A9DC-0730B8F879BA}"/>
    <cellStyle name="40% - Accent4 4 2 5" xfId="17658" xr:uid="{5D68D943-19A0-4102-960F-E38D75FCC633}"/>
    <cellStyle name="40% - Accent4 4 3" xfId="1102" xr:uid="{00000000-0005-0000-0000-00001F060000}"/>
    <cellStyle name="40% - Accent4 4 3 2" xfId="3333" xr:uid="{00000000-0005-0000-0000-000020060000}"/>
    <cellStyle name="40% - Accent4 4 3 2 2" xfId="7556" xr:uid="{00000000-0005-0000-0000-000021060000}"/>
    <cellStyle name="40% - Accent4 4 3 2 2 2" xfId="15998" xr:uid="{3250ED82-17EB-42E4-945C-23A9914219CF}"/>
    <cellStyle name="40% - Accent4 4 3 2 2 3" xfId="24433" xr:uid="{C65C7534-8701-4053-BE92-0618D302D660}"/>
    <cellStyle name="40% - Accent4 4 3 2 3" xfId="11780" xr:uid="{0EF89709-9256-4D52-B326-BF6D192984FB}"/>
    <cellStyle name="40% - Accent4 4 3 2 4" xfId="20216" xr:uid="{6F159176-3302-45CF-AA72-86A6F3A50727}"/>
    <cellStyle name="40% - Accent4 4 3 3" xfId="5411" xr:uid="{00000000-0005-0000-0000-000022060000}"/>
    <cellStyle name="40% - Accent4 4 3 3 2" xfId="13853" xr:uid="{CAAEBBDD-FDF8-4A6E-AAD7-A8740A6CE29D}"/>
    <cellStyle name="40% - Accent4 4 3 3 3" xfId="22288" xr:uid="{3F342C26-49CA-49B5-983B-968497C29B1E}"/>
    <cellStyle name="40% - Accent4 4 3 4" xfId="9635" xr:uid="{DA2C54D0-CF17-4F0F-8B90-0186A4F27E95}"/>
    <cellStyle name="40% - Accent4 4 3 5" xfId="18071" xr:uid="{708FDC59-1708-4D47-8C51-CD2C82E7B0A0}"/>
    <cellStyle name="40% - Accent4 4 4" xfId="1516" xr:uid="{00000000-0005-0000-0000-000023060000}"/>
    <cellStyle name="40% - Accent4 4 4 2" xfId="3746" xr:uid="{00000000-0005-0000-0000-000024060000}"/>
    <cellStyle name="40% - Accent4 4 4 2 2" xfId="7969" xr:uid="{00000000-0005-0000-0000-000025060000}"/>
    <cellStyle name="40% - Accent4 4 4 2 2 2" xfId="16411" xr:uid="{576A61A6-7D10-4114-9586-F90E8A8F826D}"/>
    <cellStyle name="40% - Accent4 4 4 2 2 3" xfId="24846" xr:uid="{80302BB7-D65D-4A2E-BF1E-ABF881454EEA}"/>
    <cellStyle name="40% - Accent4 4 4 2 3" xfId="12193" xr:uid="{75463EF9-42EF-4D66-9A5D-4A6B9778E9DE}"/>
    <cellStyle name="40% - Accent4 4 4 2 4" xfId="20629" xr:uid="{F9C3726E-C945-451A-9E1C-AD555B4B7750}"/>
    <cellStyle name="40% - Accent4 4 4 3" xfId="5824" xr:uid="{00000000-0005-0000-0000-000026060000}"/>
    <cellStyle name="40% - Accent4 4 4 3 2" xfId="14266" xr:uid="{9A2598E9-18D0-4C3F-B953-F6B48DFE503A}"/>
    <cellStyle name="40% - Accent4 4 4 3 3" xfId="22701" xr:uid="{83AD51FE-AB3C-471D-B9F7-7090CAD49323}"/>
    <cellStyle name="40% - Accent4 4 4 4" xfId="10048" xr:uid="{AB304ADB-0FC0-42C9-94D3-9D852A0B3004}"/>
    <cellStyle name="40% - Accent4 4 4 5" xfId="18484" xr:uid="{062F5140-88B8-4C3B-BC42-308F81AADCF5}"/>
    <cellStyle name="40% - Accent4 4 5" xfId="1930" xr:uid="{00000000-0005-0000-0000-000027060000}"/>
    <cellStyle name="40% - Accent4 4 5 2" xfId="4159" xr:uid="{00000000-0005-0000-0000-000028060000}"/>
    <cellStyle name="40% - Accent4 4 5 2 2" xfId="8382" xr:uid="{00000000-0005-0000-0000-000029060000}"/>
    <cellStyle name="40% - Accent4 4 5 2 2 2" xfId="16824" xr:uid="{A42CE387-6BA7-4AB6-ADEF-4EDD4C992C9B}"/>
    <cellStyle name="40% - Accent4 4 5 2 2 3" xfId="25259" xr:uid="{D8C08ADA-4A3B-408F-9D03-B0FC68516265}"/>
    <cellStyle name="40% - Accent4 4 5 2 3" xfId="12606" xr:uid="{81CE4785-4DFF-430A-B140-04D4E5AE59FF}"/>
    <cellStyle name="40% - Accent4 4 5 2 4" xfId="21042" xr:uid="{ED5D701D-D7DE-47F4-996C-971EBD415E99}"/>
    <cellStyle name="40% - Accent4 4 5 3" xfId="6237" xr:uid="{00000000-0005-0000-0000-00002A060000}"/>
    <cellStyle name="40% - Accent4 4 5 3 2" xfId="14679" xr:uid="{9D70ED08-D867-4598-B34B-790495EC1B4C}"/>
    <cellStyle name="40% - Accent4 4 5 3 3" xfId="23114" xr:uid="{8765EFD2-5354-44B1-947D-0D094BDCDCB6}"/>
    <cellStyle name="40% - Accent4 4 5 4" xfId="10461" xr:uid="{EABE050F-B864-43D2-8D3B-3064A6266A91}"/>
    <cellStyle name="40% - Accent4 4 5 5" xfId="18897" xr:uid="{90BF927A-39E4-4D70-A4F0-333D847C6134}"/>
    <cellStyle name="40% - Accent4 4 6" xfId="2343" xr:uid="{00000000-0005-0000-0000-00002B060000}"/>
    <cellStyle name="40% - Accent4 4 6 2" xfId="6650" xr:uid="{00000000-0005-0000-0000-00002C060000}"/>
    <cellStyle name="40% - Accent4 4 6 2 2" xfId="15092" xr:uid="{FF8AF819-8908-48C6-9E86-1327EBF300C7}"/>
    <cellStyle name="40% - Accent4 4 6 2 3" xfId="23527" xr:uid="{CE736C9A-136A-430E-AFEF-538B048D4141}"/>
    <cellStyle name="40% - Accent4 4 6 3" xfId="10874" xr:uid="{46888D0E-A4D2-4094-A5E2-2997D1DC19D2}"/>
    <cellStyle name="40% - Accent4 4 6 4" xfId="19310" xr:uid="{34DF89C5-5CA2-4AA7-AEBA-4657EC4B294B}"/>
    <cellStyle name="40% - Accent4 4 7" xfId="4584" xr:uid="{00000000-0005-0000-0000-00002D060000}"/>
    <cellStyle name="40% - Accent4 4 7 2" xfId="13026" xr:uid="{07EA4780-9F24-44F8-B5ED-7B05A5DCB459}"/>
    <cellStyle name="40% - Accent4 4 7 3" xfId="21461" xr:uid="{43276DCA-1EE3-474E-AC97-E0E4F82D8BFC}"/>
    <cellStyle name="40% - Accent4 4 8" xfId="8808" xr:uid="{C5E3FE66-377C-4EBA-86C4-531AAC4DFF19}"/>
    <cellStyle name="40% - Accent4 4 9" xfId="17244" xr:uid="{BB80D6AB-FD35-4761-9EEC-A2C9B8C31741}"/>
    <cellStyle name="40% - Accent4 5" xfId="642" xr:uid="{00000000-0005-0000-0000-00002E060000}"/>
    <cellStyle name="40% - Accent4 5 2" xfId="2913" xr:uid="{00000000-0005-0000-0000-00002F060000}"/>
    <cellStyle name="40% - Accent4 5 2 2" xfId="7136" xr:uid="{00000000-0005-0000-0000-000030060000}"/>
    <cellStyle name="40% - Accent4 5 2 2 2" xfId="15578" xr:uid="{1F010E91-831F-4D85-94C9-EEDA558C8458}"/>
    <cellStyle name="40% - Accent4 5 2 2 3" xfId="24013" xr:uid="{A79CE12D-F53B-447A-A5EA-86C070CE250C}"/>
    <cellStyle name="40% - Accent4 5 2 3" xfId="11360" xr:uid="{62AE3267-94E2-42B1-AEAC-89E1C4E3DE36}"/>
    <cellStyle name="40% - Accent4 5 2 4" xfId="19796" xr:uid="{F826B79B-160C-4764-AC1F-381F327A0E47}"/>
    <cellStyle name="40% - Accent4 5 3" xfId="4991" xr:uid="{00000000-0005-0000-0000-000031060000}"/>
    <cellStyle name="40% - Accent4 5 3 2" xfId="13433" xr:uid="{E4311BA4-DEBA-4499-ADEE-77CC2A37DF96}"/>
    <cellStyle name="40% - Accent4 5 3 3" xfId="21868" xr:uid="{8BA8422D-229E-4BA0-AF9E-12C8B94F2B66}"/>
    <cellStyle name="40% - Accent4 5 4" xfId="9215" xr:uid="{650456D3-E23C-4324-BF62-2AA7145BE2E7}"/>
    <cellStyle name="40% - Accent4 5 5" xfId="17651" xr:uid="{D642B010-7BD8-4F8B-B10E-9421F213796C}"/>
    <cellStyle name="40% - Accent4 6" xfId="1095" xr:uid="{00000000-0005-0000-0000-000032060000}"/>
    <cellStyle name="40% - Accent4 6 2" xfId="3326" xr:uid="{00000000-0005-0000-0000-000033060000}"/>
    <cellStyle name="40% - Accent4 6 2 2" xfId="7549" xr:uid="{00000000-0005-0000-0000-000034060000}"/>
    <cellStyle name="40% - Accent4 6 2 2 2" xfId="15991" xr:uid="{5225E167-D1CE-4031-9867-F799E557FE97}"/>
    <cellStyle name="40% - Accent4 6 2 2 3" xfId="24426" xr:uid="{D696A93E-364A-439C-8FCE-3383AF86C717}"/>
    <cellStyle name="40% - Accent4 6 2 3" xfId="11773" xr:uid="{7856BCA3-480A-42AA-9EF9-C515AB470037}"/>
    <cellStyle name="40% - Accent4 6 2 4" xfId="20209" xr:uid="{8D29746A-99E9-47C7-AFF6-2E585CB25B10}"/>
    <cellStyle name="40% - Accent4 6 3" xfId="5404" xr:uid="{00000000-0005-0000-0000-000035060000}"/>
    <cellStyle name="40% - Accent4 6 3 2" xfId="13846" xr:uid="{7AAA84CD-971A-4D33-805A-57922A2B745D}"/>
    <cellStyle name="40% - Accent4 6 3 3" xfId="22281" xr:uid="{B76AD349-000E-4170-82D4-F5D4EDFE75ED}"/>
    <cellStyle name="40% - Accent4 6 4" xfId="9628" xr:uid="{E5E13A86-4362-4C5E-8933-07B65BDAD078}"/>
    <cellStyle name="40% - Accent4 6 5" xfId="18064" xr:uid="{4FE85B42-2C50-4650-8D19-BB2806B2395A}"/>
    <cellStyle name="40% - Accent4 7" xfId="1509" xr:uid="{00000000-0005-0000-0000-000036060000}"/>
    <cellStyle name="40% - Accent4 7 2" xfId="3739" xr:uid="{00000000-0005-0000-0000-000037060000}"/>
    <cellStyle name="40% - Accent4 7 2 2" xfId="7962" xr:uid="{00000000-0005-0000-0000-000038060000}"/>
    <cellStyle name="40% - Accent4 7 2 2 2" xfId="16404" xr:uid="{C376152C-B47B-457F-9D32-987D9DA988AF}"/>
    <cellStyle name="40% - Accent4 7 2 2 3" xfId="24839" xr:uid="{1271E2B9-AC41-4789-A6F0-3019AB46F0D4}"/>
    <cellStyle name="40% - Accent4 7 2 3" xfId="12186" xr:uid="{D7C3A625-D6C7-49D0-8DAF-689A0B33753A}"/>
    <cellStyle name="40% - Accent4 7 2 4" xfId="20622" xr:uid="{AF1CACBE-D9BD-4D21-B13B-C809816A62CA}"/>
    <cellStyle name="40% - Accent4 7 3" xfId="5817" xr:uid="{00000000-0005-0000-0000-000039060000}"/>
    <cellStyle name="40% - Accent4 7 3 2" xfId="14259" xr:uid="{FBFB65E1-6793-4921-BBB2-23BFBE4FDCED}"/>
    <cellStyle name="40% - Accent4 7 3 3" xfId="22694" xr:uid="{F988F1C5-791F-422F-8186-F1848562314F}"/>
    <cellStyle name="40% - Accent4 7 4" xfId="10041" xr:uid="{99FDE7EE-A227-43E3-92F7-5FC2B1F1348A}"/>
    <cellStyle name="40% - Accent4 7 5" xfId="18477" xr:uid="{C6D20A2F-215A-4ED0-A734-6E0D3DE3E66F}"/>
    <cellStyle name="40% - Accent4 8" xfId="1923" xr:uid="{00000000-0005-0000-0000-00003A060000}"/>
    <cellStyle name="40% - Accent4 8 2" xfId="4152" xr:uid="{00000000-0005-0000-0000-00003B060000}"/>
    <cellStyle name="40% - Accent4 8 2 2" xfId="8375" xr:uid="{00000000-0005-0000-0000-00003C060000}"/>
    <cellStyle name="40% - Accent4 8 2 2 2" xfId="16817" xr:uid="{492CFACD-3E9A-4425-AF2A-C599A9C144D3}"/>
    <cellStyle name="40% - Accent4 8 2 2 3" xfId="25252" xr:uid="{078B16EF-57D9-4990-9A64-F5B48D7AB680}"/>
    <cellStyle name="40% - Accent4 8 2 3" xfId="12599" xr:uid="{342884EF-9962-4189-9DF3-EC0BF5DED162}"/>
    <cellStyle name="40% - Accent4 8 2 4" xfId="21035" xr:uid="{C043EB4D-4C61-4671-AD8A-76601F680AAB}"/>
    <cellStyle name="40% - Accent4 8 3" xfId="6230" xr:uid="{00000000-0005-0000-0000-00003D060000}"/>
    <cellStyle name="40% - Accent4 8 3 2" xfId="14672" xr:uid="{95111FC9-17F4-4B9D-92A8-0DD4E0A40450}"/>
    <cellStyle name="40% - Accent4 8 3 3" xfId="23107" xr:uid="{9BFC87C8-DBF7-4723-A59A-E132D7407D2E}"/>
    <cellStyle name="40% - Accent4 8 4" xfId="10454" xr:uid="{81EB338E-0EF0-4D2F-A9BA-C02422D2ED39}"/>
    <cellStyle name="40% - Accent4 8 5" xfId="18890" xr:uid="{15135C83-EE08-46C0-BE36-6AED3962F76D}"/>
    <cellStyle name="40% - Accent4 9" xfId="2336" xr:uid="{00000000-0005-0000-0000-00003E060000}"/>
    <cellStyle name="40% - Accent4 9 2" xfId="6643" xr:uid="{00000000-0005-0000-0000-00003F060000}"/>
    <cellStyle name="40% - Accent4 9 2 2" xfId="15085" xr:uid="{0D85D197-C255-4543-8327-25C3CA79F0F9}"/>
    <cellStyle name="40% - Accent4 9 2 3" xfId="23520" xr:uid="{F00F6E20-E5EE-486A-B036-FB12D9AA9271}"/>
    <cellStyle name="40% - Accent4 9 3" xfId="10867" xr:uid="{5191F57B-DCF9-4163-947A-0114666CEA9E}"/>
    <cellStyle name="40% - Accent4 9 4" xfId="19303" xr:uid="{75A740F0-8271-4CBB-BCA2-7EEE75C8FAD5}"/>
    <cellStyle name="40% - Accent5" xfId="81" builtinId="47" customBuiltin="1"/>
    <cellStyle name="40% - Accent5 10" xfId="4585" xr:uid="{00000000-0005-0000-0000-000041060000}"/>
    <cellStyle name="40% - Accent5 10 2" xfId="13027" xr:uid="{E85BA783-7581-4F13-B2C6-1A351AC84DF0}"/>
    <cellStyle name="40% - Accent5 10 3" xfId="21462" xr:uid="{A4E1FA55-F51E-4624-BA04-3B8EF8DE8F89}"/>
    <cellStyle name="40% - Accent5 11" xfId="8809" xr:uid="{9B903348-D59F-4730-992D-87FBB92B7354}"/>
    <cellStyle name="40% - Accent5 12" xfId="17245" xr:uid="{119C382C-BE70-4417-B679-8A1952CBB2DC}"/>
    <cellStyle name="40% - Accent5 2" xfId="82" xr:uid="{00000000-0005-0000-0000-000042060000}"/>
    <cellStyle name="40% - Accent5 2 10" xfId="8810" xr:uid="{B516EB83-4C86-411C-B299-B4FB9463DA8D}"/>
    <cellStyle name="40% - Accent5 2 11" xfId="17246" xr:uid="{65722C5E-C702-4C12-B065-A826441E15BF}"/>
    <cellStyle name="40% - Accent5 2 2" xfId="83" xr:uid="{00000000-0005-0000-0000-000043060000}"/>
    <cellStyle name="40% - Accent5 2 2 10" xfId="17247" xr:uid="{C2898D5D-62E2-479C-AE2B-A8C388E21CB1}"/>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2 2 2" xfId="15589" xr:uid="{937465B7-6550-4527-AC72-C6DAF21DA409}"/>
    <cellStyle name="40% - Accent5 2 2 2 2 2 2 3" xfId="24024" xr:uid="{20EC84BF-3355-4244-9386-57D98ED18D8A}"/>
    <cellStyle name="40% - Accent5 2 2 2 2 2 3" xfId="11371" xr:uid="{BCB11E52-E747-4D26-A1E5-0A061B37076A}"/>
    <cellStyle name="40% - Accent5 2 2 2 2 2 4" xfId="19807" xr:uid="{390F1DD6-8B31-4CF2-AF01-2316B1CEBFC5}"/>
    <cellStyle name="40% - Accent5 2 2 2 2 3" xfId="5002" xr:uid="{00000000-0005-0000-0000-000048060000}"/>
    <cellStyle name="40% - Accent5 2 2 2 2 3 2" xfId="13444" xr:uid="{B7C11FB7-890E-42CE-A311-F1A23A0EC923}"/>
    <cellStyle name="40% - Accent5 2 2 2 2 3 3" xfId="21879" xr:uid="{B0488FA8-E93C-4059-9842-83A0E2E30728}"/>
    <cellStyle name="40% - Accent5 2 2 2 2 4" xfId="9226" xr:uid="{99BE7D50-5481-4A37-97CF-8F4694FA62EE}"/>
    <cellStyle name="40% - Accent5 2 2 2 2 5" xfId="17662" xr:uid="{92E13FB2-D93A-4B46-885E-B13BB232FD2C}"/>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2 2 2" xfId="16002" xr:uid="{C5B1C02F-B744-4805-AD9F-30D491EB37F2}"/>
    <cellStyle name="40% - Accent5 2 2 2 3 2 2 3" xfId="24437" xr:uid="{1A2FD55D-7127-4DBE-8821-69C2BEA777C6}"/>
    <cellStyle name="40% - Accent5 2 2 2 3 2 3" xfId="11784" xr:uid="{010FDCF7-D94E-471C-B06F-BF30D6DCB95A}"/>
    <cellStyle name="40% - Accent5 2 2 2 3 2 4" xfId="20220" xr:uid="{35B06530-6479-468A-9D97-833FE41A892F}"/>
    <cellStyle name="40% - Accent5 2 2 2 3 3" xfId="5415" xr:uid="{00000000-0005-0000-0000-00004C060000}"/>
    <cellStyle name="40% - Accent5 2 2 2 3 3 2" xfId="13857" xr:uid="{270BD8EE-830B-42FA-8793-A75C2ED175D2}"/>
    <cellStyle name="40% - Accent5 2 2 2 3 3 3" xfId="22292" xr:uid="{8C5874D7-1FE4-4FBD-AF0C-93B21CCA3C9E}"/>
    <cellStyle name="40% - Accent5 2 2 2 3 4" xfId="9639" xr:uid="{02A4C87C-700D-4667-A93D-4D2C4C3C25E5}"/>
    <cellStyle name="40% - Accent5 2 2 2 3 5" xfId="18075" xr:uid="{7F277D7A-1098-4C12-BD5E-A31E0E04514E}"/>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2 2 2" xfId="16415" xr:uid="{64832E31-345E-4EC7-8338-2F6C4C47E725}"/>
    <cellStyle name="40% - Accent5 2 2 2 4 2 2 3" xfId="24850" xr:uid="{53D0FA69-D1C4-4F33-ADA4-C69CA0374393}"/>
    <cellStyle name="40% - Accent5 2 2 2 4 2 3" xfId="12197" xr:uid="{9EDDBEE1-D804-4674-8FC2-748F25FD1935}"/>
    <cellStyle name="40% - Accent5 2 2 2 4 2 4" xfId="20633" xr:uid="{288B4631-65F2-48CE-A062-B835EB4828AD}"/>
    <cellStyle name="40% - Accent5 2 2 2 4 3" xfId="5828" xr:uid="{00000000-0005-0000-0000-000050060000}"/>
    <cellStyle name="40% - Accent5 2 2 2 4 3 2" xfId="14270" xr:uid="{7CBD2E05-25FE-406E-974A-3AE4E3C37DFD}"/>
    <cellStyle name="40% - Accent5 2 2 2 4 3 3" xfId="22705" xr:uid="{D2F9E2DA-F7BE-450C-87B7-F0308FA9D615}"/>
    <cellStyle name="40% - Accent5 2 2 2 4 4" xfId="10052" xr:uid="{D36E0095-F3E2-423D-958F-0D84E2324D84}"/>
    <cellStyle name="40% - Accent5 2 2 2 4 5" xfId="18488" xr:uid="{D40035A2-1E84-4C0A-A912-26BEEC1D2D1B}"/>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2 2 2" xfId="16828" xr:uid="{651DD314-1ABE-4F06-B38A-DE02AEA70AD7}"/>
    <cellStyle name="40% - Accent5 2 2 2 5 2 2 3" xfId="25263" xr:uid="{57F0CA0F-E297-4FCF-93B7-22CA764CB482}"/>
    <cellStyle name="40% - Accent5 2 2 2 5 2 3" xfId="12610" xr:uid="{D2BED4ED-13FB-458F-B0EE-B299D38B94AE}"/>
    <cellStyle name="40% - Accent5 2 2 2 5 2 4" xfId="21046" xr:uid="{B8ADFFCC-F65F-4136-A473-FF8206ECDE01}"/>
    <cellStyle name="40% - Accent5 2 2 2 5 3" xfId="6241" xr:uid="{00000000-0005-0000-0000-000054060000}"/>
    <cellStyle name="40% - Accent5 2 2 2 5 3 2" xfId="14683" xr:uid="{822ADEE6-8751-4FC9-A245-27C0CED38532}"/>
    <cellStyle name="40% - Accent5 2 2 2 5 3 3" xfId="23118" xr:uid="{82F12A4F-D599-4C2E-8950-CAEF4647B2BB}"/>
    <cellStyle name="40% - Accent5 2 2 2 5 4" xfId="10465" xr:uid="{3FA05242-EC90-4B42-ABEB-BAC91514C5D3}"/>
    <cellStyle name="40% - Accent5 2 2 2 5 5" xfId="18901" xr:uid="{E94F9924-A265-48D8-981E-DED46C610E30}"/>
    <cellStyle name="40% - Accent5 2 2 2 6" xfId="2347" xr:uid="{00000000-0005-0000-0000-000055060000}"/>
    <cellStyle name="40% - Accent5 2 2 2 6 2" xfId="6654" xr:uid="{00000000-0005-0000-0000-000056060000}"/>
    <cellStyle name="40% - Accent5 2 2 2 6 2 2" xfId="15096" xr:uid="{87CEF00E-ED40-4A75-AFAC-920C4112DBA4}"/>
    <cellStyle name="40% - Accent5 2 2 2 6 2 3" xfId="23531" xr:uid="{6330B589-A03C-4898-8BF2-829C164F5769}"/>
    <cellStyle name="40% - Accent5 2 2 2 6 3" xfId="10878" xr:uid="{7FEE39A0-C54E-4271-AD5E-24C211BB2AED}"/>
    <cellStyle name="40% - Accent5 2 2 2 6 4" xfId="19314" xr:uid="{0CD36A9B-7AF4-4570-95A9-ECAE76529738}"/>
    <cellStyle name="40% - Accent5 2 2 2 7" xfId="4588" xr:uid="{00000000-0005-0000-0000-000057060000}"/>
    <cellStyle name="40% - Accent5 2 2 2 7 2" xfId="13030" xr:uid="{E20D9DFF-EC0C-4CF4-BCC6-5ECD102CA1E6}"/>
    <cellStyle name="40% - Accent5 2 2 2 7 3" xfId="21465" xr:uid="{977F787D-0B96-4043-BEE9-7D29E1CD88B8}"/>
    <cellStyle name="40% - Accent5 2 2 2 8" xfId="8812" xr:uid="{F5B2D14C-551E-4658-9C17-4BE6D458BFD2}"/>
    <cellStyle name="40% - Accent5 2 2 2 9" xfId="17248" xr:uid="{C774A310-3097-47C9-8B99-E25C90759176}"/>
    <cellStyle name="40% - Accent5 2 2 3" xfId="652" xr:uid="{00000000-0005-0000-0000-000058060000}"/>
    <cellStyle name="40% - Accent5 2 2 3 2" xfId="2923" xr:uid="{00000000-0005-0000-0000-000059060000}"/>
    <cellStyle name="40% - Accent5 2 2 3 2 2" xfId="7146" xr:uid="{00000000-0005-0000-0000-00005A060000}"/>
    <cellStyle name="40% - Accent5 2 2 3 2 2 2" xfId="15588" xr:uid="{D060FC35-0510-43FE-AC35-0759237B0FC4}"/>
    <cellStyle name="40% - Accent5 2 2 3 2 2 3" xfId="24023" xr:uid="{00EB8ED4-6A7A-476F-B984-A3951F0C8CAA}"/>
    <cellStyle name="40% - Accent5 2 2 3 2 3" xfId="11370" xr:uid="{85AC1960-7418-49F0-B798-E2D8D18D3FEF}"/>
    <cellStyle name="40% - Accent5 2 2 3 2 4" xfId="19806" xr:uid="{391DC0FA-0C6C-484A-AADF-EE0C92EF53DA}"/>
    <cellStyle name="40% - Accent5 2 2 3 3" xfId="5001" xr:uid="{00000000-0005-0000-0000-00005B060000}"/>
    <cellStyle name="40% - Accent5 2 2 3 3 2" xfId="13443" xr:uid="{758A084C-3205-48B1-930E-3F887D90F895}"/>
    <cellStyle name="40% - Accent5 2 2 3 3 3" xfId="21878" xr:uid="{5318A06B-3071-43A9-B94E-108F1A734380}"/>
    <cellStyle name="40% - Accent5 2 2 3 4" xfId="9225" xr:uid="{0D266950-9B22-4BB4-BBC4-4D61053F75E6}"/>
    <cellStyle name="40% - Accent5 2 2 3 5" xfId="17661" xr:uid="{5465A0A5-AF6E-4856-B353-A21E2A2D2E71}"/>
    <cellStyle name="40% - Accent5 2 2 4" xfId="1105" xr:uid="{00000000-0005-0000-0000-00005C060000}"/>
    <cellStyle name="40% - Accent5 2 2 4 2" xfId="3336" xr:uid="{00000000-0005-0000-0000-00005D060000}"/>
    <cellStyle name="40% - Accent5 2 2 4 2 2" xfId="7559" xr:uid="{00000000-0005-0000-0000-00005E060000}"/>
    <cellStyle name="40% - Accent5 2 2 4 2 2 2" xfId="16001" xr:uid="{FCD1F9D5-FA2A-4806-B69B-E52EE6AB7450}"/>
    <cellStyle name="40% - Accent5 2 2 4 2 2 3" xfId="24436" xr:uid="{BD18EA96-088E-4895-AC0B-E8AD64D1AE14}"/>
    <cellStyle name="40% - Accent5 2 2 4 2 3" xfId="11783" xr:uid="{C5B10C7E-BD66-4169-B3DE-B60DDBFFF6C0}"/>
    <cellStyle name="40% - Accent5 2 2 4 2 4" xfId="20219" xr:uid="{935744CE-9953-4201-AB7F-D431388B5056}"/>
    <cellStyle name="40% - Accent5 2 2 4 3" xfId="5414" xr:uid="{00000000-0005-0000-0000-00005F060000}"/>
    <cellStyle name="40% - Accent5 2 2 4 3 2" xfId="13856" xr:uid="{7F463857-7851-41EF-969F-D5B81BB6FFDC}"/>
    <cellStyle name="40% - Accent5 2 2 4 3 3" xfId="22291" xr:uid="{D9652AC0-1956-47C0-B859-022236694B5E}"/>
    <cellStyle name="40% - Accent5 2 2 4 4" xfId="9638" xr:uid="{8FFF73C5-7A90-4D68-9EF5-E747491D79F0}"/>
    <cellStyle name="40% - Accent5 2 2 4 5" xfId="18074" xr:uid="{EC4C9712-7347-4918-A754-132493594BB3}"/>
    <cellStyle name="40% - Accent5 2 2 5" xfId="1519" xr:uid="{00000000-0005-0000-0000-000060060000}"/>
    <cellStyle name="40% - Accent5 2 2 5 2" xfId="3749" xr:uid="{00000000-0005-0000-0000-000061060000}"/>
    <cellStyle name="40% - Accent5 2 2 5 2 2" xfId="7972" xr:uid="{00000000-0005-0000-0000-000062060000}"/>
    <cellStyle name="40% - Accent5 2 2 5 2 2 2" xfId="16414" xr:uid="{C90D09E3-3A90-4A4C-A7D3-E4DE3400DF14}"/>
    <cellStyle name="40% - Accent5 2 2 5 2 2 3" xfId="24849" xr:uid="{D48CB8F8-334F-4B0E-8A91-9141981EC2DE}"/>
    <cellStyle name="40% - Accent5 2 2 5 2 3" xfId="12196" xr:uid="{E877E191-1152-47E6-A572-30046D8F764C}"/>
    <cellStyle name="40% - Accent5 2 2 5 2 4" xfId="20632" xr:uid="{42E1A051-785B-4021-BEAB-B6ED5FDF8934}"/>
    <cellStyle name="40% - Accent5 2 2 5 3" xfId="5827" xr:uid="{00000000-0005-0000-0000-000063060000}"/>
    <cellStyle name="40% - Accent5 2 2 5 3 2" xfId="14269" xr:uid="{2F1D3919-5784-489F-9B76-9C876EA08AE4}"/>
    <cellStyle name="40% - Accent5 2 2 5 3 3" xfId="22704" xr:uid="{D0469371-A41A-4EB6-85D4-2FBACE3DCD67}"/>
    <cellStyle name="40% - Accent5 2 2 5 4" xfId="10051" xr:uid="{598BCBE1-C8ED-4A32-A391-6737B10986BE}"/>
    <cellStyle name="40% - Accent5 2 2 5 5" xfId="18487" xr:uid="{1A6069EE-C87C-4FFC-B183-7A8D886DBCC1}"/>
    <cellStyle name="40% - Accent5 2 2 6" xfId="1933" xr:uid="{00000000-0005-0000-0000-000064060000}"/>
    <cellStyle name="40% - Accent5 2 2 6 2" xfId="4162" xr:uid="{00000000-0005-0000-0000-000065060000}"/>
    <cellStyle name="40% - Accent5 2 2 6 2 2" xfId="8385" xr:uid="{00000000-0005-0000-0000-000066060000}"/>
    <cellStyle name="40% - Accent5 2 2 6 2 2 2" xfId="16827" xr:uid="{72E7DFB8-DFD2-492A-8325-4FE78AB6113F}"/>
    <cellStyle name="40% - Accent5 2 2 6 2 2 3" xfId="25262" xr:uid="{A0C5EA2A-5217-4753-B3E5-07F592B58E45}"/>
    <cellStyle name="40% - Accent5 2 2 6 2 3" xfId="12609" xr:uid="{685B10C3-F34B-468D-8822-BC968F46340F}"/>
    <cellStyle name="40% - Accent5 2 2 6 2 4" xfId="21045" xr:uid="{D3738CAB-E974-422A-A97E-578F41172D6E}"/>
    <cellStyle name="40% - Accent5 2 2 6 3" xfId="6240" xr:uid="{00000000-0005-0000-0000-000067060000}"/>
    <cellStyle name="40% - Accent5 2 2 6 3 2" xfId="14682" xr:uid="{0B127EAB-5B1C-43F1-A80C-EC0F27B35C86}"/>
    <cellStyle name="40% - Accent5 2 2 6 3 3" xfId="23117" xr:uid="{F2497113-D272-4738-8E11-97FD058391A5}"/>
    <cellStyle name="40% - Accent5 2 2 6 4" xfId="10464" xr:uid="{BE373ED9-86ED-436A-834B-845B50A3DA7E}"/>
    <cellStyle name="40% - Accent5 2 2 6 5" xfId="18900" xr:uid="{FF68D365-FAF4-4646-A176-246B1C373813}"/>
    <cellStyle name="40% - Accent5 2 2 7" xfId="2346" xr:uid="{00000000-0005-0000-0000-000068060000}"/>
    <cellStyle name="40% - Accent5 2 2 7 2" xfId="6653" xr:uid="{00000000-0005-0000-0000-000069060000}"/>
    <cellStyle name="40% - Accent5 2 2 7 2 2" xfId="15095" xr:uid="{FEA6DCC4-8D08-4260-A823-4D8B6AA94366}"/>
    <cellStyle name="40% - Accent5 2 2 7 2 3" xfId="23530" xr:uid="{6235800B-C03A-4429-92A0-0FA6459ABE07}"/>
    <cellStyle name="40% - Accent5 2 2 7 3" xfId="10877" xr:uid="{7E1CDB04-F423-4AA2-8AF0-BEFA3BE1A0DA}"/>
    <cellStyle name="40% - Accent5 2 2 7 4" xfId="19313" xr:uid="{751B3116-F096-460F-B909-AFB5B7BB640E}"/>
    <cellStyle name="40% - Accent5 2 2 8" xfId="4587" xr:uid="{00000000-0005-0000-0000-00006A060000}"/>
    <cellStyle name="40% - Accent5 2 2 8 2" xfId="13029" xr:uid="{BC1DD92F-9547-419B-BD43-6CA370095D68}"/>
    <cellStyle name="40% - Accent5 2 2 8 3" xfId="21464" xr:uid="{FEFDA914-F813-466D-9E0D-D1CD82F8C7BB}"/>
    <cellStyle name="40% - Accent5 2 2 9" xfId="8811" xr:uid="{0AE45AFD-CEB1-48F4-99CF-E1B7251DE024}"/>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2 2 2" xfId="15590" xr:uid="{08A65CD9-5081-47FF-9288-479ED3DD4D9C}"/>
    <cellStyle name="40% - Accent5 2 3 2 2 2 3" xfId="24025" xr:uid="{3B0D469F-FE52-4B84-B10D-EDE339B9444E}"/>
    <cellStyle name="40% - Accent5 2 3 2 2 3" xfId="11372" xr:uid="{EAF7360F-16AB-42E2-B668-E54C37FE3CBB}"/>
    <cellStyle name="40% - Accent5 2 3 2 2 4" xfId="19808" xr:uid="{AC2E307F-1585-4D0E-999C-3CFBBB56341C}"/>
    <cellStyle name="40% - Accent5 2 3 2 3" xfId="5003" xr:uid="{00000000-0005-0000-0000-00006F060000}"/>
    <cellStyle name="40% - Accent5 2 3 2 3 2" xfId="13445" xr:uid="{D49C211A-3A4F-4FEC-A260-BCFFCBC7AB4A}"/>
    <cellStyle name="40% - Accent5 2 3 2 3 3" xfId="21880" xr:uid="{566179EB-AB07-4DDD-8879-C25413649ECE}"/>
    <cellStyle name="40% - Accent5 2 3 2 4" xfId="9227" xr:uid="{E98D4D3E-0888-4DA3-A414-D0AB49FF0ADF}"/>
    <cellStyle name="40% - Accent5 2 3 2 5" xfId="17663" xr:uid="{1A4AF4E1-D1A9-4503-A03E-01F8E66DB2A0}"/>
    <cellStyle name="40% - Accent5 2 3 3" xfId="1107" xr:uid="{00000000-0005-0000-0000-000070060000}"/>
    <cellStyle name="40% - Accent5 2 3 3 2" xfId="3338" xr:uid="{00000000-0005-0000-0000-000071060000}"/>
    <cellStyle name="40% - Accent5 2 3 3 2 2" xfId="7561" xr:uid="{00000000-0005-0000-0000-000072060000}"/>
    <cellStyle name="40% - Accent5 2 3 3 2 2 2" xfId="16003" xr:uid="{23CFA324-60C9-48B0-BC7C-7698CCDE28E1}"/>
    <cellStyle name="40% - Accent5 2 3 3 2 2 3" xfId="24438" xr:uid="{04409112-1946-4FA9-88C5-DC9B4F96263C}"/>
    <cellStyle name="40% - Accent5 2 3 3 2 3" xfId="11785" xr:uid="{740077AD-E480-4FA2-8D8F-EC0026E32A08}"/>
    <cellStyle name="40% - Accent5 2 3 3 2 4" xfId="20221" xr:uid="{B8FFEEAF-93F4-48F2-B745-614766402125}"/>
    <cellStyle name="40% - Accent5 2 3 3 3" xfId="5416" xr:uid="{00000000-0005-0000-0000-000073060000}"/>
    <cellStyle name="40% - Accent5 2 3 3 3 2" xfId="13858" xr:uid="{BC0B2BE1-FF0C-4488-80C6-2959943BF632}"/>
    <cellStyle name="40% - Accent5 2 3 3 3 3" xfId="22293" xr:uid="{F3666BA0-635B-4E0F-B238-E8A209BC98E7}"/>
    <cellStyle name="40% - Accent5 2 3 3 4" xfId="9640" xr:uid="{CB35D52B-10AB-4363-98DA-EEA789489700}"/>
    <cellStyle name="40% - Accent5 2 3 3 5" xfId="18076" xr:uid="{3A6CE710-7DA8-4882-AD5C-CB6894AD21FB}"/>
    <cellStyle name="40% - Accent5 2 3 4" xfId="1521" xr:uid="{00000000-0005-0000-0000-000074060000}"/>
    <cellStyle name="40% - Accent5 2 3 4 2" xfId="3751" xr:uid="{00000000-0005-0000-0000-000075060000}"/>
    <cellStyle name="40% - Accent5 2 3 4 2 2" xfId="7974" xr:uid="{00000000-0005-0000-0000-000076060000}"/>
    <cellStyle name="40% - Accent5 2 3 4 2 2 2" xfId="16416" xr:uid="{BDBA963D-E7E7-476E-AF5F-C8E7FD11A370}"/>
    <cellStyle name="40% - Accent5 2 3 4 2 2 3" xfId="24851" xr:uid="{F632D45C-3696-4995-99AC-AB05FD80ECA1}"/>
    <cellStyle name="40% - Accent5 2 3 4 2 3" xfId="12198" xr:uid="{98DF6130-966C-410B-8329-B8E12651C59A}"/>
    <cellStyle name="40% - Accent5 2 3 4 2 4" xfId="20634" xr:uid="{C0286E15-3317-4002-BA78-E7D340E66C0C}"/>
    <cellStyle name="40% - Accent5 2 3 4 3" xfId="5829" xr:uid="{00000000-0005-0000-0000-000077060000}"/>
    <cellStyle name="40% - Accent5 2 3 4 3 2" xfId="14271" xr:uid="{A29A9FBD-DF4E-4B26-8D04-2D4C93AA0CA3}"/>
    <cellStyle name="40% - Accent5 2 3 4 3 3" xfId="22706" xr:uid="{107CA812-A76F-4BE9-BF95-CB502BF5A960}"/>
    <cellStyle name="40% - Accent5 2 3 4 4" xfId="10053" xr:uid="{20F8D0DE-6121-4044-9349-56DB036C32AF}"/>
    <cellStyle name="40% - Accent5 2 3 4 5" xfId="18489" xr:uid="{779CCDD3-11D9-4711-958C-2B7E52E55668}"/>
    <cellStyle name="40% - Accent5 2 3 5" xfId="1935" xr:uid="{00000000-0005-0000-0000-000078060000}"/>
    <cellStyle name="40% - Accent5 2 3 5 2" xfId="4164" xr:uid="{00000000-0005-0000-0000-000079060000}"/>
    <cellStyle name="40% - Accent5 2 3 5 2 2" xfId="8387" xr:uid="{00000000-0005-0000-0000-00007A060000}"/>
    <cellStyle name="40% - Accent5 2 3 5 2 2 2" xfId="16829" xr:uid="{A76ADE1B-7269-4420-93D8-960AA923D5DE}"/>
    <cellStyle name="40% - Accent5 2 3 5 2 2 3" xfId="25264" xr:uid="{F768DF61-054F-4852-9A5F-72AF05385F1F}"/>
    <cellStyle name="40% - Accent5 2 3 5 2 3" xfId="12611" xr:uid="{0A191D32-44E9-4A56-8C41-A5F9A9B7E8A4}"/>
    <cellStyle name="40% - Accent5 2 3 5 2 4" xfId="21047" xr:uid="{F5727621-BB60-4507-8FBA-4B9136B341D7}"/>
    <cellStyle name="40% - Accent5 2 3 5 3" xfId="6242" xr:uid="{00000000-0005-0000-0000-00007B060000}"/>
    <cellStyle name="40% - Accent5 2 3 5 3 2" xfId="14684" xr:uid="{4067B01F-6092-4425-9DF3-3AE2DA10F533}"/>
    <cellStyle name="40% - Accent5 2 3 5 3 3" xfId="23119" xr:uid="{570FDFF0-7259-4C57-A89B-F8836FAB4515}"/>
    <cellStyle name="40% - Accent5 2 3 5 4" xfId="10466" xr:uid="{C3922DB9-5D53-42E7-8293-29B11DF5583D}"/>
    <cellStyle name="40% - Accent5 2 3 5 5" xfId="18902" xr:uid="{65EC765C-D89C-44AB-82C9-7A72A669EA2F}"/>
    <cellStyle name="40% - Accent5 2 3 6" xfId="2348" xr:uid="{00000000-0005-0000-0000-00007C060000}"/>
    <cellStyle name="40% - Accent5 2 3 6 2" xfId="6655" xr:uid="{00000000-0005-0000-0000-00007D060000}"/>
    <cellStyle name="40% - Accent5 2 3 6 2 2" xfId="15097" xr:uid="{224FED9B-3B98-45C0-BFF2-8552E1E35C9D}"/>
    <cellStyle name="40% - Accent5 2 3 6 2 3" xfId="23532" xr:uid="{A8838703-D959-44D2-983D-25BF710A6F01}"/>
    <cellStyle name="40% - Accent5 2 3 6 3" xfId="10879" xr:uid="{47DD0112-8CD9-4690-A9EB-2517F9E0CC78}"/>
    <cellStyle name="40% - Accent5 2 3 6 4" xfId="19315" xr:uid="{826F8492-DCAE-4C8A-BDE3-63418ECFE138}"/>
    <cellStyle name="40% - Accent5 2 3 7" xfId="4589" xr:uid="{00000000-0005-0000-0000-00007E060000}"/>
    <cellStyle name="40% - Accent5 2 3 7 2" xfId="13031" xr:uid="{CE281940-3515-4A0B-A523-52A6E9703FCE}"/>
    <cellStyle name="40% - Accent5 2 3 7 3" xfId="21466" xr:uid="{10177D3C-BE17-41A7-BFE8-9D8D91D2491A}"/>
    <cellStyle name="40% - Accent5 2 3 8" xfId="8813" xr:uid="{6E671BCD-0070-41FF-89B6-7BB4DAC52853}"/>
    <cellStyle name="40% - Accent5 2 3 9" xfId="17249" xr:uid="{12A719E9-DC1C-40BD-BD97-D22D7B23EB09}"/>
    <cellStyle name="40% - Accent5 2 4" xfId="651" xr:uid="{00000000-0005-0000-0000-00007F060000}"/>
    <cellStyle name="40% - Accent5 2 4 2" xfId="2922" xr:uid="{00000000-0005-0000-0000-000080060000}"/>
    <cellStyle name="40% - Accent5 2 4 2 2" xfId="7145" xr:uid="{00000000-0005-0000-0000-000081060000}"/>
    <cellStyle name="40% - Accent5 2 4 2 2 2" xfId="15587" xr:uid="{FA6FFE51-006E-449A-8D37-9EB55FDD6AAB}"/>
    <cellStyle name="40% - Accent5 2 4 2 2 3" xfId="24022" xr:uid="{6386DED3-3408-4A34-B579-9AFBD576767B}"/>
    <cellStyle name="40% - Accent5 2 4 2 3" xfId="11369" xr:uid="{6DAE80A8-CF45-45A8-922D-6F35446F664F}"/>
    <cellStyle name="40% - Accent5 2 4 2 4" xfId="19805" xr:uid="{AB44C588-A6CF-44AE-89C9-7AB070DC6A84}"/>
    <cellStyle name="40% - Accent5 2 4 3" xfId="5000" xr:uid="{00000000-0005-0000-0000-000082060000}"/>
    <cellStyle name="40% - Accent5 2 4 3 2" xfId="13442" xr:uid="{C2E8425A-44B7-4CC9-B5F3-E908D0B6FE41}"/>
    <cellStyle name="40% - Accent5 2 4 3 3" xfId="21877" xr:uid="{4BA01752-9D90-40E5-966E-F748631015A7}"/>
    <cellStyle name="40% - Accent5 2 4 4" xfId="9224" xr:uid="{833F94D5-C0B0-43A2-B1A3-2DDEEDB5CA13}"/>
    <cellStyle name="40% - Accent5 2 4 5" xfId="17660" xr:uid="{51EE1284-8AE9-4CA9-8A87-CB164CF0F6F9}"/>
    <cellStyle name="40% - Accent5 2 5" xfId="1104" xr:uid="{00000000-0005-0000-0000-000083060000}"/>
    <cellStyle name="40% - Accent5 2 5 2" xfId="3335" xr:uid="{00000000-0005-0000-0000-000084060000}"/>
    <cellStyle name="40% - Accent5 2 5 2 2" xfId="7558" xr:uid="{00000000-0005-0000-0000-000085060000}"/>
    <cellStyle name="40% - Accent5 2 5 2 2 2" xfId="16000" xr:uid="{5E2D5E9F-0511-4C38-A1A4-F14EE1262899}"/>
    <cellStyle name="40% - Accent5 2 5 2 2 3" xfId="24435" xr:uid="{E43F839E-7FB1-4CF9-ADF8-D95A776795D9}"/>
    <cellStyle name="40% - Accent5 2 5 2 3" xfId="11782" xr:uid="{CC45A4B7-14D4-4AD0-9FDF-E98891DC5A09}"/>
    <cellStyle name="40% - Accent5 2 5 2 4" xfId="20218" xr:uid="{E430CCAB-99AE-4994-AB14-36DF98E84040}"/>
    <cellStyle name="40% - Accent5 2 5 3" xfId="5413" xr:uid="{00000000-0005-0000-0000-000086060000}"/>
    <cellStyle name="40% - Accent5 2 5 3 2" xfId="13855" xr:uid="{BD4058D1-D4A9-407B-8AAD-4BDBECFC045B}"/>
    <cellStyle name="40% - Accent5 2 5 3 3" xfId="22290" xr:uid="{96366D9D-1EDD-47F7-AB53-7E1BB694A82C}"/>
    <cellStyle name="40% - Accent5 2 5 4" xfId="9637" xr:uid="{E9B8C26D-5BCB-4153-B5C5-42A2E5301347}"/>
    <cellStyle name="40% - Accent5 2 5 5" xfId="18073" xr:uid="{C53E789F-EF05-490C-A5B2-22F7DCBF3DC7}"/>
    <cellStyle name="40% - Accent5 2 6" xfId="1518" xr:uid="{00000000-0005-0000-0000-000087060000}"/>
    <cellStyle name="40% - Accent5 2 6 2" xfId="3748" xr:uid="{00000000-0005-0000-0000-000088060000}"/>
    <cellStyle name="40% - Accent5 2 6 2 2" xfId="7971" xr:uid="{00000000-0005-0000-0000-000089060000}"/>
    <cellStyle name="40% - Accent5 2 6 2 2 2" xfId="16413" xr:uid="{D10D7A80-4024-49D3-8788-62C00505167D}"/>
    <cellStyle name="40% - Accent5 2 6 2 2 3" xfId="24848" xr:uid="{FBC7D721-145D-47CF-9C04-0248FF9A89D6}"/>
    <cellStyle name="40% - Accent5 2 6 2 3" xfId="12195" xr:uid="{FEC576EB-3A67-4F8E-847B-CA797A3BA970}"/>
    <cellStyle name="40% - Accent5 2 6 2 4" xfId="20631" xr:uid="{00976F84-DFE6-41B5-BCC6-170DBFE9BFDB}"/>
    <cellStyle name="40% - Accent5 2 6 3" xfId="5826" xr:uid="{00000000-0005-0000-0000-00008A060000}"/>
    <cellStyle name="40% - Accent5 2 6 3 2" xfId="14268" xr:uid="{38EF98B8-D5B1-4ADD-8C73-A24C4AE0DF61}"/>
    <cellStyle name="40% - Accent5 2 6 3 3" xfId="22703" xr:uid="{8FE62127-F6B7-433C-A8CB-7ECAB3906251}"/>
    <cellStyle name="40% - Accent5 2 6 4" xfId="10050" xr:uid="{9D9FFAEC-65A6-429E-A9E1-915F3BB98661}"/>
    <cellStyle name="40% - Accent5 2 6 5" xfId="18486" xr:uid="{B0577B98-7B08-46C6-9C8D-553FAF17C6E3}"/>
    <cellStyle name="40% - Accent5 2 7" xfId="1932" xr:uid="{00000000-0005-0000-0000-00008B060000}"/>
    <cellStyle name="40% - Accent5 2 7 2" xfId="4161" xr:uid="{00000000-0005-0000-0000-00008C060000}"/>
    <cellStyle name="40% - Accent5 2 7 2 2" xfId="8384" xr:uid="{00000000-0005-0000-0000-00008D060000}"/>
    <cellStyle name="40% - Accent5 2 7 2 2 2" xfId="16826" xr:uid="{9DDA5DA9-0A21-4023-8E39-27D5926F5E47}"/>
    <cellStyle name="40% - Accent5 2 7 2 2 3" xfId="25261" xr:uid="{FD638620-795F-4D39-8EF3-D4F70848CFF8}"/>
    <cellStyle name="40% - Accent5 2 7 2 3" xfId="12608" xr:uid="{389CFAD8-D2A9-45F9-8E69-16D366E36C07}"/>
    <cellStyle name="40% - Accent5 2 7 2 4" xfId="21044" xr:uid="{45D0B5D8-4488-4581-9CFA-9BFF61BE9B19}"/>
    <cellStyle name="40% - Accent5 2 7 3" xfId="6239" xr:uid="{00000000-0005-0000-0000-00008E060000}"/>
    <cellStyle name="40% - Accent5 2 7 3 2" xfId="14681" xr:uid="{D20DA398-4BB6-47B1-8CF1-1F15308702F9}"/>
    <cellStyle name="40% - Accent5 2 7 3 3" xfId="23116" xr:uid="{62DCEA12-B0AF-49E1-AD44-839E6BACEEF3}"/>
    <cellStyle name="40% - Accent5 2 7 4" xfId="10463" xr:uid="{08E5480D-C6FC-4831-9C02-A6A841AD91BF}"/>
    <cellStyle name="40% - Accent5 2 7 5" xfId="18899" xr:uid="{D1B9F097-7791-4C59-8A32-18334ED4C0BE}"/>
    <cellStyle name="40% - Accent5 2 8" xfId="2345" xr:uid="{00000000-0005-0000-0000-00008F060000}"/>
    <cellStyle name="40% - Accent5 2 8 2" xfId="6652" xr:uid="{00000000-0005-0000-0000-000090060000}"/>
    <cellStyle name="40% - Accent5 2 8 2 2" xfId="15094" xr:uid="{B9F87D23-B556-4453-939B-6854BC19EE03}"/>
    <cellStyle name="40% - Accent5 2 8 2 3" xfId="23529" xr:uid="{B20B52E9-3FF7-42D5-B03C-67EF101ADB0F}"/>
    <cellStyle name="40% - Accent5 2 8 3" xfId="10876" xr:uid="{3706206F-59A2-48ED-AB8F-DC328F4CF48D}"/>
    <cellStyle name="40% - Accent5 2 8 4" xfId="19312" xr:uid="{83C32C69-2DFF-4754-A49E-230149525FA1}"/>
    <cellStyle name="40% - Accent5 2 9" xfId="4586" xr:uid="{00000000-0005-0000-0000-000091060000}"/>
    <cellStyle name="40% - Accent5 2 9 2" xfId="13028" xr:uid="{1960B144-4512-43E2-BA86-9C9761246EB9}"/>
    <cellStyle name="40% - Accent5 2 9 3" xfId="21463" xr:uid="{65911325-22D8-4566-A3D7-0A2966A78C91}"/>
    <cellStyle name="40% - Accent5 3" xfId="86" xr:uid="{00000000-0005-0000-0000-000092060000}"/>
    <cellStyle name="40% - Accent5 3 10" xfId="17250" xr:uid="{CB5DE1B8-AAAA-4573-84E6-6491F753B62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2 2 2" xfId="15592" xr:uid="{82982C91-1283-4F57-99A6-70EFD156C1D0}"/>
    <cellStyle name="40% - Accent5 3 2 2 2 2 3" xfId="24027" xr:uid="{F30D792A-A2A3-426C-B693-8462B404AC7B}"/>
    <cellStyle name="40% - Accent5 3 2 2 2 3" xfId="11374" xr:uid="{207984AD-0752-4D6F-A72E-795A4A65D449}"/>
    <cellStyle name="40% - Accent5 3 2 2 2 4" xfId="19810" xr:uid="{F3C9014C-E5C8-47C6-B7E5-600031F1FF5A}"/>
    <cellStyle name="40% - Accent5 3 2 2 3" xfId="5005" xr:uid="{00000000-0005-0000-0000-000097060000}"/>
    <cellStyle name="40% - Accent5 3 2 2 3 2" xfId="13447" xr:uid="{1E7EE15B-3C71-4F9C-86D6-A11F48B13400}"/>
    <cellStyle name="40% - Accent5 3 2 2 3 3" xfId="21882" xr:uid="{A438859D-3922-4709-8CB3-62A723DEA445}"/>
    <cellStyle name="40% - Accent5 3 2 2 4" xfId="9229" xr:uid="{0128C1D1-5F6B-4C32-8611-44FBED387646}"/>
    <cellStyle name="40% - Accent5 3 2 2 5" xfId="17665" xr:uid="{332AB0EE-368E-4BD5-B384-40C15A178A0D}"/>
    <cellStyle name="40% - Accent5 3 2 3" xfId="1109" xr:uid="{00000000-0005-0000-0000-000098060000}"/>
    <cellStyle name="40% - Accent5 3 2 3 2" xfId="3340" xr:uid="{00000000-0005-0000-0000-000099060000}"/>
    <cellStyle name="40% - Accent5 3 2 3 2 2" xfId="7563" xr:uid="{00000000-0005-0000-0000-00009A060000}"/>
    <cellStyle name="40% - Accent5 3 2 3 2 2 2" xfId="16005" xr:uid="{06B69840-D28E-4DC3-998A-1DF287E2234E}"/>
    <cellStyle name="40% - Accent5 3 2 3 2 2 3" xfId="24440" xr:uid="{297DE29F-6E11-4168-8B1A-A67991EE5164}"/>
    <cellStyle name="40% - Accent5 3 2 3 2 3" xfId="11787" xr:uid="{EDC6E3B0-C578-49D0-8C33-4DA57BB7D17F}"/>
    <cellStyle name="40% - Accent5 3 2 3 2 4" xfId="20223" xr:uid="{CE12D8C6-CB9F-46DF-A57F-6F7C3A0981C1}"/>
    <cellStyle name="40% - Accent5 3 2 3 3" xfId="5418" xr:uid="{00000000-0005-0000-0000-00009B060000}"/>
    <cellStyle name="40% - Accent5 3 2 3 3 2" xfId="13860" xr:uid="{8045AF4E-86B7-4027-932F-58ED2AE446CB}"/>
    <cellStyle name="40% - Accent5 3 2 3 3 3" xfId="22295" xr:uid="{235456B7-A345-4901-8AFA-1796A07E3499}"/>
    <cellStyle name="40% - Accent5 3 2 3 4" xfId="9642" xr:uid="{3779ABC5-39C6-4648-93F1-FB7035BDA932}"/>
    <cellStyle name="40% - Accent5 3 2 3 5" xfId="18078" xr:uid="{2F03C534-FB7C-4F19-80DD-AA36FA854C89}"/>
    <cellStyle name="40% - Accent5 3 2 4" xfId="1523" xr:uid="{00000000-0005-0000-0000-00009C060000}"/>
    <cellStyle name="40% - Accent5 3 2 4 2" xfId="3753" xr:uid="{00000000-0005-0000-0000-00009D060000}"/>
    <cellStyle name="40% - Accent5 3 2 4 2 2" xfId="7976" xr:uid="{00000000-0005-0000-0000-00009E060000}"/>
    <cellStyle name="40% - Accent5 3 2 4 2 2 2" xfId="16418" xr:uid="{DB38FD4C-97AC-4C8F-81E2-2A79B11F69CA}"/>
    <cellStyle name="40% - Accent5 3 2 4 2 2 3" xfId="24853" xr:uid="{AC950053-A3D8-48C3-B001-DC487B3DCCD3}"/>
    <cellStyle name="40% - Accent5 3 2 4 2 3" xfId="12200" xr:uid="{1C197BE7-1E2F-47EE-8679-08A4B585FE5C}"/>
    <cellStyle name="40% - Accent5 3 2 4 2 4" xfId="20636" xr:uid="{996D0194-1C62-49FB-9B4E-AD9FA6FD06CB}"/>
    <cellStyle name="40% - Accent5 3 2 4 3" xfId="5831" xr:uid="{00000000-0005-0000-0000-00009F060000}"/>
    <cellStyle name="40% - Accent5 3 2 4 3 2" xfId="14273" xr:uid="{12030C37-C91B-4B83-988D-2A0022338BDB}"/>
    <cellStyle name="40% - Accent5 3 2 4 3 3" xfId="22708" xr:uid="{ED16891F-7710-4FC3-A05A-7B4F574F78FA}"/>
    <cellStyle name="40% - Accent5 3 2 4 4" xfId="10055" xr:uid="{BC86556B-698D-439B-AD4F-2480DCE264FA}"/>
    <cellStyle name="40% - Accent5 3 2 4 5" xfId="18491" xr:uid="{AA563AEA-F4CD-4B26-9C8E-DF5BF50846DC}"/>
    <cellStyle name="40% - Accent5 3 2 5" xfId="1937" xr:uid="{00000000-0005-0000-0000-0000A0060000}"/>
    <cellStyle name="40% - Accent5 3 2 5 2" xfId="4166" xr:uid="{00000000-0005-0000-0000-0000A1060000}"/>
    <cellStyle name="40% - Accent5 3 2 5 2 2" xfId="8389" xr:uid="{00000000-0005-0000-0000-0000A2060000}"/>
    <cellStyle name="40% - Accent5 3 2 5 2 2 2" xfId="16831" xr:uid="{49889714-B130-4195-A45E-365A92B7F612}"/>
    <cellStyle name="40% - Accent5 3 2 5 2 2 3" xfId="25266" xr:uid="{89A685CC-69BC-4C32-8176-CBE70AB3EA33}"/>
    <cellStyle name="40% - Accent5 3 2 5 2 3" xfId="12613" xr:uid="{33DFB6BC-7960-4164-A1E9-DD17EB96BA9F}"/>
    <cellStyle name="40% - Accent5 3 2 5 2 4" xfId="21049" xr:uid="{0FF46DF0-B528-44C9-9142-A80591F1D6D8}"/>
    <cellStyle name="40% - Accent5 3 2 5 3" xfId="6244" xr:uid="{00000000-0005-0000-0000-0000A3060000}"/>
    <cellStyle name="40% - Accent5 3 2 5 3 2" xfId="14686" xr:uid="{8EA82E7D-4D79-40A7-8614-8F62565B9529}"/>
    <cellStyle name="40% - Accent5 3 2 5 3 3" xfId="23121" xr:uid="{6C0025BE-BD35-4DBF-ACE2-03228C86D3B1}"/>
    <cellStyle name="40% - Accent5 3 2 5 4" xfId="10468" xr:uid="{FF9CD196-1D67-4BCF-A9B6-0C68A10AFB40}"/>
    <cellStyle name="40% - Accent5 3 2 5 5" xfId="18904" xr:uid="{5388932C-85D3-4A3E-8EE0-1144BF19D215}"/>
    <cellStyle name="40% - Accent5 3 2 6" xfId="2350" xr:uid="{00000000-0005-0000-0000-0000A4060000}"/>
    <cellStyle name="40% - Accent5 3 2 6 2" xfId="6657" xr:uid="{00000000-0005-0000-0000-0000A5060000}"/>
    <cellStyle name="40% - Accent5 3 2 6 2 2" xfId="15099" xr:uid="{55A4DEED-AE9C-49C1-934B-7DB5523AD107}"/>
    <cellStyle name="40% - Accent5 3 2 6 2 3" xfId="23534" xr:uid="{73688F86-A6DA-448B-B72E-7593BBB3E43C}"/>
    <cellStyle name="40% - Accent5 3 2 6 3" xfId="10881" xr:uid="{70D0F44A-3D3F-499A-AAD8-5D600163974B}"/>
    <cellStyle name="40% - Accent5 3 2 6 4" xfId="19317" xr:uid="{A7B0F342-6372-469F-8632-81828F028774}"/>
    <cellStyle name="40% - Accent5 3 2 7" xfId="4591" xr:uid="{00000000-0005-0000-0000-0000A6060000}"/>
    <cellStyle name="40% - Accent5 3 2 7 2" xfId="13033" xr:uid="{6792E458-CF22-41DF-AB8C-98C4520C1C61}"/>
    <cellStyle name="40% - Accent5 3 2 7 3" xfId="21468" xr:uid="{66CAA72D-D917-4022-A7B1-DD27EA658031}"/>
    <cellStyle name="40% - Accent5 3 2 8" xfId="8815" xr:uid="{38C1C390-3026-480D-BB65-E9B887518174}"/>
    <cellStyle name="40% - Accent5 3 2 9" xfId="17251" xr:uid="{A2B9DECD-DF30-4E5E-A420-3FBCA9581CE5}"/>
    <cellStyle name="40% - Accent5 3 3" xfId="655" xr:uid="{00000000-0005-0000-0000-0000A7060000}"/>
    <cellStyle name="40% - Accent5 3 3 2" xfId="2926" xr:uid="{00000000-0005-0000-0000-0000A8060000}"/>
    <cellStyle name="40% - Accent5 3 3 2 2" xfId="7149" xr:uid="{00000000-0005-0000-0000-0000A9060000}"/>
    <cellStyle name="40% - Accent5 3 3 2 2 2" xfId="15591" xr:uid="{FA3AD279-7F41-441A-8F2E-67564B831075}"/>
    <cellStyle name="40% - Accent5 3 3 2 2 3" xfId="24026" xr:uid="{24D16B04-AD73-4441-A788-13A455B38A94}"/>
    <cellStyle name="40% - Accent5 3 3 2 3" xfId="11373" xr:uid="{4F2ED36A-7249-4ABC-AF43-B6C2D653D3AB}"/>
    <cellStyle name="40% - Accent5 3 3 2 4" xfId="19809" xr:uid="{586B439A-DF47-4F58-AAFA-2AFD83F8A579}"/>
    <cellStyle name="40% - Accent5 3 3 3" xfId="5004" xr:uid="{00000000-0005-0000-0000-0000AA060000}"/>
    <cellStyle name="40% - Accent5 3 3 3 2" xfId="13446" xr:uid="{F3573657-3230-4DF6-BD10-A7D6B160DB9A}"/>
    <cellStyle name="40% - Accent5 3 3 3 3" xfId="21881" xr:uid="{8086B2EB-3B17-4EBE-897F-0ACFE1DFB0A1}"/>
    <cellStyle name="40% - Accent5 3 3 4" xfId="9228" xr:uid="{1E7049CF-2104-4078-99C9-3ED1FEA6992A}"/>
    <cellStyle name="40% - Accent5 3 3 5" xfId="17664" xr:uid="{60DEBA6F-84C5-4742-A4C5-8C4A3F2B6B89}"/>
    <cellStyle name="40% - Accent5 3 4" xfId="1108" xr:uid="{00000000-0005-0000-0000-0000AB060000}"/>
    <cellStyle name="40% - Accent5 3 4 2" xfId="3339" xr:uid="{00000000-0005-0000-0000-0000AC060000}"/>
    <cellStyle name="40% - Accent5 3 4 2 2" xfId="7562" xr:uid="{00000000-0005-0000-0000-0000AD060000}"/>
    <cellStyle name="40% - Accent5 3 4 2 2 2" xfId="16004" xr:uid="{45E101DD-FA43-49AA-BB1F-988CA7221D6B}"/>
    <cellStyle name="40% - Accent5 3 4 2 2 3" xfId="24439" xr:uid="{9917873D-62B6-49F6-9ED7-148D765E1DA6}"/>
    <cellStyle name="40% - Accent5 3 4 2 3" xfId="11786" xr:uid="{B01DDF1E-E56E-439F-A8E9-D4DA84D629D0}"/>
    <cellStyle name="40% - Accent5 3 4 2 4" xfId="20222" xr:uid="{04E3DD9C-1639-4015-B2FD-16CCCCF273A7}"/>
    <cellStyle name="40% - Accent5 3 4 3" xfId="5417" xr:uid="{00000000-0005-0000-0000-0000AE060000}"/>
    <cellStyle name="40% - Accent5 3 4 3 2" xfId="13859" xr:uid="{DB252A9D-997D-43F4-9E51-C601E23A595C}"/>
    <cellStyle name="40% - Accent5 3 4 3 3" xfId="22294" xr:uid="{1E91EE80-9D43-4E11-B06C-92C3BC25D9A4}"/>
    <cellStyle name="40% - Accent5 3 4 4" xfId="9641" xr:uid="{8CFE22C6-E1DB-44AB-B38E-D7A97A9D8276}"/>
    <cellStyle name="40% - Accent5 3 4 5" xfId="18077" xr:uid="{AE92F815-ECBB-44CB-99AC-D7A179412994}"/>
    <cellStyle name="40% - Accent5 3 5" xfId="1522" xr:uid="{00000000-0005-0000-0000-0000AF060000}"/>
    <cellStyle name="40% - Accent5 3 5 2" xfId="3752" xr:uid="{00000000-0005-0000-0000-0000B0060000}"/>
    <cellStyle name="40% - Accent5 3 5 2 2" xfId="7975" xr:uid="{00000000-0005-0000-0000-0000B1060000}"/>
    <cellStyle name="40% - Accent5 3 5 2 2 2" xfId="16417" xr:uid="{D069F1C5-5DAF-4537-A430-66BDAEFDAD2D}"/>
    <cellStyle name="40% - Accent5 3 5 2 2 3" xfId="24852" xr:uid="{D1C3EDB8-2BC5-406A-B974-6B4799BDB485}"/>
    <cellStyle name="40% - Accent5 3 5 2 3" xfId="12199" xr:uid="{A0C7A2AE-AB9C-4EB7-AF12-EDA14D5601CE}"/>
    <cellStyle name="40% - Accent5 3 5 2 4" xfId="20635" xr:uid="{0699B825-313F-45D5-83ED-C3B8F0115E34}"/>
    <cellStyle name="40% - Accent5 3 5 3" xfId="5830" xr:uid="{00000000-0005-0000-0000-0000B2060000}"/>
    <cellStyle name="40% - Accent5 3 5 3 2" xfId="14272" xr:uid="{E80D4A70-5ED1-4F6A-B53A-BF55422BDA95}"/>
    <cellStyle name="40% - Accent5 3 5 3 3" xfId="22707" xr:uid="{0DC3D88E-11C6-4066-82B6-196688CAF02E}"/>
    <cellStyle name="40% - Accent5 3 5 4" xfId="10054" xr:uid="{573C549B-C12A-41B0-B755-081C56395801}"/>
    <cellStyle name="40% - Accent5 3 5 5" xfId="18490" xr:uid="{CA5AFD62-7FF2-4200-93F1-8C0A3F5DFEC2}"/>
    <cellStyle name="40% - Accent5 3 6" xfId="1936" xr:uid="{00000000-0005-0000-0000-0000B3060000}"/>
    <cellStyle name="40% - Accent5 3 6 2" xfId="4165" xr:uid="{00000000-0005-0000-0000-0000B4060000}"/>
    <cellStyle name="40% - Accent5 3 6 2 2" xfId="8388" xr:uid="{00000000-0005-0000-0000-0000B5060000}"/>
    <cellStyle name="40% - Accent5 3 6 2 2 2" xfId="16830" xr:uid="{4B5570E3-3361-4758-85C4-A057DBDCC97B}"/>
    <cellStyle name="40% - Accent5 3 6 2 2 3" xfId="25265" xr:uid="{3838D1DD-94A2-4D87-B6B2-C8F1BED6213E}"/>
    <cellStyle name="40% - Accent5 3 6 2 3" xfId="12612" xr:uid="{28A54B1C-A9F2-4E2D-89C5-9AD7A12F7541}"/>
    <cellStyle name="40% - Accent5 3 6 2 4" xfId="21048" xr:uid="{72860719-C50E-4DB3-B40E-829F0559549F}"/>
    <cellStyle name="40% - Accent5 3 6 3" xfId="6243" xr:uid="{00000000-0005-0000-0000-0000B6060000}"/>
    <cellStyle name="40% - Accent5 3 6 3 2" xfId="14685" xr:uid="{85C92828-3B66-435C-A1BB-7D813270421D}"/>
    <cellStyle name="40% - Accent5 3 6 3 3" xfId="23120" xr:uid="{741D9C82-ECDD-4DB4-BEC4-7FEF76C18ADD}"/>
    <cellStyle name="40% - Accent5 3 6 4" xfId="10467" xr:uid="{E8DE246D-3ECD-4C9A-A5D8-A30E129AF768}"/>
    <cellStyle name="40% - Accent5 3 6 5" xfId="18903" xr:uid="{CAFCA571-7503-427A-A03E-46852EE52FE9}"/>
    <cellStyle name="40% - Accent5 3 7" xfId="2349" xr:uid="{00000000-0005-0000-0000-0000B7060000}"/>
    <cellStyle name="40% - Accent5 3 7 2" xfId="6656" xr:uid="{00000000-0005-0000-0000-0000B8060000}"/>
    <cellStyle name="40% - Accent5 3 7 2 2" xfId="15098" xr:uid="{2A9E9902-A25F-4D36-A054-ED2DEF018B35}"/>
    <cellStyle name="40% - Accent5 3 7 2 3" xfId="23533" xr:uid="{1BA3E21A-35D4-484D-88EF-F1E530F2DD23}"/>
    <cellStyle name="40% - Accent5 3 7 3" xfId="10880" xr:uid="{541B2FA4-1ED9-4EC2-9552-F9FBC386D2CC}"/>
    <cellStyle name="40% - Accent5 3 7 4" xfId="19316" xr:uid="{70688799-2D2B-44FC-8C17-74524CB2BFB0}"/>
    <cellStyle name="40% - Accent5 3 8" xfId="4590" xr:uid="{00000000-0005-0000-0000-0000B9060000}"/>
    <cellStyle name="40% - Accent5 3 8 2" xfId="13032" xr:uid="{235BAF3C-E8EB-4A20-872D-CA8BB6D0B6E5}"/>
    <cellStyle name="40% - Accent5 3 8 3" xfId="21467" xr:uid="{4A822E23-0C58-4804-BCF9-83A6EEDA8AFC}"/>
    <cellStyle name="40% - Accent5 3 9" xfId="8814" xr:uid="{65FC0025-B219-4AC3-BA4B-22AF41AEA6A8}"/>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2 2 2" xfId="15593" xr:uid="{2F3ECF3E-97B4-4355-ABE1-72A0892B9ECC}"/>
    <cellStyle name="40% - Accent5 4 2 2 2 3" xfId="24028" xr:uid="{3BC794A5-ABD8-429B-BFED-EB1AF3A3F9CF}"/>
    <cellStyle name="40% - Accent5 4 2 2 3" xfId="11375" xr:uid="{7210F218-8211-4534-B5CE-A7FF01143840}"/>
    <cellStyle name="40% - Accent5 4 2 2 4" xfId="19811" xr:uid="{874AD152-D6F6-42AD-9E72-BB790204AACF}"/>
    <cellStyle name="40% - Accent5 4 2 3" xfId="5006" xr:uid="{00000000-0005-0000-0000-0000BE060000}"/>
    <cellStyle name="40% - Accent5 4 2 3 2" xfId="13448" xr:uid="{3710449A-C601-40ED-96ED-1C2F09BDAE44}"/>
    <cellStyle name="40% - Accent5 4 2 3 3" xfId="21883" xr:uid="{CACECBD6-9BC2-470A-9607-5F42862D1860}"/>
    <cellStyle name="40% - Accent5 4 2 4" xfId="9230" xr:uid="{2AD55C00-E43A-4945-A4B8-44B01A0B2E35}"/>
    <cellStyle name="40% - Accent5 4 2 5" xfId="17666" xr:uid="{8D0A42EF-ABA0-4D96-8F22-2CABF1036199}"/>
    <cellStyle name="40% - Accent5 4 3" xfId="1110" xr:uid="{00000000-0005-0000-0000-0000BF060000}"/>
    <cellStyle name="40% - Accent5 4 3 2" xfId="3341" xr:uid="{00000000-0005-0000-0000-0000C0060000}"/>
    <cellStyle name="40% - Accent5 4 3 2 2" xfId="7564" xr:uid="{00000000-0005-0000-0000-0000C1060000}"/>
    <cellStyle name="40% - Accent5 4 3 2 2 2" xfId="16006" xr:uid="{F13BB39A-F9B4-460E-8B71-B1B216B8D179}"/>
    <cellStyle name="40% - Accent5 4 3 2 2 3" xfId="24441" xr:uid="{BD14C9C5-2532-437E-9B34-7AE72017D6A5}"/>
    <cellStyle name="40% - Accent5 4 3 2 3" xfId="11788" xr:uid="{048864D6-8A3E-4ABC-84D6-0CABA20881F8}"/>
    <cellStyle name="40% - Accent5 4 3 2 4" xfId="20224" xr:uid="{A74E5E4C-DEAC-482F-94F1-E9D3E77073D7}"/>
    <cellStyle name="40% - Accent5 4 3 3" xfId="5419" xr:uid="{00000000-0005-0000-0000-0000C2060000}"/>
    <cellStyle name="40% - Accent5 4 3 3 2" xfId="13861" xr:uid="{B16D65AB-1C23-403C-91C8-0972ADA3364D}"/>
    <cellStyle name="40% - Accent5 4 3 3 3" xfId="22296" xr:uid="{552880F8-DD4B-44A4-9B5D-9A2BA9E0E945}"/>
    <cellStyle name="40% - Accent5 4 3 4" xfId="9643" xr:uid="{91F9935C-455B-4E2D-8066-D82D921C02F9}"/>
    <cellStyle name="40% - Accent5 4 3 5" xfId="18079" xr:uid="{8EB45F3E-7007-4D6D-AAA0-F41F6DAA7A18}"/>
    <cellStyle name="40% - Accent5 4 4" xfId="1524" xr:uid="{00000000-0005-0000-0000-0000C3060000}"/>
    <cellStyle name="40% - Accent5 4 4 2" xfId="3754" xr:uid="{00000000-0005-0000-0000-0000C4060000}"/>
    <cellStyle name="40% - Accent5 4 4 2 2" xfId="7977" xr:uid="{00000000-0005-0000-0000-0000C5060000}"/>
    <cellStyle name="40% - Accent5 4 4 2 2 2" xfId="16419" xr:uid="{8B5A999C-23D3-48DC-A414-2884A56F50E7}"/>
    <cellStyle name="40% - Accent5 4 4 2 2 3" xfId="24854" xr:uid="{2C56AC61-211C-42C6-8C9E-5F914D1E8A50}"/>
    <cellStyle name="40% - Accent5 4 4 2 3" xfId="12201" xr:uid="{E93BD2EA-CB02-4C39-9AF6-14143303DC21}"/>
    <cellStyle name="40% - Accent5 4 4 2 4" xfId="20637" xr:uid="{7FBC847F-A93F-492B-BB63-79C1B5E00F16}"/>
    <cellStyle name="40% - Accent5 4 4 3" xfId="5832" xr:uid="{00000000-0005-0000-0000-0000C6060000}"/>
    <cellStyle name="40% - Accent5 4 4 3 2" xfId="14274" xr:uid="{8CA4FCB0-D8E3-4A5B-8923-909C11DB8EE1}"/>
    <cellStyle name="40% - Accent5 4 4 3 3" xfId="22709" xr:uid="{0A204495-F336-4629-B1F2-DA4D5EA090C7}"/>
    <cellStyle name="40% - Accent5 4 4 4" xfId="10056" xr:uid="{17745FD2-5E56-41ED-91CA-806E13F065E2}"/>
    <cellStyle name="40% - Accent5 4 4 5" xfId="18492" xr:uid="{51CD342C-DBAE-4DE7-BB63-15A6229D9D38}"/>
    <cellStyle name="40% - Accent5 4 5" xfId="1938" xr:uid="{00000000-0005-0000-0000-0000C7060000}"/>
    <cellStyle name="40% - Accent5 4 5 2" xfId="4167" xr:uid="{00000000-0005-0000-0000-0000C8060000}"/>
    <cellStyle name="40% - Accent5 4 5 2 2" xfId="8390" xr:uid="{00000000-0005-0000-0000-0000C9060000}"/>
    <cellStyle name="40% - Accent5 4 5 2 2 2" xfId="16832" xr:uid="{48D30954-C976-4B40-84D2-A3FAC44384F5}"/>
    <cellStyle name="40% - Accent5 4 5 2 2 3" xfId="25267" xr:uid="{ACD9D9AF-8296-4CDA-A11C-205C14E8A666}"/>
    <cellStyle name="40% - Accent5 4 5 2 3" xfId="12614" xr:uid="{829270E5-997E-4E54-A65A-3937B5DC5BC6}"/>
    <cellStyle name="40% - Accent5 4 5 2 4" xfId="21050" xr:uid="{3BCA4C10-4AFE-455D-95A5-FDBD41B82C2B}"/>
    <cellStyle name="40% - Accent5 4 5 3" xfId="6245" xr:uid="{00000000-0005-0000-0000-0000CA060000}"/>
    <cellStyle name="40% - Accent5 4 5 3 2" xfId="14687" xr:uid="{FE827233-5704-49BF-B732-D20ED4E9647D}"/>
    <cellStyle name="40% - Accent5 4 5 3 3" xfId="23122" xr:uid="{65F0323E-1D5A-4A17-BB04-6F11ECC3C1B9}"/>
    <cellStyle name="40% - Accent5 4 5 4" xfId="10469" xr:uid="{BBE16B52-F6CD-4274-AA78-28A8AAEA41F3}"/>
    <cellStyle name="40% - Accent5 4 5 5" xfId="18905" xr:uid="{812262E9-0929-460B-A3CB-2FB5EB51C79D}"/>
    <cellStyle name="40% - Accent5 4 6" xfId="2351" xr:uid="{00000000-0005-0000-0000-0000CB060000}"/>
    <cellStyle name="40% - Accent5 4 6 2" xfId="6658" xr:uid="{00000000-0005-0000-0000-0000CC060000}"/>
    <cellStyle name="40% - Accent5 4 6 2 2" xfId="15100" xr:uid="{02AB5E78-5B82-415C-8589-FF1B13F85322}"/>
    <cellStyle name="40% - Accent5 4 6 2 3" xfId="23535" xr:uid="{231E7FFE-E608-4828-8774-A74E824924A8}"/>
    <cellStyle name="40% - Accent5 4 6 3" xfId="10882" xr:uid="{B07466FD-D7FF-4664-B74A-0F724A76BD6A}"/>
    <cellStyle name="40% - Accent5 4 6 4" xfId="19318" xr:uid="{890C4991-72F7-40D9-8662-7B8044B25916}"/>
    <cellStyle name="40% - Accent5 4 7" xfId="4592" xr:uid="{00000000-0005-0000-0000-0000CD060000}"/>
    <cellStyle name="40% - Accent5 4 7 2" xfId="13034" xr:uid="{EFE7CBAA-7250-4A8E-AFB5-230EACC6600D}"/>
    <cellStyle name="40% - Accent5 4 7 3" xfId="21469" xr:uid="{E0761168-973E-4B5C-A11A-A58EADE6AB20}"/>
    <cellStyle name="40% - Accent5 4 8" xfId="8816" xr:uid="{8D662F9F-1C97-4624-94C2-0DC3ED643EAE}"/>
    <cellStyle name="40% - Accent5 4 9" xfId="17252" xr:uid="{2ED457C9-58DB-4A8A-8C59-9F25C4705CB1}"/>
    <cellStyle name="40% - Accent5 5" xfId="650" xr:uid="{00000000-0005-0000-0000-0000CE060000}"/>
    <cellStyle name="40% - Accent5 5 2" xfId="2921" xr:uid="{00000000-0005-0000-0000-0000CF060000}"/>
    <cellStyle name="40% - Accent5 5 2 2" xfId="7144" xr:uid="{00000000-0005-0000-0000-0000D0060000}"/>
    <cellStyle name="40% - Accent5 5 2 2 2" xfId="15586" xr:uid="{5043F4AE-C767-4D81-86D3-C1E199F8ECA0}"/>
    <cellStyle name="40% - Accent5 5 2 2 3" xfId="24021" xr:uid="{E89BB659-4A44-4974-81C1-21E01614B320}"/>
    <cellStyle name="40% - Accent5 5 2 3" xfId="11368" xr:uid="{C9CD9E22-1D5F-4ABC-903F-AF52A8DEE9C5}"/>
    <cellStyle name="40% - Accent5 5 2 4" xfId="19804" xr:uid="{46FA1E75-9F8D-4005-B927-E51ACD73E4A5}"/>
    <cellStyle name="40% - Accent5 5 3" xfId="4999" xr:uid="{00000000-0005-0000-0000-0000D1060000}"/>
    <cellStyle name="40% - Accent5 5 3 2" xfId="13441" xr:uid="{09778F98-93FB-4B9D-B051-D69E2A57AA77}"/>
    <cellStyle name="40% - Accent5 5 3 3" xfId="21876" xr:uid="{E114A4E3-AF1F-4353-BE39-94D385060A7F}"/>
    <cellStyle name="40% - Accent5 5 4" xfId="9223" xr:uid="{955B16C1-CF0F-4628-B988-F885A3E4E156}"/>
    <cellStyle name="40% - Accent5 5 5" xfId="17659" xr:uid="{4E569769-541E-4F31-8EFF-B8935C5BCADD}"/>
    <cellStyle name="40% - Accent5 6" xfId="1103" xr:uid="{00000000-0005-0000-0000-0000D2060000}"/>
    <cellStyle name="40% - Accent5 6 2" xfId="3334" xr:uid="{00000000-0005-0000-0000-0000D3060000}"/>
    <cellStyle name="40% - Accent5 6 2 2" xfId="7557" xr:uid="{00000000-0005-0000-0000-0000D4060000}"/>
    <cellStyle name="40% - Accent5 6 2 2 2" xfId="15999" xr:uid="{ECC6240F-C2A6-4D88-9F3E-46FCB8448D16}"/>
    <cellStyle name="40% - Accent5 6 2 2 3" xfId="24434" xr:uid="{F919E509-31EC-4B54-81A4-F1550FB6DB2A}"/>
    <cellStyle name="40% - Accent5 6 2 3" xfId="11781" xr:uid="{2E17DD0E-E755-4DFD-917F-7B366CF98079}"/>
    <cellStyle name="40% - Accent5 6 2 4" xfId="20217" xr:uid="{C3C4A2CF-8477-4503-9499-A86C2ADFA03A}"/>
    <cellStyle name="40% - Accent5 6 3" xfId="5412" xr:uid="{00000000-0005-0000-0000-0000D5060000}"/>
    <cellStyle name="40% - Accent5 6 3 2" xfId="13854" xr:uid="{22075AC4-866F-4228-AB0B-1B724FCE6B7C}"/>
    <cellStyle name="40% - Accent5 6 3 3" xfId="22289" xr:uid="{E21CD09C-FF44-4D43-8029-814D50A25558}"/>
    <cellStyle name="40% - Accent5 6 4" xfId="9636" xr:uid="{A24AB198-FF14-4A2E-8753-F7131308871B}"/>
    <cellStyle name="40% - Accent5 6 5" xfId="18072" xr:uid="{D9F9AE62-C975-4534-AF26-87ED147F5B30}"/>
    <cellStyle name="40% - Accent5 7" xfId="1517" xr:uid="{00000000-0005-0000-0000-0000D6060000}"/>
    <cellStyle name="40% - Accent5 7 2" xfId="3747" xr:uid="{00000000-0005-0000-0000-0000D7060000}"/>
    <cellStyle name="40% - Accent5 7 2 2" xfId="7970" xr:uid="{00000000-0005-0000-0000-0000D8060000}"/>
    <cellStyle name="40% - Accent5 7 2 2 2" xfId="16412" xr:uid="{EE2CB77A-E277-45FE-85AB-BC97E005C649}"/>
    <cellStyle name="40% - Accent5 7 2 2 3" xfId="24847" xr:uid="{1DE0D496-8A91-4281-8C32-62E1C926E035}"/>
    <cellStyle name="40% - Accent5 7 2 3" xfId="12194" xr:uid="{9B817841-5DCE-4A8D-AA60-AA2E18CEF7E3}"/>
    <cellStyle name="40% - Accent5 7 2 4" xfId="20630" xr:uid="{1E6511EE-774D-4F44-9F66-D87DB9101B0C}"/>
    <cellStyle name="40% - Accent5 7 3" xfId="5825" xr:uid="{00000000-0005-0000-0000-0000D9060000}"/>
    <cellStyle name="40% - Accent5 7 3 2" xfId="14267" xr:uid="{08B4203B-996A-4166-80EA-B1D855FF5373}"/>
    <cellStyle name="40% - Accent5 7 3 3" xfId="22702" xr:uid="{F1272D04-B5F1-4712-86A4-53D7DC34D724}"/>
    <cellStyle name="40% - Accent5 7 4" xfId="10049" xr:uid="{71F80E48-D072-4707-A35D-23026EF988EF}"/>
    <cellStyle name="40% - Accent5 7 5" xfId="18485" xr:uid="{AB01B17B-D2C5-4472-900D-A3B380EA2FF1}"/>
    <cellStyle name="40% - Accent5 8" xfId="1931" xr:uid="{00000000-0005-0000-0000-0000DA060000}"/>
    <cellStyle name="40% - Accent5 8 2" xfId="4160" xr:uid="{00000000-0005-0000-0000-0000DB060000}"/>
    <cellStyle name="40% - Accent5 8 2 2" xfId="8383" xr:uid="{00000000-0005-0000-0000-0000DC060000}"/>
    <cellStyle name="40% - Accent5 8 2 2 2" xfId="16825" xr:uid="{3CE57295-8F32-4E05-AFA9-15BE7E6D53C8}"/>
    <cellStyle name="40% - Accent5 8 2 2 3" xfId="25260" xr:uid="{2BBCE745-8A36-49F6-8184-1DE3B00492F1}"/>
    <cellStyle name="40% - Accent5 8 2 3" xfId="12607" xr:uid="{E3604A66-F4E8-4C6A-A5C4-581C448DF941}"/>
    <cellStyle name="40% - Accent5 8 2 4" xfId="21043" xr:uid="{A140E373-ACC1-4498-8C67-131E66C29A15}"/>
    <cellStyle name="40% - Accent5 8 3" xfId="6238" xr:uid="{00000000-0005-0000-0000-0000DD060000}"/>
    <cellStyle name="40% - Accent5 8 3 2" xfId="14680" xr:uid="{53F6844C-0C15-4C05-A838-BC54521C1F0D}"/>
    <cellStyle name="40% - Accent5 8 3 3" xfId="23115" xr:uid="{B762F8D9-33D0-431F-ABDE-076C301F2364}"/>
    <cellStyle name="40% - Accent5 8 4" xfId="10462" xr:uid="{5723082B-5F62-4FC4-8CAD-705A23759E1F}"/>
    <cellStyle name="40% - Accent5 8 5" xfId="18898" xr:uid="{3BF79ED8-4A91-4A6E-9C32-1890458A1562}"/>
    <cellStyle name="40% - Accent5 9" xfId="2344" xr:uid="{00000000-0005-0000-0000-0000DE060000}"/>
    <cellStyle name="40% - Accent5 9 2" xfId="6651" xr:uid="{00000000-0005-0000-0000-0000DF060000}"/>
    <cellStyle name="40% - Accent5 9 2 2" xfId="15093" xr:uid="{7CE23535-6D8B-43EB-840B-98D09757F5DA}"/>
    <cellStyle name="40% - Accent5 9 2 3" xfId="23528" xr:uid="{503AD6A2-492F-4C69-A6ED-73401D8BBE7A}"/>
    <cellStyle name="40% - Accent5 9 3" xfId="10875" xr:uid="{CAAB5BA4-D974-4C9E-8BC5-5D445C10FDD0}"/>
    <cellStyle name="40% - Accent5 9 4" xfId="19311" xr:uid="{F1BF1CEF-636C-4CE5-89F8-354E314A8AC2}"/>
    <cellStyle name="40% - Accent6" xfId="89" builtinId="51" customBuiltin="1"/>
    <cellStyle name="40% - Accent6 10" xfId="4593" xr:uid="{00000000-0005-0000-0000-0000E1060000}"/>
    <cellStyle name="40% - Accent6 10 2" xfId="13035" xr:uid="{91DEF0DC-7151-4A48-BEEF-D52299A060F6}"/>
    <cellStyle name="40% - Accent6 10 3" xfId="21470" xr:uid="{E51685C6-4446-4663-97A5-8A5B223DD1B4}"/>
    <cellStyle name="40% - Accent6 11" xfId="8817" xr:uid="{93679CE0-914E-4C9E-A938-7ECEFB4CF2F5}"/>
    <cellStyle name="40% - Accent6 12" xfId="17253" xr:uid="{BE99969F-0DD9-42E9-BEBE-101D6E1E6354}"/>
    <cellStyle name="40% - Accent6 2" xfId="90" xr:uid="{00000000-0005-0000-0000-0000E2060000}"/>
    <cellStyle name="40% - Accent6 2 10" xfId="8818" xr:uid="{6A092460-401D-4164-BB7E-75A74772EB9F}"/>
    <cellStyle name="40% - Accent6 2 11" xfId="17254" xr:uid="{29FA539A-26D4-44E8-95A7-CE8A43744FCE}"/>
    <cellStyle name="40% - Accent6 2 2" xfId="91" xr:uid="{00000000-0005-0000-0000-0000E3060000}"/>
    <cellStyle name="40% - Accent6 2 2 10" xfId="17255" xr:uid="{6655D65C-8C91-49CE-9267-997CAE0C1213}"/>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2 2 2" xfId="15597" xr:uid="{532CC835-208F-4685-960F-F2D5E9864AFC}"/>
    <cellStyle name="40% - Accent6 2 2 2 2 2 2 3" xfId="24032" xr:uid="{CB0410D5-6FBB-42C7-B009-6761356D4784}"/>
    <cellStyle name="40% - Accent6 2 2 2 2 2 3" xfId="11379" xr:uid="{E4D7BC7F-4814-46C5-A71C-E91BAFF2EBBE}"/>
    <cellStyle name="40% - Accent6 2 2 2 2 2 4" xfId="19815" xr:uid="{787C3B6B-0ED6-4D46-A11E-9260A16D0829}"/>
    <cellStyle name="40% - Accent6 2 2 2 2 3" xfId="5010" xr:uid="{00000000-0005-0000-0000-0000E8060000}"/>
    <cellStyle name="40% - Accent6 2 2 2 2 3 2" xfId="13452" xr:uid="{83AE3B0D-63BA-423C-B806-4A07961D1986}"/>
    <cellStyle name="40% - Accent6 2 2 2 2 3 3" xfId="21887" xr:uid="{010C375E-4299-4873-A7FA-E33F64238E22}"/>
    <cellStyle name="40% - Accent6 2 2 2 2 4" xfId="9234" xr:uid="{05BB452E-AAFB-4DF2-A093-A2EB6B341977}"/>
    <cellStyle name="40% - Accent6 2 2 2 2 5" xfId="17670" xr:uid="{5DD73F65-AD63-40B5-8915-0547957AE286}"/>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2 2 2" xfId="16010" xr:uid="{918090CD-8FCF-4DCF-AD51-0FB2A1DBD1D3}"/>
    <cellStyle name="40% - Accent6 2 2 2 3 2 2 3" xfId="24445" xr:uid="{D2A2105F-EE83-49FB-99F5-8F1CD3E2A2D0}"/>
    <cellStyle name="40% - Accent6 2 2 2 3 2 3" xfId="11792" xr:uid="{F1EC1244-BAAF-4333-9C76-D0FEEB4A22DA}"/>
    <cellStyle name="40% - Accent6 2 2 2 3 2 4" xfId="20228" xr:uid="{888B0234-15CF-4652-AD7F-EF27E8CA6701}"/>
    <cellStyle name="40% - Accent6 2 2 2 3 3" xfId="5423" xr:uid="{00000000-0005-0000-0000-0000EC060000}"/>
    <cellStyle name="40% - Accent6 2 2 2 3 3 2" xfId="13865" xr:uid="{31B584A1-3EB9-4116-BDE5-CA07C0D76925}"/>
    <cellStyle name="40% - Accent6 2 2 2 3 3 3" xfId="22300" xr:uid="{9A4B3BC9-8843-4085-9979-A6846BDB3959}"/>
    <cellStyle name="40% - Accent6 2 2 2 3 4" xfId="9647" xr:uid="{1CD11676-7A9E-4FE6-8ABE-F6B0F933B8A0}"/>
    <cellStyle name="40% - Accent6 2 2 2 3 5" xfId="18083" xr:uid="{06D44697-5283-4564-BBD0-75D72D2916A1}"/>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2 2 2" xfId="16423" xr:uid="{63B7623E-7BE0-4FE3-9CCF-3B38024D1374}"/>
    <cellStyle name="40% - Accent6 2 2 2 4 2 2 3" xfId="24858" xr:uid="{B3E53353-BFA5-4B50-A7A5-D960F7B1468C}"/>
    <cellStyle name="40% - Accent6 2 2 2 4 2 3" xfId="12205" xr:uid="{BE03C80A-20C1-4D3F-8684-1A098ABB8A94}"/>
    <cellStyle name="40% - Accent6 2 2 2 4 2 4" xfId="20641" xr:uid="{8F2B5083-41B3-4068-8CE4-051AD41BFB33}"/>
    <cellStyle name="40% - Accent6 2 2 2 4 3" xfId="5836" xr:uid="{00000000-0005-0000-0000-0000F0060000}"/>
    <cellStyle name="40% - Accent6 2 2 2 4 3 2" xfId="14278" xr:uid="{E0DEC770-7F80-4922-9279-F97EEEBD9C09}"/>
    <cellStyle name="40% - Accent6 2 2 2 4 3 3" xfId="22713" xr:uid="{C0B5FB35-82E9-44CF-AECF-72CF087841CB}"/>
    <cellStyle name="40% - Accent6 2 2 2 4 4" xfId="10060" xr:uid="{073FD341-E91A-4CC1-A4D7-97CF6240AB99}"/>
    <cellStyle name="40% - Accent6 2 2 2 4 5" xfId="18496" xr:uid="{BBD84EBB-E55C-4FDA-A6DD-6599DCFD75ED}"/>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2 2 2" xfId="16836" xr:uid="{4574B29F-8212-4871-B230-4BC888F41C30}"/>
    <cellStyle name="40% - Accent6 2 2 2 5 2 2 3" xfId="25271" xr:uid="{42810156-2726-4802-9958-BB9C153C68B8}"/>
    <cellStyle name="40% - Accent6 2 2 2 5 2 3" xfId="12618" xr:uid="{3FC0979F-6E0D-4B37-923C-B77F7B664448}"/>
    <cellStyle name="40% - Accent6 2 2 2 5 2 4" xfId="21054" xr:uid="{6F45B87F-5595-40B9-B8DE-6C203F5844FE}"/>
    <cellStyle name="40% - Accent6 2 2 2 5 3" xfId="6249" xr:uid="{00000000-0005-0000-0000-0000F4060000}"/>
    <cellStyle name="40% - Accent6 2 2 2 5 3 2" xfId="14691" xr:uid="{6D17BB8B-5BE6-486A-BE45-7B829E4634E5}"/>
    <cellStyle name="40% - Accent6 2 2 2 5 3 3" xfId="23126" xr:uid="{66DFB414-44A8-43FF-A7CF-187458039613}"/>
    <cellStyle name="40% - Accent6 2 2 2 5 4" xfId="10473" xr:uid="{D9454998-AC19-4F23-8EC1-B15AEB1AAF87}"/>
    <cellStyle name="40% - Accent6 2 2 2 5 5" xfId="18909" xr:uid="{C7E7B172-1A5F-4F50-854E-C0439E608D1A}"/>
    <cellStyle name="40% - Accent6 2 2 2 6" xfId="2355" xr:uid="{00000000-0005-0000-0000-0000F5060000}"/>
    <cellStyle name="40% - Accent6 2 2 2 6 2" xfId="6662" xr:uid="{00000000-0005-0000-0000-0000F6060000}"/>
    <cellStyle name="40% - Accent6 2 2 2 6 2 2" xfId="15104" xr:uid="{8009BFE1-9E7B-4F02-85EC-89A5A9DE5D3C}"/>
    <cellStyle name="40% - Accent6 2 2 2 6 2 3" xfId="23539" xr:uid="{0B90A98E-5A98-449F-95C2-4278D5705E3E}"/>
    <cellStyle name="40% - Accent6 2 2 2 6 3" xfId="10886" xr:uid="{615DBA3F-1448-4641-B2CC-C6EFA594844E}"/>
    <cellStyle name="40% - Accent6 2 2 2 6 4" xfId="19322" xr:uid="{5938AEDC-8133-439F-B4B4-6E5A6488F244}"/>
    <cellStyle name="40% - Accent6 2 2 2 7" xfId="4596" xr:uid="{00000000-0005-0000-0000-0000F7060000}"/>
    <cellStyle name="40% - Accent6 2 2 2 7 2" xfId="13038" xr:uid="{C314BD80-7BA7-4921-8F5A-4405D4A16EBC}"/>
    <cellStyle name="40% - Accent6 2 2 2 7 3" xfId="21473" xr:uid="{26532CD3-44DB-4390-BA71-F66DC85F34A6}"/>
    <cellStyle name="40% - Accent6 2 2 2 8" xfId="8820" xr:uid="{A4DE2386-FEB9-4C70-8C41-641986273BE8}"/>
    <cellStyle name="40% - Accent6 2 2 2 9" xfId="17256" xr:uid="{F9AC9C9B-A9F9-40DB-86B7-973CEA6D6C6D}"/>
    <cellStyle name="40% - Accent6 2 2 3" xfId="660" xr:uid="{00000000-0005-0000-0000-0000F8060000}"/>
    <cellStyle name="40% - Accent6 2 2 3 2" xfId="2931" xr:uid="{00000000-0005-0000-0000-0000F9060000}"/>
    <cellStyle name="40% - Accent6 2 2 3 2 2" xfId="7154" xr:uid="{00000000-0005-0000-0000-0000FA060000}"/>
    <cellStyle name="40% - Accent6 2 2 3 2 2 2" xfId="15596" xr:uid="{06719EA5-19A3-4084-934C-E9CB0951B24E}"/>
    <cellStyle name="40% - Accent6 2 2 3 2 2 3" xfId="24031" xr:uid="{DC33E1C0-FBEF-48CA-97AE-2B2136CF9E03}"/>
    <cellStyle name="40% - Accent6 2 2 3 2 3" xfId="11378" xr:uid="{824FDD28-600B-4E43-B3E3-882320342AEF}"/>
    <cellStyle name="40% - Accent6 2 2 3 2 4" xfId="19814" xr:uid="{69FBC449-8A5E-48AC-A2A9-FE08CE359205}"/>
    <cellStyle name="40% - Accent6 2 2 3 3" xfId="5009" xr:uid="{00000000-0005-0000-0000-0000FB060000}"/>
    <cellStyle name="40% - Accent6 2 2 3 3 2" xfId="13451" xr:uid="{A719A47F-5E2E-4A81-9764-FCDC75A6219E}"/>
    <cellStyle name="40% - Accent6 2 2 3 3 3" xfId="21886" xr:uid="{08A14886-5246-4E6F-9FB6-107F7D8A13D5}"/>
    <cellStyle name="40% - Accent6 2 2 3 4" xfId="9233" xr:uid="{F6207CC8-1A05-435D-AC87-3FCC257861A5}"/>
    <cellStyle name="40% - Accent6 2 2 3 5" xfId="17669" xr:uid="{4BAEB8BE-66E2-4E01-9FA5-402D9409AF7B}"/>
    <cellStyle name="40% - Accent6 2 2 4" xfId="1113" xr:uid="{00000000-0005-0000-0000-0000FC060000}"/>
    <cellStyle name="40% - Accent6 2 2 4 2" xfId="3344" xr:uid="{00000000-0005-0000-0000-0000FD060000}"/>
    <cellStyle name="40% - Accent6 2 2 4 2 2" xfId="7567" xr:uid="{00000000-0005-0000-0000-0000FE060000}"/>
    <cellStyle name="40% - Accent6 2 2 4 2 2 2" xfId="16009" xr:uid="{F6593771-D227-417A-8FD1-618D59CA25B8}"/>
    <cellStyle name="40% - Accent6 2 2 4 2 2 3" xfId="24444" xr:uid="{B795AFF8-FB13-44D0-9242-8C6FDCF09CFB}"/>
    <cellStyle name="40% - Accent6 2 2 4 2 3" xfId="11791" xr:uid="{563A5EE9-6DBD-4937-84BD-756517FF1AFB}"/>
    <cellStyle name="40% - Accent6 2 2 4 2 4" xfId="20227" xr:uid="{FAE7F962-D819-4169-8653-486BB588760B}"/>
    <cellStyle name="40% - Accent6 2 2 4 3" xfId="5422" xr:uid="{00000000-0005-0000-0000-0000FF060000}"/>
    <cellStyle name="40% - Accent6 2 2 4 3 2" xfId="13864" xr:uid="{AADE7454-9B31-4A5E-9355-D550047D59BE}"/>
    <cellStyle name="40% - Accent6 2 2 4 3 3" xfId="22299" xr:uid="{779B8D0C-1912-4A47-92BE-05F39E569651}"/>
    <cellStyle name="40% - Accent6 2 2 4 4" xfId="9646" xr:uid="{DDBE137E-74D3-424D-B6AD-AF74A714EE20}"/>
    <cellStyle name="40% - Accent6 2 2 4 5" xfId="18082" xr:uid="{13AB0A8D-D320-4052-B849-A5BAF0CCA40F}"/>
    <cellStyle name="40% - Accent6 2 2 5" xfId="1527" xr:uid="{00000000-0005-0000-0000-000000070000}"/>
    <cellStyle name="40% - Accent6 2 2 5 2" xfId="3757" xr:uid="{00000000-0005-0000-0000-000001070000}"/>
    <cellStyle name="40% - Accent6 2 2 5 2 2" xfId="7980" xr:uid="{00000000-0005-0000-0000-000002070000}"/>
    <cellStyle name="40% - Accent6 2 2 5 2 2 2" xfId="16422" xr:uid="{30A00DB7-88B6-4344-B9C8-A9AFD89C83EB}"/>
    <cellStyle name="40% - Accent6 2 2 5 2 2 3" xfId="24857" xr:uid="{97BEE5CE-5252-4BC5-816B-0374330D023F}"/>
    <cellStyle name="40% - Accent6 2 2 5 2 3" xfId="12204" xr:uid="{63E09C3A-2BD2-478E-95A6-D233A0926B7E}"/>
    <cellStyle name="40% - Accent6 2 2 5 2 4" xfId="20640" xr:uid="{1A5F6ACE-500B-4169-B20A-1324FAA6B72B}"/>
    <cellStyle name="40% - Accent6 2 2 5 3" xfId="5835" xr:uid="{00000000-0005-0000-0000-000003070000}"/>
    <cellStyle name="40% - Accent6 2 2 5 3 2" xfId="14277" xr:uid="{C9EF4778-41FC-40AD-9577-2BDF186FCE79}"/>
    <cellStyle name="40% - Accent6 2 2 5 3 3" xfId="22712" xr:uid="{B18E4AB3-BD68-4863-91A5-A475632FA8EE}"/>
    <cellStyle name="40% - Accent6 2 2 5 4" xfId="10059" xr:uid="{C46EE967-7765-49F3-AD68-FAF7033BA851}"/>
    <cellStyle name="40% - Accent6 2 2 5 5" xfId="18495" xr:uid="{17600B2E-36AB-48D7-B4BE-05E634D05216}"/>
    <cellStyle name="40% - Accent6 2 2 6" xfId="1941" xr:uid="{00000000-0005-0000-0000-000004070000}"/>
    <cellStyle name="40% - Accent6 2 2 6 2" xfId="4170" xr:uid="{00000000-0005-0000-0000-000005070000}"/>
    <cellStyle name="40% - Accent6 2 2 6 2 2" xfId="8393" xr:uid="{00000000-0005-0000-0000-000006070000}"/>
    <cellStyle name="40% - Accent6 2 2 6 2 2 2" xfId="16835" xr:uid="{7178B03E-91F9-4BB6-807D-4FC38F370EE9}"/>
    <cellStyle name="40% - Accent6 2 2 6 2 2 3" xfId="25270" xr:uid="{49F7150D-178F-4566-AB10-036A4801841D}"/>
    <cellStyle name="40% - Accent6 2 2 6 2 3" xfId="12617" xr:uid="{0CC52A5F-AB89-4F28-A407-08B477E7854D}"/>
    <cellStyle name="40% - Accent6 2 2 6 2 4" xfId="21053" xr:uid="{8F6A5983-7BC4-4443-82F8-660A26D1603F}"/>
    <cellStyle name="40% - Accent6 2 2 6 3" xfId="6248" xr:uid="{00000000-0005-0000-0000-000007070000}"/>
    <cellStyle name="40% - Accent6 2 2 6 3 2" xfId="14690" xr:uid="{BAD12F32-37E2-43A9-BE92-91CD6A6313A0}"/>
    <cellStyle name="40% - Accent6 2 2 6 3 3" xfId="23125" xr:uid="{7803A826-8B16-49FD-A123-059CB554C55A}"/>
    <cellStyle name="40% - Accent6 2 2 6 4" xfId="10472" xr:uid="{487A16E9-8B40-4EB5-BB62-4FD8B0E194D2}"/>
    <cellStyle name="40% - Accent6 2 2 6 5" xfId="18908" xr:uid="{4FF55026-AEE4-42ED-AD35-5B44DD013413}"/>
    <cellStyle name="40% - Accent6 2 2 7" xfId="2354" xr:uid="{00000000-0005-0000-0000-000008070000}"/>
    <cellStyle name="40% - Accent6 2 2 7 2" xfId="6661" xr:uid="{00000000-0005-0000-0000-000009070000}"/>
    <cellStyle name="40% - Accent6 2 2 7 2 2" xfId="15103" xr:uid="{9F6201B1-F13B-4B5B-99EF-A6ECC78B31C3}"/>
    <cellStyle name="40% - Accent6 2 2 7 2 3" xfId="23538" xr:uid="{35DC2FB4-0E87-4515-84A4-F4D03BF41372}"/>
    <cellStyle name="40% - Accent6 2 2 7 3" xfId="10885" xr:uid="{AA0DAAC9-73A3-4D5B-A9DA-699D3F4C5D9A}"/>
    <cellStyle name="40% - Accent6 2 2 7 4" xfId="19321" xr:uid="{0F42F9FB-7631-4BF8-9AAF-5BC53FEFB210}"/>
    <cellStyle name="40% - Accent6 2 2 8" xfId="4595" xr:uid="{00000000-0005-0000-0000-00000A070000}"/>
    <cellStyle name="40% - Accent6 2 2 8 2" xfId="13037" xr:uid="{4F9C837E-ADA0-4937-BBEB-57775C9CC7AA}"/>
    <cellStyle name="40% - Accent6 2 2 8 3" xfId="21472" xr:uid="{6534E52D-7653-483D-90BA-C9F4111E7A7B}"/>
    <cellStyle name="40% - Accent6 2 2 9" xfId="8819" xr:uid="{2E3D7B0B-06A1-4501-AF18-1E732D091A5E}"/>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2 2 2" xfId="15598" xr:uid="{FBF790A7-1E21-4383-BF61-B484B577FE08}"/>
    <cellStyle name="40% - Accent6 2 3 2 2 2 3" xfId="24033" xr:uid="{55FF5259-0AB2-47C5-913B-3518419611EB}"/>
    <cellStyle name="40% - Accent6 2 3 2 2 3" xfId="11380" xr:uid="{725570F7-D112-4AA7-A4F1-CA577DCA75B9}"/>
    <cellStyle name="40% - Accent6 2 3 2 2 4" xfId="19816" xr:uid="{0CCAA3E6-8AD2-4E88-9939-BC700BACB9F3}"/>
    <cellStyle name="40% - Accent6 2 3 2 3" xfId="5011" xr:uid="{00000000-0005-0000-0000-00000F070000}"/>
    <cellStyle name="40% - Accent6 2 3 2 3 2" xfId="13453" xr:uid="{2B120DC2-7E10-4ACD-BE59-2C06DF1ACCDA}"/>
    <cellStyle name="40% - Accent6 2 3 2 3 3" xfId="21888" xr:uid="{83A25FA3-C32E-4779-9080-C698A3640EAD}"/>
    <cellStyle name="40% - Accent6 2 3 2 4" xfId="9235" xr:uid="{76BE78C0-827A-466F-9CD2-B80B21B6ACDE}"/>
    <cellStyle name="40% - Accent6 2 3 2 5" xfId="17671" xr:uid="{510DB322-D517-4009-B67E-73BA8C7947B1}"/>
    <cellStyle name="40% - Accent6 2 3 3" xfId="1115" xr:uid="{00000000-0005-0000-0000-000010070000}"/>
    <cellStyle name="40% - Accent6 2 3 3 2" xfId="3346" xr:uid="{00000000-0005-0000-0000-000011070000}"/>
    <cellStyle name="40% - Accent6 2 3 3 2 2" xfId="7569" xr:uid="{00000000-0005-0000-0000-000012070000}"/>
    <cellStyle name="40% - Accent6 2 3 3 2 2 2" xfId="16011" xr:uid="{E9FEC809-E1FF-44DD-9551-CD3254A1A3D4}"/>
    <cellStyle name="40% - Accent6 2 3 3 2 2 3" xfId="24446" xr:uid="{6000652C-FDE5-4096-93F5-6FE36B3F6762}"/>
    <cellStyle name="40% - Accent6 2 3 3 2 3" xfId="11793" xr:uid="{7B7C8F4B-53E3-4CE5-BA47-3293BF3F2D5B}"/>
    <cellStyle name="40% - Accent6 2 3 3 2 4" xfId="20229" xr:uid="{C834C931-D456-4032-8AE6-F2B6409AA3BC}"/>
    <cellStyle name="40% - Accent6 2 3 3 3" xfId="5424" xr:uid="{00000000-0005-0000-0000-000013070000}"/>
    <cellStyle name="40% - Accent6 2 3 3 3 2" xfId="13866" xr:uid="{9705FE38-2AC8-46B3-9352-94B24BE849CE}"/>
    <cellStyle name="40% - Accent6 2 3 3 3 3" xfId="22301" xr:uid="{DBEBA62C-4916-474C-BC73-348334760295}"/>
    <cellStyle name="40% - Accent6 2 3 3 4" xfId="9648" xr:uid="{8A1F1A27-249D-4C36-8178-A0BE412F05E6}"/>
    <cellStyle name="40% - Accent6 2 3 3 5" xfId="18084" xr:uid="{DA83DA4A-DDA4-4FA7-A8D6-BE193A133909}"/>
    <cellStyle name="40% - Accent6 2 3 4" xfId="1529" xr:uid="{00000000-0005-0000-0000-000014070000}"/>
    <cellStyle name="40% - Accent6 2 3 4 2" xfId="3759" xr:uid="{00000000-0005-0000-0000-000015070000}"/>
    <cellStyle name="40% - Accent6 2 3 4 2 2" xfId="7982" xr:uid="{00000000-0005-0000-0000-000016070000}"/>
    <cellStyle name="40% - Accent6 2 3 4 2 2 2" xfId="16424" xr:uid="{3F19A2F8-A2DD-4D4B-9159-BD7D09758872}"/>
    <cellStyle name="40% - Accent6 2 3 4 2 2 3" xfId="24859" xr:uid="{0FECE9D7-2D0F-4400-A4F5-886A11ED598B}"/>
    <cellStyle name="40% - Accent6 2 3 4 2 3" xfId="12206" xr:uid="{B9E9B948-69A5-4461-9D3A-8FE3D72D5088}"/>
    <cellStyle name="40% - Accent6 2 3 4 2 4" xfId="20642" xr:uid="{516046CB-F9C4-47E5-B9F2-0AE85D06DBA0}"/>
    <cellStyle name="40% - Accent6 2 3 4 3" xfId="5837" xr:uid="{00000000-0005-0000-0000-000017070000}"/>
    <cellStyle name="40% - Accent6 2 3 4 3 2" xfId="14279" xr:uid="{6A841CB5-2821-4A0C-9D32-AE1D9D4791F6}"/>
    <cellStyle name="40% - Accent6 2 3 4 3 3" xfId="22714" xr:uid="{E0EABD27-D757-421C-970A-5184F04A95E2}"/>
    <cellStyle name="40% - Accent6 2 3 4 4" xfId="10061" xr:uid="{6FBAB90C-738F-43D9-8598-022F619B244F}"/>
    <cellStyle name="40% - Accent6 2 3 4 5" xfId="18497" xr:uid="{BCDB5E97-E671-4D83-9141-55FC6AAE4750}"/>
    <cellStyle name="40% - Accent6 2 3 5" xfId="1943" xr:uid="{00000000-0005-0000-0000-000018070000}"/>
    <cellStyle name="40% - Accent6 2 3 5 2" xfId="4172" xr:uid="{00000000-0005-0000-0000-000019070000}"/>
    <cellStyle name="40% - Accent6 2 3 5 2 2" xfId="8395" xr:uid="{00000000-0005-0000-0000-00001A070000}"/>
    <cellStyle name="40% - Accent6 2 3 5 2 2 2" xfId="16837" xr:uid="{718B26AB-7CF4-4D7E-B914-26B76A7B0649}"/>
    <cellStyle name="40% - Accent6 2 3 5 2 2 3" xfId="25272" xr:uid="{EBA351E9-3D19-40EA-BB90-691A466D969E}"/>
    <cellStyle name="40% - Accent6 2 3 5 2 3" xfId="12619" xr:uid="{F6F89BE8-8BD2-409E-BC53-17B9C309EAA7}"/>
    <cellStyle name="40% - Accent6 2 3 5 2 4" xfId="21055" xr:uid="{54F17770-EB9B-4A35-AC15-9D1E565D4495}"/>
    <cellStyle name="40% - Accent6 2 3 5 3" xfId="6250" xr:uid="{00000000-0005-0000-0000-00001B070000}"/>
    <cellStyle name="40% - Accent6 2 3 5 3 2" xfId="14692" xr:uid="{CFC47DFB-E9DE-4100-A075-D2155D05B3A2}"/>
    <cellStyle name="40% - Accent6 2 3 5 3 3" xfId="23127" xr:uid="{A78168BB-ED0E-4CC4-B640-FE361F066CE1}"/>
    <cellStyle name="40% - Accent6 2 3 5 4" xfId="10474" xr:uid="{0332F31E-1858-44A5-86B8-D54258FFAD04}"/>
    <cellStyle name="40% - Accent6 2 3 5 5" xfId="18910" xr:uid="{2486E8F8-24DF-4477-8B59-214F5A0F7160}"/>
    <cellStyle name="40% - Accent6 2 3 6" xfId="2356" xr:uid="{00000000-0005-0000-0000-00001C070000}"/>
    <cellStyle name="40% - Accent6 2 3 6 2" xfId="6663" xr:uid="{00000000-0005-0000-0000-00001D070000}"/>
    <cellStyle name="40% - Accent6 2 3 6 2 2" xfId="15105" xr:uid="{649EE07E-AC25-4889-93C3-A154A3E508FD}"/>
    <cellStyle name="40% - Accent6 2 3 6 2 3" xfId="23540" xr:uid="{6650A368-D55E-4F9B-89E3-6A8AB79CE4A4}"/>
    <cellStyle name="40% - Accent6 2 3 6 3" xfId="10887" xr:uid="{18CCF234-FBA6-4FB3-8E1D-A0E08C8ADD49}"/>
    <cellStyle name="40% - Accent6 2 3 6 4" xfId="19323" xr:uid="{D757B93B-1E39-4C30-BA9F-3DD46220B5E7}"/>
    <cellStyle name="40% - Accent6 2 3 7" xfId="4597" xr:uid="{00000000-0005-0000-0000-00001E070000}"/>
    <cellStyle name="40% - Accent6 2 3 7 2" xfId="13039" xr:uid="{71A28A2B-1D38-4DE3-AA59-B274E7553FB4}"/>
    <cellStyle name="40% - Accent6 2 3 7 3" xfId="21474" xr:uid="{864C6B78-40F0-4DA6-A2B9-A84681A2E234}"/>
    <cellStyle name="40% - Accent6 2 3 8" xfId="8821" xr:uid="{49B5FE82-AB52-492F-ADE6-3A356DF17B7D}"/>
    <cellStyle name="40% - Accent6 2 3 9" xfId="17257" xr:uid="{0AFA7964-9DB5-4DD0-A946-C6509CB1C97F}"/>
    <cellStyle name="40% - Accent6 2 4" xfId="659" xr:uid="{00000000-0005-0000-0000-00001F070000}"/>
    <cellStyle name="40% - Accent6 2 4 2" xfId="2930" xr:uid="{00000000-0005-0000-0000-000020070000}"/>
    <cellStyle name="40% - Accent6 2 4 2 2" xfId="7153" xr:uid="{00000000-0005-0000-0000-000021070000}"/>
    <cellStyle name="40% - Accent6 2 4 2 2 2" xfId="15595" xr:uid="{C8AF31D2-6AFD-4CF1-AE7D-09D9F27CF70D}"/>
    <cellStyle name="40% - Accent6 2 4 2 2 3" xfId="24030" xr:uid="{19FA2339-D34E-4AEA-BCBF-EAD37DC49C3E}"/>
    <cellStyle name="40% - Accent6 2 4 2 3" xfId="11377" xr:uid="{28A1B628-D0D9-478F-81AD-4E6861086F21}"/>
    <cellStyle name="40% - Accent6 2 4 2 4" xfId="19813" xr:uid="{FE1D3EB7-86D8-4F7F-8DC2-DEB9D10B7009}"/>
    <cellStyle name="40% - Accent6 2 4 3" xfId="5008" xr:uid="{00000000-0005-0000-0000-000022070000}"/>
    <cellStyle name="40% - Accent6 2 4 3 2" xfId="13450" xr:uid="{7C18EA3D-70E8-4E32-B19D-470F727F7881}"/>
    <cellStyle name="40% - Accent6 2 4 3 3" xfId="21885" xr:uid="{E9DAF64B-E607-484C-AC2F-A3074F93BB06}"/>
    <cellStyle name="40% - Accent6 2 4 4" xfId="9232" xr:uid="{1C774226-7AC1-4635-AE33-5839F20F53CF}"/>
    <cellStyle name="40% - Accent6 2 4 5" xfId="17668" xr:uid="{8CF17770-CA46-4426-AAEB-0A4251AB54EF}"/>
    <cellStyle name="40% - Accent6 2 5" xfId="1112" xr:uid="{00000000-0005-0000-0000-000023070000}"/>
    <cellStyle name="40% - Accent6 2 5 2" xfId="3343" xr:uid="{00000000-0005-0000-0000-000024070000}"/>
    <cellStyle name="40% - Accent6 2 5 2 2" xfId="7566" xr:uid="{00000000-0005-0000-0000-000025070000}"/>
    <cellStyle name="40% - Accent6 2 5 2 2 2" xfId="16008" xr:uid="{1DE92151-E087-4F7C-A992-A0271F07E2FB}"/>
    <cellStyle name="40% - Accent6 2 5 2 2 3" xfId="24443" xr:uid="{76603708-A575-4D85-AE97-97C4DD594977}"/>
    <cellStyle name="40% - Accent6 2 5 2 3" xfId="11790" xr:uid="{B8DEFE73-9011-4877-9B4D-CB0BE7E21B37}"/>
    <cellStyle name="40% - Accent6 2 5 2 4" xfId="20226" xr:uid="{A6F9537E-69FC-4D93-B43B-40125274B272}"/>
    <cellStyle name="40% - Accent6 2 5 3" xfId="5421" xr:uid="{00000000-0005-0000-0000-000026070000}"/>
    <cellStyle name="40% - Accent6 2 5 3 2" xfId="13863" xr:uid="{6F0EB7AB-CA71-4A61-A6BB-0988B41CEEEB}"/>
    <cellStyle name="40% - Accent6 2 5 3 3" xfId="22298" xr:uid="{55FBDAEC-07CD-4948-A022-D86957D4E6B1}"/>
    <cellStyle name="40% - Accent6 2 5 4" xfId="9645" xr:uid="{8775CC93-4C59-43BC-B5B5-B5D48426A7FF}"/>
    <cellStyle name="40% - Accent6 2 5 5" xfId="18081" xr:uid="{C0BDB5E3-C7CC-49B3-BDA3-6C00F44FCCA8}"/>
    <cellStyle name="40% - Accent6 2 6" xfId="1526" xr:uid="{00000000-0005-0000-0000-000027070000}"/>
    <cellStyle name="40% - Accent6 2 6 2" xfId="3756" xr:uid="{00000000-0005-0000-0000-000028070000}"/>
    <cellStyle name="40% - Accent6 2 6 2 2" xfId="7979" xr:uid="{00000000-0005-0000-0000-000029070000}"/>
    <cellStyle name="40% - Accent6 2 6 2 2 2" xfId="16421" xr:uid="{11206B21-F4BE-46D9-B0E6-727DB62A2263}"/>
    <cellStyle name="40% - Accent6 2 6 2 2 3" xfId="24856" xr:uid="{2812C6D3-C723-4FD8-BE84-ABE5DADE219D}"/>
    <cellStyle name="40% - Accent6 2 6 2 3" xfId="12203" xr:uid="{81282DB8-82BA-4D9D-A7B4-3B384F692329}"/>
    <cellStyle name="40% - Accent6 2 6 2 4" xfId="20639" xr:uid="{958CC222-9158-4126-9544-9F0113EDF02B}"/>
    <cellStyle name="40% - Accent6 2 6 3" xfId="5834" xr:uid="{00000000-0005-0000-0000-00002A070000}"/>
    <cellStyle name="40% - Accent6 2 6 3 2" xfId="14276" xr:uid="{F8F35F8A-447F-4007-9FAC-EFF9242C5491}"/>
    <cellStyle name="40% - Accent6 2 6 3 3" xfId="22711" xr:uid="{2DBBDF84-74A0-451B-A3A2-40F64D064471}"/>
    <cellStyle name="40% - Accent6 2 6 4" xfId="10058" xr:uid="{3070264F-CBEB-4E3B-A923-FDCE344DB627}"/>
    <cellStyle name="40% - Accent6 2 6 5" xfId="18494" xr:uid="{56E47F47-89A3-4766-BFD6-DA1DF756039E}"/>
    <cellStyle name="40% - Accent6 2 7" xfId="1940" xr:uid="{00000000-0005-0000-0000-00002B070000}"/>
    <cellStyle name="40% - Accent6 2 7 2" xfId="4169" xr:uid="{00000000-0005-0000-0000-00002C070000}"/>
    <cellStyle name="40% - Accent6 2 7 2 2" xfId="8392" xr:uid="{00000000-0005-0000-0000-00002D070000}"/>
    <cellStyle name="40% - Accent6 2 7 2 2 2" xfId="16834" xr:uid="{3A84F6CB-4400-4901-B8A6-ADBE81249A6F}"/>
    <cellStyle name="40% - Accent6 2 7 2 2 3" xfId="25269" xr:uid="{05A755A0-3138-4314-973D-64AF4768E522}"/>
    <cellStyle name="40% - Accent6 2 7 2 3" xfId="12616" xr:uid="{87502B72-2457-4621-9505-486E0745639A}"/>
    <cellStyle name="40% - Accent6 2 7 2 4" xfId="21052" xr:uid="{E8943229-3C9F-4D53-AEEC-3595F4440335}"/>
    <cellStyle name="40% - Accent6 2 7 3" xfId="6247" xr:uid="{00000000-0005-0000-0000-00002E070000}"/>
    <cellStyle name="40% - Accent6 2 7 3 2" xfId="14689" xr:uid="{484008AA-60CA-4B40-AB40-555EB4BD3C06}"/>
    <cellStyle name="40% - Accent6 2 7 3 3" xfId="23124" xr:uid="{B988CE46-9725-4E28-86F3-BFA5149D0C51}"/>
    <cellStyle name="40% - Accent6 2 7 4" xfId="10471" xr:uid="{637A8865-4022-47DA-8AA5-E54BA346924B}"/>
    <cellStyle name="40% - Accent6 2 7 5" xfId="18907" xr:uid="{6DEBD8D6-D689-46B0-A029-19AAA7CE2186}"/>
    <cellStyle name="40% - Accent6 2 8" xfId="2353" xr:uid="{00000000-0005-0000-0000-00002F070000}"/>
    <cellStyle name="40% - Accent6 2 8 2" xfId="6660" xr:uid="{00000000-0005-0000-0000-000030070000}"/>
    <cellStyle name="40% - Accent6 2 8 2 2" xfId="15102" xr:uid="{6ED7443D-68CB-4607-904B-6D011B5F510F}"/>
    <cellStyle name="40% - Accent6 2 8 2 3" xfId="23537" xr:uid="{7B896210-32D3-4F7E-82F1-C28563CB9FA0}"/>
    <cellStyle name="40% - Accent6 2 8 3" xfId="10884" xr:uid="{042B535E-7792-4A58-BB77-D027B57EC850}"/>
    <cellStyle name="40% - Accent6 2 8 4" xfId="19320" xr:uid="{A2F33290-7670-4D85-AE8B-380689B61B40}"/>
    <cellStyle name="40% - Accent6 2 9" xfId="4594" xr:uid="{00000000-0005-0000-0000-000031070000}"/>
    <cellStyle name="40% - Accent6 2 9 2" xfId="13036" xr:uid="{036737C4-D0A8-4B2C-A724-F5FB4F6A2666}"/>
    <cellStyle name="40% - Accent6 2 9 3" xfId="21471" xr:uid="{C448D42F-CB0C-4077-B81B-FF9DFBB19377}"/>
    <cellStyle name="40% - Accent6 3" xfId="94" xr:uid="{00000000-0005-0000-0000-000032070000}"/>
    <cellStyle name="40% - Accent6 3 10" xfId="17258" xr:uid="{A6C99BBF-849D-4419-BE7C-61C94D314D98}"/>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2 2 2" xfId="15600" xr:uid="{67DBA075-306E-439E-9FFC-1B66963B0BE1}"/>
    <cellStyle name="40% - Accent6 3 2 2 2 2 3" xfId="24035" xr:uid="{841F68C0-6FB9-4EB3-9A0C-615394A70839}"/>
    <cellStyle name="40% - Accent6 3 2 2 2 3" xfId="11382" xr:uid="{EB385EEF-D094-4D8C-8504-398EE7DB684E}"/>
    <cellStyle name="40% - Accent6 3 2 2 2 4" xfId="19818" xr:uid="{EF6C55E8-2556-4310-8A63-64B4EF9A464C}"/>
    <cellStyle name="40% - Accent6 3 2 2 3" xfId="5013" xr:uid="{00000000-0005-0000-0000-000037070000}"/>
    <cellStyle name="40% - Accent6 3 2 2 3 2" xfId="13455" xr:uid="{EC206D56-650E-4953-B56D-B533955E6EA0}"/>
    <cellStyle name="40% - Accent6 3 2 2 3 3" xfId="21890" xr:uid="{61DF0382-D123-4747-A8E7-B411A16A6ECD}"/>
    <cellStyle name="40% - Accent6 3 2 2 4" xfId="9237" xr:uid="{45EAE9B7-9FCC-4DE5-BA58-A8972074AB60}"/>
    <cellStyle name="40% - Accent6 3 2 2 5" xfId="17673" xr:uid="{D8DF83BB-BC8C-4A44-839E-ECDB1390A6F8}"/>
    <cellStyle name="40% - Accent6 3 2 3" xfId="1117" xr:uid="{00000000-0005-0000-0000-000038070000}"/>
    <cellStyle name="40% - Accent6 3 2 3 2" xfId="3348" xr:uid="{00000000-0005-0000-0000-000039070000}"/>
    <cellStyle name="40% - Accent6 3 2 3 2 2" xfId="7571" xr:uid="{00000000-0005-0000-0000-00003A070000}"/>
    <cellStyle name="40% - Accent6 3 2 3 2 2 2" xfId="16013" xr:uid="{716FF14E-FB4D-4E9C-B25D-C2806109AB79}"/>
    <cellStyle name="40% - Accent6 3 2 3 2 2 3" xfId="24448" xr:uid="{39A2ECBF-7C77-49C8-90D1-4974A2C19488}"/>
    <cellStyle name="40% - Accent6 3 2 3 2 3" xfId="11795" xr:uid="{C81D0051-FD8A-4B9D-BAA5-C07A677F4696}"/>
    <cellStyle name="40% - Accent6 3 2 3 2 4" xfId="20231" xr:uid="{10A980AB-F369-4A7B-B4F2-E3F5B0FC85CE}"/>
    <cellStyle name="40% - Accent6 3 2 3 3" xfId="5426" xr:uid="{00000000-0005-0000-0000-00003B070000}"/>
    <cellStyle name="40% - Accent6 3 2 3 3 2" xfId="13868" xr:uid="{829B5824-FE4A-47B6-A317-3B480397A64E}"/>
    <cellStyle name="40% - Accent6 3 2 3 3 3" xfId="22303" xr:uid="{F3F979C4-530E-4EFC-B11D-3F27F87A25A0}"/>
    <cellStyle name="40% - Accent6 3 2 3 4" xfId="9650" xr:uid="{EA287646-ED15-461F-9F7C-A4B887B64A3E}"/>
    <cellStyle name="40% - Accent6 3 2 3 5" xfId="18086" xr:uid="{A58A4F19-CD33-4B10-A5F0-C729FB3C0ACE}"/>
    <cellStyle name="40% - Accent6 3 2 4" xfId="1531" xr:uid="{00000000-0005-0000-0000-00003C070000}"/>
    <cellStyle name="40% - Accent6 3 2 4 2" xfId="3761" xr:uid="{00000000-0005-0000-0000-00003D070000}"/>
    <cellStyle name="40% - Accent6 3 2 4 2 2" xfId="7984" xr:uid="{00000000-0005-0000-0000-00003E070000}"/>
    <cellStyle name="40% - Accent6 3 2 4 2 2 2" xfId="16426" xr:uid="{E7ADC957-2E36-4944-B682-8D967B7BC0D0}"/>
    <cellStyle name="40% - Accent6 3 2 4 2 2 3" xfId="24861" xr:uid="{DD808FBD-7A21-406E-A837-5467A41DB23C}"/>
    <cellStyle name="40% - Accent6 3 2 4 2 3" xfId="12208" xr:uid="{8B9E2B6E-01D2-4E56-9F80-35DA4B72D2EF}"/>
    <cellStyle name="40% - Accent6 3 2 4 2 4" xfId="20644" xr:uid="{263CD4AD-28A6-4991-919D-23BFD59B879B}"/>
    <cellStyle name="40% - Accent6 3 2 4 3" xfId="5839" xr:uid="{00000000-0005-0000-0000-00003F070000}"/>
    <cellStyle name="40% - Accent6 3 2 4 3 2" xfId="14281" xr:uid="{854511E0-732F-44FF-8373-E88096353294}"/>
    <cellStyle name="40% - Accent6 3 2 4 3 3" xfId="22716" xr:uid="{D192601F-8021-469B-80FC-ED88944201C0}"/>
    <cellStyle name="40% - Accent6 3 2 4 4" xfId="10063" xr:uid="{599859CB-4D5D-41AD-B3E1-C544C4C61C31}"/>
    <cellStyle name="40% - Accent6 3 2 4 5" xfId="18499" xr:uid="{5F044CE4-42B3-46F2-B0B5-B0340C243CCF}"/>
    <cellStyle name="40% - Accent6 3 2 5" xfId="1945" xr:uid="{00000000-0005-0000-0000-000040070000}"/>
    <cellStyle name="40% - Accent6 3 2 5 2" xfId="4174" xr:uid="{00000000-0005-0000-0000-000041070000}"/>
    <cellStyle name="40% - Accent6 3 2 5 2 2" xfId="8397" xr:uid="{00000000-0005-0000-0000-000042070000}"/>
    <cellStyle name="40% - Accent6 3 2 5 2 2 2" xfId="16839" xr:uid="{C4783CAE-7439-49DC-A7C8-123D5F48C9E8}"/>
    <cellStyle name="40% - Accent6 3 2 5 2 2 3" xfId="25274" xr:uid="{581A0D92-F478-4DC0-8B67-750CD3411568}"/>
    <cellStyle name="40% - Accent6 3 2 5 2 3" xfId="12621" xr:uid="{BB48EA5D-C542-41DD-AD12-8FF778DF7C2A}"/>
    <cellStyle name="40% - Accent6 3 2 5 2 4" xfId="21057" xr:uid="{979AA188-4479-433C-B496-06FEB1E5B68B}"/>
    <cellStyle name="40% - Accent6 3 2 5 3" xfId="6252" xr:uid="{00000000-0005-0000-0000-000043070000}"/>
    <cellStyle name="40% - Accent6 3 2 5 3 2" xfId="14694" xr:uid="{414F6675-9F08-4402-83BC-3F469812DC89}"/>
    <cellStyle name="40% - Accent6 3 2 5 3 3" xfId="23129" xr:uid="{7CA10207-7ACB-45AA-93BE-70BFC5195BD2}"/>
    <cellStyle name="40% - Accent6 3 2 5 4" xfId="10476" xr:uid="{8E4B0DA5-FACD-4F30-8976-B39E01BD801F}"/>
    <cellStyle name="40% - Accent6 3 2 5 5" xfId="18912" xr:uid="{77542A6A-19EA-4514-B173-CC62057D12B9}"/>
    <cellStyle name="40% - Accent6 3 2 6" xfId="2358" xr:uid="{00000000-0005-0000-0000-000044070000}"/>
    <cellStyle name="40% - Accent6 3 2 6 2" xfId="6665" xr:uid="{00000000-0005-0000-0000-000045070000}"/>
    <cellStyle name="40% - Accent6 3 2 6 2 2" xfId="15107" xr:uid="{E58EE69E-2666-48A0-A4B2-E5CAEE5E2E0D}"/>
    <cellStyle name="40% - Accent6 3 2 6 2 3" xfId="23542" xr:uid="{A94D750D-503E-4FFD-9E21-FEEC9596CCD9}"/>
    <cellStyle name="40% - Accent6 3 2 6 3" xfId="10889" xr:uid="{59C95331-C4CA-404B-9FBD-9B536D39D645}"/>
    <cellStyle name="40% - Accent6 3 2 6 4" xfId="19325" xr:uid="{D238F8B2-8733-44AB-BD04-1C3634926D14}"/>
    <cellStyle name="40% - Accent6 3 2 7" xfId="4599" xr:uid="{00000000-0005-0000-0000-000046070000}"/>
    <cellStyle name="40% - Accent6 3 2 7 2" xfId="13041" xr:uid="{A43385BD-55CB-4B5B-9385-88BD95D32DA6}"/>
    <cellStyle name="40% - Accent6 3 2 7 3" xfId="21476" xr:uid="{0536EC95-644A-4AF0-986F-9DFD9066E5D1}"/>
    <cellStyle name="40% - Accent6 3 2 8" xfId="8823" xr:uid="{01E82D22-C3FB-4DA7-A2B7-FEDBD6A77A2E}"/>
    <cellStyle name="40% - Accent6 3 2 9" xfId="17259" xr:uid="{53FDFDDE-A07F-4FF9-8254-7FCD8E2C07E1}"/>
    <cellStyle name="40% - Accent6 3 3" xfId="663" xr:uid="{00000000-0005-0000-0000-000047070000}"/>
    <cellStyle name="40% - Accent6 3 3 2" xfId="2934" xr:uid="{00000000-0005-0000-0000-000048070000}"/>
    <cellStyle name="40% - Accent6 3 3 2 2" xfId="7157" xr:uid="{00000000-0005-0000-0000-000049070000}"/>
    <cellStyle name="40% - Accent6 3 3 2 2 2" xfId="15599" xr:uid="{2AEA6058-22BD-4BA4-85E6-6ED17024A193}"/>
    <cellStyle name="40% - Accent6 3 3 2 2 3" xfId="24034" xr:uid="{E52A6AF4-CC3C-4BFD-B192-3CDC36B64927}"/>
    <cellStyle name="40% - Accent6 3 3 2 3" xfId="11381" xr:uid="{A1BC1C7E-F97F-4BA0-ADDF-672E40BC7E0C}"/>
    <cellStyle name="40% - Accent6 3 3 2 4" xfId="19817" xr:uid="{389B8AE3-E421-4117-8813-36ACDC6D81ED}"/>
    <cellStyle name="40% - Accent6 3 3 3" xfId="5012" xr:uid="{00000000-0005-0000-0000-00004A070000}"/>
    <cellStyle name="40% - Accent6 3 3 3 2" xfId="13454" xr:uid="{965CC404-07A9-4909-AB9F-B8EEA1FF7539}"/>
    <cellStyle name="40% - Accent6 3 3 3 3" xfId="21889" xr:uid="{963FBADF-3D0F-4A05-A90E-F689B1647127}"/>
    <cellStyle name="40% - Accent6 3 3 4" xfId="9236" xr:uid="{21BB1661-08D0-4130-B90B-CBD8FD9A78A9}"/>
    <cellStyle name="40% - Accent6 3 3 5" xfId="17672" xr:uid="{EE7FB083-B764-4C79-83DD-71F97CFC8129}"/>
    <cellStyle name="40% - Accent6 3 4" xfId="1116" xr:uid="{00000000-0005-0000-0000-00004B070000}"/>
    <cellStyle name="40% - Accent6 3 4 2" xfId="3347" xr:uid="{00000000-0005-0000-0000-00004C070000}"/>
    <cellStyle name="40% - Accent6 3 4 2 2" xfId="7570" xr:uid="{00000000-0005-0000-0000-00004D070000}"/>
    <cellStyle name="40% - Accent6 3 4 2 2 2" xfId="16012" xr:uid="{0B8CBB3E-877B-4DB2-8836-8DE1E73785EF}"/>
    <cellStyle name="40% - Accent6 3 4 2 2 3" xfId="24447" xr:uid="{73632463-88EF-43DB-9DAF-371920F727B4}"/>
    <cellStyle name="40% - Accent6 3 4 2 3" xfId="11794" xr:uid="{CF398FC4-1E9D-4E42-BAA0-D2DA8337F309}"/>
    <cellStyle name="40% - Accent6 3 4 2 4" xfId="20230" xr:uid="{E9FFC1D9-02F5-438A-BF08-54760586A8BA}"/>
    <cellStyle name="40% - Accent6 3 4 3" xfId="5425" xr:uid="{00000000-0005-0000-0000-00004E070000}"/>
    <cellStyle name="40% - Accent6 3 4 3 2" xfId="13867" xr:uid="{D2D905D6-3FF9-4D0F-9D22-DBCDB8E1E7B8}"/>
    <cellStyle name="40% - Accent6 3 4 3 3" xfId="22302" xr:uid="{6124067F-2B35-4108-B34E-86F7F41F2B68}"/>
    <cellStyle name="40% - Accent6 3 4 4" xfId="9649" xr:uid="{7C805D81-0F6C-4F54-A062-000A97302FF4}"/>
    <cellStyle name="40% - Accent6 3 4 5" xfId="18085" xr:uid="{36397CF5-E78F-48FE-807B-CD774BC6C729}"/>
    <cellStyle name="40% - Accent6 3 5" xfId="1530" xr:uid="{00000000-0005-0000-0000-00004F070000}"/>
    <cellStyle name="40% - Accent6 3 5 2" xfId="3760" xr:uid="{00000000-0005-0000-0000-000050070000}"/>
    <cellStyle name="40% - Accent6 3 5 2 2" xfId="7983" xr:uid="{00000000-0005-0000-0000-000051070000}"/>
    <cellStyle name="40% - Accent6 3 5 2 2 2" xfId="16425" xr:uid="{1744F5C6-E541-4B80-B9B7-85B0FB672143}"/>
    <cellStyle name="40% - Accent6 3 5 2 2 3" xfId="24860" xr:uid="{981B52DC-6CBC-4A0C-8C7A-7D038F8BAA2B}"/>
    <cellStyle name="40% - Accent6 3 5 2 3" xfId="12207" xr:uid="{0498B5CE-FD7F-4635-9D89-C4628A5517E6}"/>
    <cellStyle name="40% - Accent6 3 5 2 4" xfId="20643" xr:uid="{4866200A-76C0-419D-B2B6-8332AAEE04B7}"/>
    <cellStyle name="40% - Accent6 3 5 3" xfId="5838" xr:uid="{00000000-0005-0000-0000-000052070000}"/>
    <cellStyle name="40% - Accent6 3 5 3 2" xfId="14280" xr:uid="{052EDB00-DC6C-476E-B97B-EADBFF68EC5B}"/>
    <cellStyle name="40% - Accent6 3 5 3 3" xfId="22715" xr:uid="{D407D04D-E128-4681-929C-20C2D4E32681}"/>
    <cellStyle name="40% - Accent6 3 5 4" xfId="10062" xr:uid="{CBFD989A-59A4-4989-A6E7-03E5C3122209}"/>
    <cellStyle name="40% - Accent6 3 5 5" xfId="18498" xr:uid="{8E6EBDF6-C649-41DE-9940-D3B9808E642C}"/>
    <cellStyle name="40% - Accent6 3 6" xfId="1944" xr:uid="{00000000-0005-0000-0000-000053070000}"/>
    <cellStyle name="40% - Accent6 3 6 2" xfId="4173" xr:uid="{00000000-0005-0000-0000-000054070000}"/>
    <cellStyle name="40% - Accent6 3 6 2 2" xfId="8396" xr:uid="{00000000-0005-0000-0000-000055070000}"/>
    <cellStyle name="40% - Accent6 3 6 2 2 2" xfId="16838" xr:uid="{D6E4B06E-0D5C-4FF5-9DB0-BC1680A20BD1}"/>
    <cellStyle name="40% - Accent6 3 6 2 2 3" xfId="25273" xr:uid="{42E571B3-D885-45DF-957B-AE91DC7E2E00}"/>
    <cellStyle name="40% - Accent6 3 6 2 3" xfId="12620" xr:uid="{5A4434CA-2273-4CEA-BAB4-1B37DB90E3CC}"/>
    <cellStyle name="40% - Accent6 3 6 2 4" xfId="21056" xr:uid="{338F56C6-6634-4D3C-97B8-0085C54BCF28}"/>
    <cellStyle name="40% - Accent6 3 6 3" xfId="6251" xr:uid="{00000000-0005-0000-0000-000056070000}"/>
    <cellStyle name="40% - Accent6 3 6 3 2" xfId="14693" xr:uid="{FACD9F2D-F83C-4739-8983-9124FBE13783}"/>
    <cellStyle name="40% - Accent6 3 6 3 3" xfId="23128" xr:uid="{75111A93-C630-4B6A-9948-55E74D4EE1D3}"/>
    <cellStyle name="40% - Accent6 3 6 4" xfId="10475" xr:uid="{9B79A62D-3659-42DB-A600-F7303CE999DE}"/>
    <cellStyle name="40% - Accent6 3 6 5" xfId="18911" xr:uid="{23582548-7191-48D4-B02E-2CA8F5EA6FD6}"/>
    <cellStyle name="40% - Accent6 3 7" xfId="2357" xr:uid="{00000000-0005-0000-0000-000057070000}"/>
    <cellStyle name="40% - Accent6 3 7 2" xfId="6664" xr:uid="{00000000-0005-0000-0000-000058070000}"/>
    <cellStyle name="40% - Accent6 3 7 2 2" xfId="15106" xr:uid="{EAF34A6D-6667-41E5-BB31-A8C3DBB21914}"/>
    <cellStyle name="40% - Accent6 3 7 2 3" xfId="23541" xr:uid="{7B2F1445-E6DD-49A6-B071-016991E948E2}"/>
    <cellStyle name="40% - Accent6 3 7 3" xfId="10888" xr:uid="{D7AA281C-E120-4850-A5A1-F20E50415B5D}"/>
    <cellStyle name="40% - Accent6 3 7 4" xfId="19324" xr:uid="{EF301901-AFE9-4BFE-9F66-08F3D8767F97}"/>
    <cellStyle name="40% - Accent6 3 8" xfId="4598" xr:uid="{00000000-0005-0000-0000-000059070000}"/>
    <cellStyle name="40% - Accent6 3 8 2" xfId="13040" xr:uid="{94A3675F-80EA-4CCC-8F7A-ED5FFEB2A5E4}"/>
    <cellStyle name="40% - Accent6 3 8 3" xfId="21475" xr:uid="{FDA51044-32D4-40A7-A6C1-3E7C9C16A158}"/>
    <cellStyle name="40% - Accent6 3 9" xfId="8822" xr:uid="{FF844DFB-6215-4651-9A27-F08218E6CA08}"/>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2 2 2" xfId="15601" xr:uid="{51E70114-84FA-4A30-9E15-8B6AD7AF5D87}"/>
    <cellStyle name="40% - Accent6 4 2 2 2 3" xfId="24036" xr:uid="{E6C58EF1-9900-44F3-B808-1BB093D73DD7}"/>
    <cellStyle name="40% - Accent6 4 2 2 3" xfId="11383" xr:uid="{26C9C2A6-131D-4382-84F2-870E2EE27198}"/>
    <cellStyle name="40% - Accent6 4 2 2 4" xfId="19819" xr:uid="{3AD0CE08-75BB-46E9-A7C1-FD75F38635AA}"/>
    <cellStyle name="40% - Accent6 4 2 3" xfId="5014" xr:uid="{00000000-0005-0000-0000-00005E070000}"/>
    <cellStyle name="40% - Accent6 4 2 3 2" xfId="13456" xr:uid="{EB06A18F-0C61-492F-BBA8-4005C9B4E6C8}"/>
    <cellStyle name="40% - Accent6 4 2 3 3" xfId="21891" xr:uid="{7A888224-6409-4DE3-98E7-FB63CCB0307A}"/>
    <cellStyle name="40% - Accent6 4 2 4" xfId="9238" xr:uid="{BE17689A-B804-4740-9A95-B70D8744B4E2}"/>
    <cellStyle name="40% - Accent6 4 2 5" xfId="17674" xr:uid="{A1D6F124-0BE1-4E60-A238-F570481D6B8D}"/>
    <cellStyle name="40% - Accent6 4 3" xfId="1118" xr:uid="{00000000-0005-0000-0000-00005F070000}"/>
    <cellStyle name="40% - Accent6 4 3 2" xfId="3349" xr:uid="{00000000-0005-0000-0000-000060070000}"/>
    <cellStyle name="40% - Accent6 4 3 2 2" xfId="7572" xr:uid="{00000000-0005-0000-0000-000061070000}"/>
    <cellStyle name="40% - Accent6 4 3 2 2 2" xfId="16014" xr:uid="{317B97AB-4BCE-4642-9F5B-F0C3F00F35B1}"/>
    <cellStyle name="40% - Accent6 4 3 2 2 3" xfId="24449" xr:uid="{0B74C951-47B7-438F-8788-9A5290A58F23}"/>
    <cellStyle name="40% - Accent6 4 3 2 3" xfId="11796" xr:uid="{9932163D-8022-4E7E-BCB9-909624BAA822}"/>
    <cellStyle name="40% - Accent6 4 3 2 4" xfId="20232" xr:uid="{93CDCC96-2150-4CF1-9AAB-1E7F0A98BE27}"/>
    <cellStyle name="40% - Accent6 4 3 3" xfId="5427" xr:uid="{00000000-0005-0000-0000-000062070000}"/>
    <cellStyle name="40% - Accent6 4 3 3 2" xfId="13869" xr:uid="{766C56EF-B1CC-4C3E-8030-ECD6B94479AF}"/>
    <cellStyle name="40% - Accent6 4 3 3 3" xfId="22304" xr:uid="{E9CC0E35-892F-441B-9B86-06F74AC34465}"/>
    <cellStyle name="40% - Accent6 4 3 4" xfId="9651" xr:uid="{81E2B8BD-B1EF-485B-8422-6BE165BED8FC}"/>
    <cellStyle name="40% - Accent6 4 3 5" xfId="18087" xr:uid="{FB007B2F-CF82-4F76-A55C-9927F20D08D9}"/>
    <cellStyle name="40% - Accent6 4 4" xfId="1532" xr:uid="{00000000-0005-0000-0000-000063070000}"/>
    <cellStyle name="40% - Accent6 4 4 2" xfId="3762" xr:uid="{00000000-0005-0000-0000-000064070000}"/>
    <cellStyle name="40% - Accent6 4 4 2 2" xfId="7985" xr:uid="{00000000-0005-0000-0000-000065070000}"/>
    <cellStyle name="40% - Accent6 4 4 2 2 2" xfId="16427" xr:uid="{AE9FE10E-C577-4416-A37A-0D361EF884FD}"/>
    <cellStyle name="40% - Accent6 4 4 2 2 3" xfId="24862" xr:uid="{14FA1280-E34C-4812-8FF0-431928B34892}"/>
    <cellStyle name="40% - Accent6 4 4 2 3" xfId="12209" xr:uid="{8BB6C38B-9ED2-4427-B975-FF42FEA1DE44}"/>
    <cellStyle name="40% - Accent6 4 4 2 4" xfId="20645" xr:uid="{4EC890EE-7E10-4533-97BF-D535A19BF672}"/>
    <cellStyle name="40% - Accent6 4 4 3" xfId="5840" xr:uid="{00000000-0005-0000-0000-000066070000}"/>
    <cellStyle name="40% - Accent6 4 4 3 2" xfId="14282" xr:uid="{A93049E5-2289-4396-B8C7-D4F28ECE95BA}"/>
    <cellStyle name="40% - Accent6 4 4 3 3" xfId="22717" xr:uid="{F5DBDF4B-76BE-445D-83F2-0AFF140D95EA}"/>
    <cellStyle name="40% - Accent6 4 4 4" xfId="10064" xr:uid="{42CD169C-E102-423E-8D2B-AB21AFEB4264}"/>
    <cellStyle name="40% - Accent6 4 4 5" xfId="18500" xr:uid="{495C16E5-6C12-4D13-9BAA-D9DDF68FA9BD}"/>
    <cellStyle name="40% - Accent6 4 5" xfId="1946" xr:uid="{00000000-0005-0000-0000-000067070000}"/>
    <cellStyle name="40% - Accent6 4 5 2" xfId="4175" xr:uid="{00000000-0005-0000-0000-000068070000}"/>
    <cellStyle name="40% - Accent6 4 5 2 2" xfId="8398" xr:uid="{00000000-0005-0000-0000-000069070000}"/>
    <cellStyle name="40% - Accent6 4 5 2 2 2" xfId="16840" xr:uid="{AEE10235-478D-4E1D-BDB5-613B8D88E043}"/>
    <cellStyle name="40% - Accent6 4 5 2 2 3" xfId="25275" xr:uid="{F519C02C-E9CE-4C77-9DA1-4E64347BA0C5}"/>
    <cellStyle name="40% - Accent6 4 5 2 3" xfId="12622" xr:uid="{D02D6EC3-8B7E-4731-9A85-3D24344D01F2}"/>
    <cellStyle name="40% - Accent6 4 5 2 4" xfId="21058" xr:uid="{32B8A166-45CD-4CE1-84CD-B18C57C57AD9}"/>
    <cellStyle name="40% - Accent6 4 5 3" xfId="6253" xr:uid="{00000000-0005-0000-0000-00006A070000}"/>
    <cellStyle name="40% - Accent6 4 5 3 2" xfId="14695" xr:uid="{3A2C3A0D-A60C-4798-ACE1-CF99A9F36489}"/>
    <cellStyle name="40% - Accent6 4 5 3 3" xfId="23130" xr:uid="{92F6FD33-3EF3-4062-B50B-95F20CCA6FCD}"/>
    <cellStyle name="40% - Accent6 4 5 4" xfId="10477" xr:uid="{414A92E7-6415-4138-BB0F-EA85F81523EA}"/>
    <cellStyle name="40% - Accent6 4 5 5" xfId="18913" xr:uid="{ABD8A666-5BF9-44FB-85A5-EEA219C76A49}"/>
    <cellStyle name="40% - Accent6 4 6" xfId="2359" xr:uid="{00000000-0005-0000-0000-00006B070000}"/>
    <cellStyle name="40% - Accent6 4 6 2" xfId="6666" xr:uid="{00000000-0005-0000-0000-00006C070000}"/>
    <cellStyle name="40% - Accent6 4 6 2 2" xfId="15108" xr:uid="{44F19524-5855-4F5F-B3BA-5DE64A17B3C5}"/>
    <cellStyle name="40% - Accent6 4 6 2 3" xfId="23543" xr:uid="{B3427B7E-A255-4821-86E7-912205ED63F5}"/>
    <cellStyle name="40% - Accent6 4 6 3" xfId="10890" xr:uid="{2C953510-7DF7-452B-9976-863A32C9275E}"/>
    <cellStyle name="40% - Accent6 4 6 4" xfId="19326" xr:uid="{F4E527B9-2692-49D0-A9AD-D2B3206F9FBF}"/>
    <cellStyle name="40% - Accent6 4 7" xfId="4600" xr:uid="{00000000-0005-0000-0000-00006D070000}"/>
    <cellStyle name="40% - Accent6 4 7 2" xfId="13042" xr:uid="{DB6E0AA0-3F17-4EFE-A06D-E7720D308E96}"/>
    <cellStyle name="40% - Accent6 4 7 3" xfId="21477" xr:uid="{FECF23C5-B14F-4E32-8CB3-0C7416E025B8}"/>
    <cellStyle name="40% - Accent6 4 8" xfId="8824" xr:uid="{F429A31C-AA83-40A8-81FA-A1263CC30ABD}"/>
    <cellStyle name="40% - Accent6 4 9" xfId="17260" xr:uid="{0723E268-8194-46FC-BE7C-A1936A902C96}"/>
    <cellStyle name="40% - Accent6 5" xfId="658" xr:uid="{00000000-0005-0000-0000-00006E070000}"/>
    <cellStyle name="40% - Accent6 5 2" xfId="2929" xr:uid="{00000000-0005-0000-0000-00006F070000}"/>
    <cellStyle name="40% - Accent6 5 2 2" xfId="7152" xr:uid="{00000000-0005-0000-0000-000070070000}"/>
    <cellStyle name="40% - Accent6 5 2 2 2" xfId="15594" xr:uid="{F397E4BE-335B-471B-B1CE-1B6B7AFEB9E4}"/>
    <cellStyle name="40% - Accent6 5 2 2 3" xfId="24029" xr:uid="{B972FEFD-7EA6-435D-8364-7BFD00E1133C}"/>
    <cellStyle name="40% - Accent6 5 2 3" xfId="11376" xr:uid="{D21559AB-3A5D-453B-ACA7-AD2F0F6424B6}"/>
    <cellStyle name="40% - Accent6 5 2 4" xfId="19812" xr:uid="{BD807762-38D1-4175-8C08-1C88F3FE7ACE}"/>
    <cellStyle name="40% - Accent6 5 3" xfId="5007" xr:uid="{00000000-0005-0000-0000-000071070000}"/>
    <cellStyle name="40% - Accent6 5 3 2" xfId="13449" xr:uid="{8299C287-4AD9-4A3C-A7BF-68060A868219}"/>
    <cellStyle name="40% - Accent6 5 3 3" xfId="21884" xr:uid="{8D2A349D-4A2B-400B-A926-9AEB0E94B25B}"/>
    <cellStyle name="40% - Accent6 5 4" xfId="9231" xr:uid="{47D97D38-9A9D-43C0-8FA1-6E021CD51AB2}"/>
    <cellStyle name="40% - Accent6 5 5" xfId="17667" xr:uid="{1D35FC42-DD8E-4DB0-B694-AC362844B9D7}"/>
    <cellStyle name="40% - Accent6 6" xfId="1111" xr:uid="{00000000-0005-0000-0000-000072070000}"/>
    <cellStyle name="40% - Accent6 6 2" xfId="3342" xr:uid="{00000000-0005-0000-0000-000073070000}"/>
    <cellStyle name="40% - Accent6 6 2 2" xfId="7565" xr:uid="{00000000-0005-0000-0000-000074070000}"/>
    <cellStyle name="40% - Accent6 6 2 2 2" xfId="16007" xr:uid="{611CAE5A-0C09-479F-A492-9B808E4025D8}"/>
    <cellStyle name="40% - Accent6 6 2 2 3" xfId="24442" xr:uid="{8C59FAF4-4F19-4369-AF30-4C84D593A9D5}"/>
    <cellStyle name="40% - Accent6 6 2 3" xfId="11789" xr:uid="{2E42D8C7-4E36-4F9E-A7E0-3FB48BCE5FBB}"/>
    <cellStyle name="40% - Accent6 6 2 4" xfId="20225" xr:uid="{D06E7EF8-FDBE-4FE1-97D6-E2723D62D366}"/>
    <cellStyle name="40% - Accent6 6 3" xfId="5420" xr:uid="{00000000-0005-0000-0000-000075070000}"/>
    <cellStyle name="40% - Accent6 6 3 2" xfId="13862" xr:uid="{7476373C-8D18-4DAD-910D-ADCCC60538B8}"/>
    <cellStyle name="40% - Accent6 6 3 3" xfId="22297" xr:uid="{A8931108-72BB-4729-8746-08D3AE73DB84}"/>
    <cellStyle name="40% - Accent6 6 4" xfId="9644" xr:uid="{505430E4-0D68-48F9-A6DA-A68BA77D6595}"/>
    <cellStyle name="40% - Accent6 6 5" xfId="18080" xr:uid="{D9786365-3ACB-4B8C-9D68-EE00B094593E}"/>
    <cellStyle name="40% - Accent6 7" xfId="1525" xr:uid="{00000000-0005-0000-0000-000076070000}"/>
    <cellStyle name="40% - Accent6 7 2" xfId="3755" xr:uid="{00000000-0005-0000-0000-000077070000}"/>
    <cellStyle name="40% - Accent6 7 2 2" xfId="7978" xr:uid="{00000000-0005-0000-0000-000078070000}"/>
    <cellStyle name="40% - Accent6 7 2 2 2" xfId="16420" xr:uid="{B7958EF2-265F-4AFF-8DA0-CC6561618882}"/>
    <cellStyle name="40% - Accent6 7 2 2 3" xfId="24855" xr:uid="{F13E4A89-87FE-4239-A5FD-CCB290194B61}"/>
    <cellStyle name="40% - Accent6 7 2 3" xfId="12202" xr:uid="{6E257E93-0425-4068-A279-CB0B127937C3}"/>
    <cellStyle name="40% - Accent6 7 2 4" xfId="20638" xr:uid="{91B44B81-9BB6-4011-A9BA-4DCA530FE3E8}"/>
    <cellStyle name="40% - Accent6 7 3" xfId="5833" xr:uid="{00000000-0005-0000-0000-000079070000}"/>
    <cellStyle name="40% - Accent6 7 3 2" xfId="14275" xr:uid="{61697737-6384-48EA-9BDC-3AD9F8B8A349}"/>
    <cellStyle name="40% - Accent6 7 3 3" xfId="22710" xr:uid="{BF37554D-2449-4A96-8DA2-F7C994DA34AC}"/>
    <cellStyle name="40% - Accent6 7 4" xfId="10057" xr:uid="{4D7DDA8B-5E36-44D8-9B9D-9617B72B21EB}"/>
    <cellStyle name="40% - Accent6 7 5" xfId="18493" xr:uid="{E793DF3F-DD90-4992-B7E2-A01607F00D69}"/>
    <cellStyle name="40% - Accent6 8" xfId="1939" xr:uid="{00000000-0005-0000-0000-00007A070000}"/>
    <cellStyle name="40% - Accent6 8 2" xfId="4168" xr:uid="{00000000-0005-0000-0000-00007B070000}"/>
    <cellStyle name="40% - Accent6 8 2 2" xfId="8391" xr:uid="{00000000-0005-0000-0000-00007C070000}"/>
    <cellStyle name="40% - Accent6 8 2 2 2" xfId="16833" xr:uid="{FF8384D1-CE5D-4780-AD3E-EA5E7612480A}"/>
    <cellStyle name="40% - Accent6 8 2 2 3" xfId="25268" xr:uid="{67F175FE-4A6C-4ECA-9532-7ABAB67AE6B3}"/>
    <cellStyle name="40% - Accent6 8 2 3" xfId="12615" xr:uid="{1212DBFC-EFD7-47FE-8F66-438F1CE39436}"/>
    <cellStyle name="40% - Accent6 8 2 4" xfId="21051" xr:uid="{4D4AE867-A60F-41B2-BFBF-11FF00B84CA8}"/>
    <cellStyle name="40% - Accent6 8 3" xfId="6246" xr:uid="{00000000-0005-0000-0000-00007D070000}"/>
    <cellStyle name="40% - Accent6 8 3 2" xfId="14688" xr:uid="{3024ABB5-FFAF-471A-92C6-4BD9CBF3DFCE}"/>
    <cellStyle name="40% - Accent6 8 3 3" xfId="23123" xr:uid="{78B43FEA-CB05-4967-A944-B489A9DBEE47}"/>
    <cellStyle name="40% - Accent6 8 4" xfId="10470" xr:uid="{025C04D8-1946-4567-B895-7AD8F56D0396}"/>
    <cellStyle name="40% - Accent6 8 5" xfId="18906" xr:uid="{64ECEABB-46F0-4458-A62E-C80143B34107}"/>
    <cellStyle name="40% - Accent6 9" xfId="2352" xr:uid="{00000000-0005-0000-0000-00007E070000}"/>
    <cellStyle name="40% - Accent6 9 2" xfId="6659" xr:uid="{00000000-0005-0000-0000-00007F070000}"/>
    <cellStyle name="40% - Accent6 9 2 2" xfId="15101" xr:uid="{13FE5E48-CFD6-4D66-B204-C2F022369804}"/>
    <cellStyle name="40% - Accent6 9 2 3" xfId="23536" xr:uid="{D8A71DCB-5B34-4CEA-80B5-E4A716151E2E}"/>
    <cellStyle name="40% - Accent6 9 3" xfId="10883" xr:uid="{E50A5BDC-11CE-4113-A63A-391EE55929B3}"/>
    <cellStyle name="40% - Accent6 9 4" xfId="19319" xr:uid="{8D0D3EE1-583F-4F66-AAB8-8E7D5375A661}"/>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0 2 2" xfId="15426" xr:uid="{DC4B8048-A37E-4C3B-8EC5-0641B55D3E9A}"/>
    <cellStyle name="Comma 4 2 2 2 10 2 3" xfId="23861" xr:uid="{8DFDF53F-8BB3-4F93-ACEA-D59FF7594EE7}"/>
    <cellStyle name="Comma 4 2 2 2 10 3" xfId="11208" xr:uid="{C791A799-FA2F-400B-94A3-654E5D3A3E99}"/>
    <cellStyle name="Comma 4 2 2 2 10 4" xfId="19644" xr:uid="{615C384C-1404-4175-AA47-D9CEA637753D}"/>
    <cellStyle name="Comma 4 2 2 2 11" xfId="4601" xr:uid="{00000000-0005-0000-0000-0000A3070000}"/>
    <cellStyle name="Comma 4 2 2 2 11 2" xfId="13043" xr:uid="{9002C9EC-DD4C-4AA4-806F-08CD1C482540}"/>
    <cellStyle name="Comma 4 2 2 2 11 3" xfId="21478" xr:uid="{E72B6A43-2B54-4FB5-9B45-D12BB7A835A8}"/>
    <cellStyle name="Comma 4 2 2 2 12" xfId="8825" xr:uid="{583A0A51-C226-4F16-AE1B-17B8BA99A299}"/>
    <cellStyle name="Comma 4 2 2 2 13" xfId="17261" xr:uid="{94A93586-B33A-4171-9144-99D906760154}"/>
    <cellStyle name="Comma 4 2 2 2 2" xfId="129" xr:uid="{00000000-0005-0000-0000-0000A4070000}"/>
    <cellStyle name="Comma 4 2 2 2 2 10" xfId="4602" xr:uid="{00000000-0005-0000-0000-0000A5070000}"/>
    <cellStyle name="Comma 4 2 2 2 2 10 2" xfId="13044" xr:uid="{17C7AF48-152B-4007-8E4D-94B783D177FA}"/>
    <cellStyle name="Comma 4 2 2 2 2 10 3" xfId="21479" xr:uid="{30716C87-802F-4845-A326-6EF50AA72133}"/>
    <cellStyle name="Comma 4 2 2 2 2 11" xfId="8826" xr:uid="{EF38677D-F632-42B1-9BE3-E7305702627D}"/>
    <cellStyle name="Comma 4 2 2 2 2 12" xfId="17262" xr:uid="{83F84821-7126-4FB6-9CD0-B3BBD6CFDF34}"/>
    <cellStyle name="Comma 4 2 2 2 2 2" xfId="130" xr:uid="{00000000-0005-0000-0000-0000A6070000}"/>
    <cellStyle name="Comma 4 2 2 2 2 2 10" xfId="8827" xr:uid="{E79C35BC-D297-42E4-AD37-9A0AD7B68701}"/>
    <cellStyle name="Comma 4 2 2 2 2 2 11" xfId="17263" xr:uid="{4497C387-A479-47E1-9C1F-734118508F82}"/>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2 2 2" xfId="15604" xr:uid="{A75785AF-C2B7-4FC0-941B-85938494FDB9}"/>
    <cellStyle name="Comma 4 2 2 2 2 2 2 2 2 3" xfId="24039" xr:uid="{63BD4565-720D-437A-AA77-99AE88CA6763}"/>
    <cellStyle name="Comma 4 2 2 2 2 2 2 2 3" xfId="11386" xr:uid="{3A370B6B-6F47-44FA-9CD1-DA3C6FD3CD34}"/>
    <cellStyle name="Comma 4 2 2 2 2 2 2 2 4" xfId="19822" xr:uid="{BA5DC34D-28E8-4A88-B9B9-CB57FDF32CAB}"/>
    <cellStyle name="Comma 4 2 2 2 2 2 2 3" xfId="5017" xr:uid="{00000000-0005-0000-0000-0000AA070000}"/>
    <cellStyle name="Comma 4 2 2 2 2 2 2 3 2" xfId="13459" xr:uid="{312E6B6B-783D-4A9D-A712-2A5989F99FF0}"/>
    <cellStyle name="Comma 4 2 2 2 2 2 2 3 3" xfId="21894" xr:uid="{9C961772-7D01-4C0A-A5B3-9710B420D48F}"/>
    <cellStyle name="Comma 4 2 2 2 2 2 2 4" xfId="9241" xr:uid="{05B5B662-54D1-4480-A4FA-48F780D7D482}"/>
    <cellStyle name="Comma 4 2 2 2 2 2 2 5" xfId="17677" xr:uid="{5FC6CE90-6C59-4F62-B0B8-CC7EDED44B58}"/>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2 2 2" xfId="16017" xr:uid="{A24D4075-1639-4A1B-AF35-44A0D94D4984}"/>
    <cellStyle name="Comma 4 2 2 2 2 2 3 2 2 3" xfId="24452" xr:uid="{1D8B3EAB-D085-40B7-AF7F-87D3AA26809C}"/>
    <cellStyle name="Comma 4 2 2 2 2 2 3 2 3" xfId="11799" xr:uid="{D04F3A46-2E40-4BFB-8DDB-7350B7B5C0F6}"/>
    <cellStyle name="Comma 4 2 2 2 2 2 3 2 4" xfId="20235" xr:uid="{831C463D-393A-474B-A0F7-FC861DB130B5}"/>
    <cellStyle name="Comma 4 2 2 2 2 2 3 3" xfId="5430" xr:uid="{00000000-0005-0000-0000-0000AE070000}"/>
    <cellStyle name="Comma 4 2 2 2 2 2 3 3 2" xfId="13872" xr:uid="{C8691267-D144-41D9-A699-B8AA10F0181B}"/>
    <cellStyle name="Comma 4 2 2 2 2 2 3 3 3" xfId="22307" xr:uid="{DA4BCDF5-94CB-4326-9B94-855A945A42C8}"/>
    <cellStyle name="Comma 4 2 2 2 2 2 3 4" xfId="9654" xr:uid="{B44C0431-5E98-4EC4-8333-DABCE485FF82}"/>
    <cellStyle name="Comma 4 2 2 2 2 2 3 5" xfId="18090" xr:uid="{E9EA84E8-B006-49C4-9829-094A566C05E2}"/>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2 2 2" xfId="16430" xr:uid="{51A626D2-48D6-4D38-9499-6A0E85ABE770}"/>
    <cellStyle name="Comma 4 2 2 2 2 2 4 2 2 3" xfId="24865" xr:uid="{D2BA5B9A-B550-49E3-A0FC-CF43425116C0}"/>
    <cellStyle name="Comma 4 2 2 2 2 2 4 2 3" xfId="12212" xr:uid="{C8EF0252-C48B-45D5-9BDB-6916AC914146}"/>
    <cellStyle name="Comma 4 2 2 2 2 2 4 2 4" xfId="20648" xr:uid="{9912F93E-F7D3-499E-B8AF-FB71C169A62D}"/>
    <cellStyle name="Comma 4 2 2 2 2 2 4 3" xfId="5843" xr:uid="{00000000-0005-0000-0000-0000B2070000}"/>
    <cellStyle name="Comma 4 2 2 2 2 2 4 3 2" xfId="14285" xr:uid="{A9DB064D-96D8-49E8-827D-783605162DFD}"/>
    <cellStyle name="Comma 4 2 2 2 2 2 4 3 3" xfId="22720" xr:uid="{4071C21A-8C77-46BB-8A37-996F4ACB010B}"/>
    <cellStyle name="Comma 4 2 2 2 2 2 4 4" xfId="10067" xr:uid="{A55023B2-2455-45CB-81CB-940A58A7C68C}"/>
    <cellStyle name="Comma 4 2 2 2 2 2 4 5" xfId="18503" xr:uid="{72779B9C-7F21-4E48-80CB-EA3723EAE69F}"/>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2 2 2" xfId="16843" xr:uid="{E0034B21-E886-49D4-8EDA-7F7C4BD668EF}"/>
    <cellStyle name="Comma 4 2 2 2 2 2 5 2 2 3" xfId="25278" xr:uid="{06E7DEA3-9C48-49AD-A81C-478D8F7471BC}"/>
    <cellStyle name="Comma 4 2 2 2 2 2 5 2 3" xfId="12625" xr:uid="{3DD35415-7F36-4059-A0F8-F1A93E6F6AF1}"/>
    <cellStyle name="Comma 4 2 2 2 2 2 5 2 4" xfId="21061" xr:uid="{D7410899-8589-493F-9601-57B34ABD966E}"/>
    <cellStyle name="Comma 4 2 2 2 2 2 5 3" xfId="6256" xr:uid="{00000000-0005-0000-0000-0000B6070000}"/>
    <cellStyle name="Comma 4 2 2 2 2 2 5 3 2" xfId="14698" xr:uid="{2E6D1431-6AFF-4981-A2F4-1A7FF92864F1}"/>
    <cellStyle name="Comma 4 2 2 2 2 2 5 3 3" xfId="23133" xr:uid="{6B4C0372-7C73-442A-9701-F95532E708BE}"/>
    <cellStyle name="Comma 4 2 2 2 2 2 5 4" xfId="10480" xr:uid="{309B3147-4DE3-4CC6-B948-586E866E0141}"/>
    <cellStyle name="Comma 4 2 2 2 2 2 5 5" xfId="18916" xr:uid="{69F47DCE-6EB2-4786-83CD-D81D83BE52F9}"/>
    <cellStyle name="Comma 4 2 2 2 2 2 6" xfId="2384" xr:uid="{00000000-0005-0000-0000-0000B7070000}"/>
    <cellStyle name="Comma 4 2 2 2 2 2 6 2" xfId="6669" xr:uid="{00000000-0005-0000-0000-0000B8070000}"/>
    <cellStyle name="Comma 4 2 2 2 2 2 6 2 2" xfId="15111" xr:uid="{D5489FF3-A329-4C3B-B181-1D1BF54613BE}"/>
    <cellStyle name="Comma 4 2 2 2 2 2 6 2 3" xfId="23546" xr:uid="{C325B10A-12AC-4322-9623-1E7A918FE831}"/>
    <cellStyle name="Comma 4 2 2 2 2 2 6 3" xfId="10893" xr:uid="{DB8C3ABD-CDDA-4218-A42B-EA0FCE614446}"/>
    <cellStyle name="Comma 4 2 2 2 2 2 6 4" xfId="19329" xr:uid="{2C52EE9E-8E99-47A9-BB89-4B76A4038FF9}"/>
    <cellStyle name="Comma 4 2 2 2 2 2 7" xfId="2379" xr:uid="{00000000-0005-0000-0000-0000B9070000}"/>
    <cellStyle name="Comma 4 2 2 2 2 2 8" xfId="2762" xr:uid="{00000000-0005-0000-0000-0000BA070000}"/>
    <cellStyle name="Comma 4 2 2 2 2 2 8 2" xfId="6986" xr:uid="{00000000-0005-0000-0000-0000BB070000}"/>
    <cellStyle name="Comma 4 2 2 2 2 2 8 2 2" xfId="15428" xr:uid="{9961BE30-D3F4-4A25-8C61-7167585D5AFF}"/>
    <cellStyle name="Comma 4 2 2 2 2 2 8 2 3" xfId="23863" xr:uid="{C54E3013-C873-4A74-904B-9268E7795BA8}"/>
    <cellStyle name="Comma 4 2 2 2 2 2 8 3" xfId="11210" xr:uid="{EF26BE6A-2F79-4198-BB81-E2146ACDFF8E}"/>
    <cellStyle name="Comma 4 2 2 2 2 2 8 4" xfId="19646" xr:uid="{B93DF951-DC1E-4058-8C10-0178E04E0C4B}"/>
    <cellStyle name="Comma 4 2 2 2 2 2 9" xfId="4603" xr:uid="{00000000-0005-0000-0000-0000BC070000}"/>
    <cellStyle name="Comma 4 2 2 2 2 2 9 2" xfId="13045" xr:uid="{3E1416C6-DE3E-4182-82D4-11DCF7EA8404}"/>
    <cellStyle name="Comma 4 2 2 2 2 2 9 3" xfId="21480" xr:uid="{49D4FE5A-CD37-4FA3-982E-312B3B9E1DDF}"/>
    <cellStyle name="Comma 4 2 2 2 2 3" xfId="667" xr:uid="{00000000-0005-0000-0000-0000BD070000}"/>
    <cellStyle name="Comma 4 2 2 2 2 3 2" xfId="2938" xr:uid="{00000000-0005-0000-0000-0000BE070000}"/>
    <cellStyle name="Comma 4 2 2 2 2 3 2 2" xfId="7161" xr:uid="{00000000-0005-0000-0000-0000BF070000}"/>
    <cellStyle name="Comma 4 2 2 2 2 3 2 2 2" xfId="15603" xr:uid="{D36AB97F-B878-49BD-AABE-A0A916027B5B}"/>
    <cellStyle name="Comma 4 2 2 2 2 3 2 2 3" xfId="24038" xr:uid="{7D9A11AF-75BC-4C46-B04D-66507868CA40}"/>
    <cellStyle name="Comma 4 2 2 2 2 3 2 3" xfId="11385" xr:uid="{7623EE26-1076-4D67-9A0A-24974C960D3B}"/>
    <cellStyle name="Comma 4 2 2 2 2 3 2 4" xfId="19821" xr:uid="{E01FEBC2-374E-4F4C-B337-A4916D82D08E}"/>
    <cellStyle name="Comma 4 2 2 2 2 3 3" xfId="5016" xr:uid="{00000000-0005-0000-0000-0000C0070000}"/>
    <cellStyle name="Comma 4 2 2 2 2 3 3 2" xfId="13458" xr:uid="{21235E9A-7023-4EC7-BD0F-EF9E0798D68E}"/>
    <cellStyle name="Comma 4 2 2 2 2 3 3 3" xfId="21893" xr:uid="{962AE031-47E3-4E1D-96CC-80D3085986B8}"/>
    <cellStyle name="Comma 4 2 2 2 2 3 4" xfId="9240" xr:uid="{BC3AA58E-3E0F-4CB9-A517-61D32EB85CE7}"/>
    <cellStyle name="Comma 4 2 2 2 2 3 5" xfId="17676" xr:uid="{83FFBD6F-996B-4A48-9A9C-468F05AC1655}"/>
    <cellStyle name="Comma 4 2 2 2 2 4" xfId="1120" xr:uid="{00000000-0005-0000-0000-0000C1070000}"/>
    <cellStyle name="Comma 4 2 2 2 2 4 2" xfId="3351" xr:uid="{00000000-0005-0000-0000-0000C2070000}"/>
    <cellStyle name="Comma 4 2 2 2 2 4 2 2" xfId="7574" xr:uid="{00000000-0005-0000-0000-0000C3070000}"/>
    <cellStyle name="Comma 4 2 2 2 2 4 2 2 2" xfId="16016" xr:uid="{2AACC239-2EAA-454A-ADB0-D1CD054C336E}"/>
    <cellStyle name="Comma 4 2 2 2 2 4 2 2 3" xfId="24451" xr:uid="{122AD464-B39F-435D-A8CD-0028F0F4FF13}"/>
    <cellStyle name="Comma 4 2 2 2 2 4 2 3" xfId="11798" xr:uid="{0B0875E2-C390-45DB-A435-289D0167742E}"/>
    <cellStyle name="Comma 4 2 2 2 2 4 2 4" xfId="20234" xr:uid="{09CD805E-2EBD-4A16-8168-5BCB944F9294}"/>
    <cellStyle name="Comma 4 2 2 2 2 4 3" xfId="5429" xr:uid="{00000000-0005-0000-0000-0000C4070000}"/>
    <cellStyle name="Comma 4 2 2 2 2 4 3 2" xfId="13871" xr:uid="{555C5C65-A2A5-4D71-B86D-BEFC64D32044}"/>
    <cellStyle name="Comma 4 2 2 2 2 4 3 3" xfId="22306" xr:uid="{BE6FD545-E5A6-48E3-9C40-6DE64856B6E2}"/>
    <cellStyle name="Comma 4 2 2 2 2 4 4" xfId="9653" xr:uid="{704FB31F-1A32-48A3-9ECB-428F3E230126}"/>
    <cellStyle name="Comma 4 2 2 2 2 4 5" xfId="18089" xr:uid="{D34649B6-AFE3-4426-969A-653626907EBB}"/>
    <cellStyle name="Comma 4 2 2 2 2 5" xfId="1534" xr:uid="{00000000-0005-0000-0000-0000C5070000}"/>
    <cellStyle name="Comma 4 2 2 2 2 5 2" xfId="3764" xr:uid="{00000000-0005-0000-0000-0000C6070000}"/>
    <cellStyle name="Comma 4 2 2 2 2 5 2 2" xfId="7987" xr:uid="{00000000-0005-0000-0000-0000C7070000}"/>
    <cellStyle name="Comma 4 2 2 2 2 5 2 2 2" xfId="16429" xr:uid="{CCCDF7F3-4EE7-4A62-AFBD-921E45BE91D3}"/>
    <cellStyle name="Comma 4 2 2 2 2 5 2 2 3" xfId="24864" xr:uid="{6F60CA10-8B4A-44AF-B4C0-57736054BEC2}"/>
    <cellStyle name="Comma 4 2 2 2 2 5 2 3" xfId="12211" xr:uid="{6D76CC2D-EDE7-47D3-96F3-0C29418D8591}"/>
    <cellStyle name="Comma 4 2 2 2 2 5 2 4" xfId="20647" xr:uid="{A08A5034-6873-4AE0-ADF5-E75F2E571A2B}"/>
    <cellStyle name="Comma 4 2 2 2 2 5 3" xfId="5842" xr:uid="{00000000-0005-0000-0000-0000C8070000}"/>
    <cellStyle name="Comma 4 2 2 2 2 5 3 2" xfId="14284" xr:uid="{353DF24A-3B90-44D4-AF5F-026A0E143D35}"/>
    <cellStyle name="Comma 4 2 2 2 2 5 3 3" xfId="22719" xr:uid="{B2B8407C-5CE4-4C08-8A3C-216B7A51165E}"/>
    <cellStyle name="Comma 4 2 2 2 2 5 4" xfId="10066" xr:uid="{165C3F21-45DA-4633-9310-0BA8F7286568}"/>
    <cellStyle name="Comma 4 2 2 2 2 5 5" xfId="18502" xr:uid="{B94F2E30-7F5C-4C34-9395-9B8C7BD4E49F}"/>
    <cellStyle name="Comma 4 2 2 2 2 6" xfId="1948" xr:uid="{00000000-0005-0000-0000-0000C9070000}"/>
    <cellStyle name="Comma 4 2 2 2 2 6 2" xfId="4177" xr:uid="{00000000-0005-0000-0000-0000CA070000}"/>
    <cellStyle name="Comma 4 2 2 2 2 6 2 2" xfId="8400" xr:uid="{00000000-0005-0000-0000-0000CB070000}"/>
    <cellStyle name="Comma 4 2 2 2 2 6 2 2 2" xfId="16842" xr:uid="{75E6E313-48D4-4E4A-B367-6CFD35FA804E}"/>
    <cellStyle name="Comma 4 2 2 2 2 6 2 2 3" xfId="25277" xr:uid="{9C4F813C-389E-4A92-AE29-E79A711E3A76}"/>
    <cellStyle name="Comma 4 2 2 2 2 6 2 3" xfId="12624" xr:uid="{5F60B0BA-FA27-4C3D-8DCD-5E9720B60487}"/>
    <cellStyle name="Comma 4 2 2 2 2 6 2 4" xfId="21060" xr:uid="{B0242D74-CB6F-4FEF-AB79-F596BF483B2C}"/>
    <cellStyle name="Comma 4 2 2 2 2 6 3" xfId="6255" xr:uid="{00000000-0005-0000-0000-0000CC070000}"/>
    <cellStyle name="Comma 4 2 2 2 2 6 3 2" xfId="14697" xr:uid="{B0DB1F71-7F28-42EE-B5E2-D69AB7CBF9FC}"/>
    <cellStyle name="Comma 4 2 2 2 2 6 3 3" xfId="23132" xr:uid="{BFC6F246-498B-4224-B8BB-26264265694A}"/>
    <cellStyle name="Comma 4 2 2 2 2 6 4" xfId="10479" xr:uid="{1E3F6187-6725-4BB6-A014-222EF28AAB0E}"/>
    <cellStyle name="Comma 4 2 2 2 2 6 5" xfId="18915" xr:uid="{9E3A1416-D1ED-4848-A5C3-599EAC44EBD0}"/>
    <cellStyle name="Comma 4 2 2 2 2 7" xfId="2383" xr:uid="{00000000-0005-0000-0000-0000CD070000}"/>
    <cellStyle name="Comma 4 2 2 2 2 7 2" xfId="6668" xr:uid="{00000000-0005-0000-0000-0000CE070000}"/>
    <cellStyle name="Comma 4 2 2 2 2 7 2 2" xfId="15110" xr:uid="{7A2BCB9C-AA62-4CE5-8AF3-27F943683750}"/>
    <cellStyle name="Comma 4 2 2 2 2 7 2 3" xfId="23545" xr:uid="{69952C86-1DDB-461A-80E8-FED59378A71B}"/>
    <cellStyle name="Comma 4 2 2 2 2 7 3" xfId="10892" xr:uid="{D909CB84-5982-4984-B3F2-D82E98F74897}"/>
    <cellStyle name="Comma 4 2 2 2 2 7 4" xfId="19328" xr:uid="{029ADD8C-C679-4468-8654-D47A2CB19814}"/>
    <cellStyle name="Comma 4 2 2 2 2 8" xfId="2380" xr:uid="{00000000-0005-0000-0000-0000CF070000}"/>
    <cellStyle name="Comma 4 2 2 2 2 9" xfId="2761" xr:uid="{00000000-0005-0000-0000-0000D0070000}"/>
    <cellStyle name="Comma 4 2 2 2 2 9 2" xfId="6985" xr:uid="{00000000-0005-0000-0000-0000D1070000}"/>
    <cellStyle name="Comma 4 2 2 2 2 9 2 2" xfId="15427" xr:uid="{FDB3DF16-1617-4E11-A253-B45405E3A141}"/>
    <cellStyle name="Comma 4 2 2 2 2 9 2 3" xfId="23862" xr:uid="{4D44BBD0-606F-4096-B151-F1CF2BFF6AF8}"/>
    <cellStyle name="Comma 4 2 2 2 2 9 3" xfId="11209" xr:uid="{BEBC4AB0-15DC-4A60-AB54-6BB5932DBF8D}"/>
    <cellStyle name="Comma 4 2 2 2 2 9 4" xfId="19645" xr:uid="{3330CB3A-3696-4E4D-9268-BB3E13278511}"/>
    <cellStyle name="Comma 4 2 2 2 3" xfId="131" xr:uid="{00000000-0005-0000-0000-0000D2070000}"/>
    <cellStyle name="Comma 4 2 2 2 3 10" xfId="8828" xr:uid="{7C3F01AA-1117-4C3E-991B-2B5FBFAB0F2C}"/>
    <cellStyle name="Comma 4 2 2 2 3 11" xfId="17264" xr:uid="{05E0B6EB-FBD1-4E35-9ED8-2875D71476C1}"/>
    <cellStyle name="Comma 4 2 2 2 3 2" xfId="669" xr:uid="{00000000-0005-0000-0000-0000D3070000}"/>
    <cellStyle name="Comma 4 2 2 2 3 2 2" xfId="2940" xr:uid="{00000000-0005-0000-0000-0000D4070000}"/>
    <cellStyle name="Comma 4 2 2 2 3 2 2 2" xfId="7163" xr:uid="{00000000-0005-0000-0000-0000D5070000}"/>
    <cellStyle name="Comma 4 2 2 2 3 2 2 2 2" xfId="15605" xr:uid="{E6B7AF74-916D-4197-BE10-4E25097182EB}"/>
    <cellStyle name="Comma 4 2 2 2 3 2 2 2 3" xfId="24040" xr:uid="{4AB3DF42-031C-478F-81C7-B42C13878A54}"/>
    <cellStyle name="Comma 4 2 2 2 3 2 2 3" xfId="11387" xr:uid="{324B9D9D-0371-4036-A125-5C7469112E87}"/>
    <cellStyle name="Comma 4 2 2 2 3 2 2 4" xfId="19823" xr:uid="{1E153579-07C5-4D46-BA1C-F0A879B1679D}"/>
    <cellStyle name="Comma 4 2 2 2 3 2 3" xfId="5018" xr:uid="{00000000-0005-0000-0000-0000D6070000}"/>
    <cellStyle name="Comma 4 2 2 2 3 2 3 2" xfId="13460" xr:uid="{37AF7430-F6BF-4794-9A44-B5B7D73B134A}"/>
    <cellStyle name="Comma 4 2 2 2 3 2 3 3" xfId="21895" xr:uid="{329424E2-B4F7-4686-A638-B8C841FA2F6A}"/>
    <cellStyle name="Comma 4 2 2 2 3 2 4" xfId="9242" xr:uid="{596246AD-67A1-49A4-B211-B14BADD52B53}"/>
    <cellStyle name="Comma 4 2 2 2 3 2 5" xfId="17678" xr:uid="{E64A9E92-819C-46A7-A5E6-00273D0785A1}"/>
    <cellStyle name="Comma 4 2 2 2 3 3" xfId="1122" xr:uid="{00000000-0005-0000-0000-0000D7070000}"/>
    <cellStyle name="Comma 4 2 2 2 3 3 2" xfId="3353" xr:uid="{00000000-0005-0000-0000-0000D8070000}"/>
    <cellStyle name="Comma 4 2 2 2 3 3 2 2" xfId="7576" xr:uid="{00000000-0005-0000-0000-0000D9070000}"/>
    <cellStyle name="Comma 4 2 2 2 3 3 2 2 2" xfId="16018" xr:uid="{536986E2-2790-4C12-BCA7-8B520A780B27}"/>
    <cellStyle name="Comma 4 2 2 2 3 3 2 2 3" xfId="24453" xr:uid="{88503D12-EFAA-45A8-9BD9-D06743E2BC5D}"/>
    <cellStyle name="Comma 4 2 2 2 3 3 2 3" xfId="11800" xr:uid="{9D4CD334-0FB7-42D4-A683-17AF5465BBCD}"/>
    <cellStyle name="Comma 4 2 2 2 3 3 2 4" xfId="20236" xr:uid="{5E175CAF-79F1-4CDB-AF25-67EACF5B7E48}"/>
    <cellStyle name="Comma 4 2 2 2 3 3 3" xfId="5431" xr:uid="{00000000-0005-0000-0000-0000DA070000}"/>
    <cellStyle name="Comma 4 2 2 2 3 3 3 2" xfId="13873" xr:uid="{F58F7AF0-87A6-4DCE-9656-9C6EE62DA6DD}"/>
    <cellStyle name="Comma 4 2 2 2 3 3 3 3" xfId="22308" xr:uid="{BCF32C65-E401-4B1F-B17A-D84A8B9EA8DE}"/>
    <cellStyle name="Comma 4 2 2 2 3 3 4" xfId="9655" xr:uid="{79E4DDBA-A134-443A-B178-CFF997AA587A}"/>
    <cellStyle name="Comma 4 2 2 2 3 3 5" xfId="18091" xr:uid="{11942F8E-7C33-40AF-8B0E-0C69CD74F907}"/>
    <cellStyle name="Comma 4 2 2 2 3 4" xfId="1536" xr:uid="{00000000-0005-0000-0000-0000DB070000}"/>
    <cellStyle name="Comma 4 2 2 2 3 4 2" xfId="3766" xr:uid="{00000000-0005-0000-0000-0000DC070000}"/>
    <cellStyle name="Comma 4 2 2 2 3 4 2 2" xfId="7989" xr:uid="{00000000-0005-0000-0000-0000DD070000}"/>
    <cellStyle name="Comma 4 2 2 2 3 4 2 2 2" xfId="16431" xr:uid="{66D5DD2E-75FF-4161-88A1-0A7EDFD3E254}"/>
    <cellStyle name="Comma 4 2 2 2 3 4 2 2 3" xfId="24866" xr:uid="{1F52D5AC-3A86-4E10-8609-387D19897476}"/>
    <cellStyle name="Comma 4 2 2 2 3 4 2 3" xfId="12213" xr:uid="{56994DB4-8D92-4325-9B1D-547942B848A5}"/>
    <cellStyle name="Comma 4 2 2 2 3 4 2 4" xfId="20649" xr:uid="{4BE9FA4F-B6CF-402C-B82D-3EE3BE837C8D}"/>
    <cellStyle name="Comma 4 2 2 2 3 4 3" xfId="5844" xr:uid="{00000000-0005-0000-0000-0000DE070000}"/>
    <cellStyle name="Comma 4 2 2 2 3 4 3 2" xfId="14286" xr:uid="{C8908883-D445-4358-80CB-AA2E0D033FCA}"/>
    <cellStyle name="Comma 4 2 2 2 3 4 3 3" xfId="22721" xr:uid="{90E16C12-9B7B-43C7-AC25-FE0CF1D855F0}"/>
    <cellStyle name="Comma 4 2 2 2 3 4 4" xfId="10068" xr:uid="{BEBA6928-3B19-495E-8402-2DAD0EFC8CF2}"/>
    <cellStyle name="Comma 4 2 2 2 3 4 5" xfId="18504" xr:uid="{5516FB10-E7B1-4E92-978F-71075DBCB487}"/>
    <cellStyle name="Comma 4 2 2 2 3 5" xfId="1950" xr:uid="{00000000-0005-0000-0000-0000DF070000}"/>
    <cellStyle name="Comma 4 2 2 2 3 5 2" xfId="4179" xr:uid="{00000000-0005-0000-0000-0000E0070000}"/>
    <cellStyle name="Comma 4 2 2 2 3 5 2 2" xfId="8402" xr:uid="{00000000-0005-0000-0000-0000E1070000}"/>
    <cellStyle name="Comma 4 2 2 2 3 5 2 2 2" xfId="16844" xr:uid="{C6A0A026-F6AA-4EE8-9153-CC2C1E7432A4}"/>
    <cellStyle name="Comma 4 2 2 2 3 5 2 2 3" xfId="25279" xr:uid="{2E46FDEE-8E1D-4954-8309-3868C8F2E644}"/>
    <cellStyle name="Comma 4 2 2 2 3 5 2 3" xfId="12626" xr:uid="{A353A9DE-98B6-4D88-A4A7-066E678C452F}"/>
    <cellStyle name="Comma 4 2 2 2 3 5 2 4" xfId="21062" xr:uid="{FF35E293-9E65-462F-BBF6-D0D3F0F2376A}"/>
    <cellStyle name="Comma 4 2 2 2 3 5 3" xfId="6257" xr:uid="{00000000-0005-0000-0000-0000E2070000}"/>
    <cellStyle name="Comma 4 2 2 2 3 5 3 2" xfId="14699" xr:uid="{3EFDA142-A8EE-4FE5-AF54-3DA2EDD782E4}"/>
    <cellStyle name="Comma 4 2 2 2 3 5 3 3" xfId="23134" xr:uid="{73069524-E88F-42D6-AB8C-1CE84AA4639D}"/>
    <cellStyle name="Comma 4 2 2 2 3 5 4" xfId="10481" xr:uid="{A4F1CD0C-8233-4A14-99A7-5817DDC0C2B3}"/>
    <cellStyle name="Comma 4 2 2 2 3 5 5" xfId="18917" xr:uid="{E020C6F2-A090-4459-A040-A3591C3B5B16}"/>
    <cellStyle name="Comma 4 2 2 2 3 6" xfId="2385" xr:uid="{00000000-0005-0000-0000-0000E3070000}"/>
    <cellStyle name="Comma 4 2 2 2 3 6 2" xfId="6670" xr:uid="{00000000-0005-0000-0000-0000E4070000}"/>
    <cellStyle name="Comma 4 2 2 2 3 6 2 2" xfId="15112" xr:uid="{F85F7D56-EA6D-41C1-8470-598B445BD493}"/>
    <cellStyle name="Comma 4 2 2 2 3 6 2 3" xfId="23547" xr:uid="{C8410876-82CE-4D61-A49D-005AAC4132BA}"/>
    <cellStyle name="Comma 4 2 2 2 3 6 3" xfId="10894" xr:uid="{2CD707D3-3F9D-47BA-B7B2-6D485BA21F6D}"/>
    <cellStyle name="Comma 4 2 2 2 3 6 4" xfId="19330" xr:uid="{7CF256B1-41B6-4984-8629-89A89C6B4EF1}"/>
    <cellStyle name="Comma 4 2 2 2 3 7" xfId="2378" xr:uid="{00000000-0005-0000-0000-0000E5070000}"/>
    <cellStyle name="Comma 4 2 2 2 3 8" xfId="2763" xr:uid="{00000000-0005-0000-0000-0000E6070000}"/>
    <cellStyle name="Comma 4 2 2 2 3 8 2" xfId="6987" xr:uid="{00000000-0005-0000-0000-0000E7070000}"/>
    <cellStyle name="Comma 4 2 2 2 3 8 2 2" xfId="15429" xr:uid="{47D47B9F-2D2A-4603-99A6-9D26D960CE3C}"/>
    <cellStyle name="Comma 4 2 2 2 3 8 2 3" xfId="23864" xr:uid="{C7D4C2B5-B0DD-4542-8954-9C66CCE6859E}"/>
    <cellStyle name="Comma 4 2 2 2 3 8 3" xfId="11211" xr:uid="{7C0AC0F1-4B5A-4D5A-B236-28D587B3EA97}"/>
    <cellStyle name="Comma 4 2 2 2 3 8 4" xfId="19647" xr:uid="{B7FCE493-1869-4722-B33C-7127BE0900E9}"/>
    <cellStyle name="Comma 4 2 2 2 3 9" xfId="4604" xr:uid="{00000000-0005-0000-0000-0000E8070000}"/>
    <cellStyle name="Comma 4 2 2 2 3 9 2" xfId="13046" xr:uid="{8311F5C8-3890-493F-9E85-76D0D6F0B5EC}"/>
    <cellStyle name="Comma 4 2 2 2 3 9 3" xfId="21481" xr:uid="{48452F27-328D-4087-93AC-3A657D68D7DB}"/>
    <cellStyle name="Comma 4 2 2 2 4" xfId="666" xr:uid="{00000000-0005-0000-0000-0000E9070000}"/>
    <cellStyle name="Comma 4 2 2 2 4 2" xfId="2937" xr:uid="{00000000-0005-0000-0000-0000EA070000}"/>
    <cellStyle name="Comma 4 2 2 2 4 2 2" xfId="7160" xr:uid="{00000000-0005-0000-0000-0000EB070000}"/>
    <cellStyle name="Comma 4 2 2 2 4 2 2 2" xfId="15602" xr:uid="{EA532865-E780-498F-A71A-400048F608DD}"/>
    <cellStyle name="Comma 4 2 2 2 4 2 2 3" xfId="24037" xr:uid="{A650E98A-5402-485F-AC96-F3F2BAFB2C02}"/>
    <cellStyle name="Comma 4 2 2 2 4 2 3" xfId="11384" xr:uid="{E6651837-B8A5-48AB-AAE4-D20870674BA6}"/>
    <cellStyle name="Comma 4 2 2 2 4 2 4" xfId="19820" xr:uid="{E354517C-BB98-4614-96C0-BC4501B9BEA3}"/>
    <cellStyle name="Comma 4 2 2 2 4 3" xfId="5015" xr:uid="{00000000-0005-0000-0000-0000EC070000}"/>
    <cellStyle name="Comma 4 2 2 2 4 3 2" xfId="13457" xr:uid="{53076994-0B50-4ABC-9847-2DABA0C90624}"/>
    <cellStyle name="Comma 4 2 2 2 4 3 3" xfId="21892" xr:uid="{5493A2A7-3012-4D27-A4CC-E8B395166BD9}"/>
    <cellStyle name="Comma 4 2 2 2 4 4" xfId="9239" xr:uid="{57A47238-88DF-4A24-97BE-E6DAE13524A2}"/>
    <cellStyle name="Comma 4 2 2 2 4 5" xfId="17675" xr:uid="{97F80807-881D-4AFB-B893-92358AA623BE}"/>
    <cellStyle name="Comma 4 2 2 2 5" xfId="1119" xr:uid="{00000000-0005-0000-0000-0000ED070000}"/>
    <cellStyle name="Comma 4 2 2 2 5 2" xfId="3350" xr:uid="{00000000-0005-0000-0000-0000EE070000}"/>
    <cellStyle name="Comma 4 2 2 2 5 2 2" xfId="7573" xr:uid="{00000000-0005-0000-0000-0000EF070000}"/>
    <cellStyle name="Comma 4 2 2 2 5 2 2 2" xfId="16015" xr:uid="{82620147-9FEB-4D52-8C76-4705983411FD}"/>
    <cellStyle name="Comma 4 2 2 2 5 2 2 3" xfId="24450" xr:uid="{0B330457-B8A5-4DBB-ACAA-C5D970405631}"/>
    <cellStyle name="Comma 4 2 2 2 5 2 3" xfId="11797" xr:uid="{E9966DDF-A59F-4424-B6AE-E46658AAC8A5}"/>
    <cellStyle name="Comma 4 2 2 2 5 2 4" xfId="20233" xr:uid="{040637A8-8E2F-4982-8B98-4C926814EABD}"/>
    <cellStyle name="Comma 4 2 2 2 5 3" xfId="5428" xr:uid="{00000000-0005-0000-0000-0000F0070000}"/>
    <cellStyle name="Comma 4 2 2 2 5 3 2" xfId="13870" xr:uid="{853B0139-CCA2-4C25-A23E-D1AE069DB1A2}"/>
    <cellStyle name="Comma 4 2 2 2 5 3 3" xfId="22305" xr:uid="{528A1298-E05B-40D7-B6F6-58BC55B76242}"/>
    <cellStyle name="Comma 4 2 2 2 5 4" xfId="9652" xr:uid="{352B021A-81AF-44CB-B391-B4A667576111}"/>
    <cellStyle name="Comma 4 2 2 2 5 5" xfId="18088" xr:uid="{DEDF76F6-3543-4AAF-9D08-396F21C99F86}"/>
    <cellStyle name="Comma 4 2 2 2 6" xfId="1533" xr:uid="{00000000-0005-0000-0000-0000F1070000}"/>
    <cellStyle name="Comma 4 2 2 2 6 2" xfId="3763" xr:uid="{00000000-0005-0000-0000-0000F2070000}"/>
    <cellStyle name="Comma 4 2 2 2 6 2 2" xfId="7986" xr:uid="{00000000-0005-0000-0000-0000F3070000}"/>
    <cellStyle name="Comma 4 2 2 2 6 2 2 2" xfId="16428" xr:uid="{D9AA3500-5006-48D5-88B7-817E2336F572}"/>
    <cellStyle name="Comma 4 2 2 2 6 2 2 3" xfId="24863" xr:uid="{471085A6-5078-4A04-A7CF-D524294879F2}"/>
    <cellStyle name="Comma 4 2 2 2 6 2 3" xfId="12210" xr:uid="{D5CB12E3-9235-47C6-8852-4C8C8F20835F}"/>
    <cellStyle name="Comma 4 2 2 2 6 2 4" xfId="20646" xr:uid="{9B527CEF-0C8C-4A9D-8837-F14504CFBCAE}"/>
    <cellStyle name="Comma 4 2 2 2 6 3" xfId="5841" xr:uid="{00000000-0005-0000-0000-0000F4070000}"/>
    <cellStyle name="Comma 4 2 2 2 6 3 2" xfId="14283" xr:uid="{B879F7BA-998C-4FF9-882E-4B1752CFD959}"/>
    <cellStyle name="Comma 4 2 2 2 6 3 3" xfId="22718" xr:uid="{4DE220DC-5164-41B6-9C60-634590E1CCBF}"/>
    <cellStyle name="Comma 4 2 2 2 6 4" xfId="10065" xr:uid="{609C4F1C-62D8-4E7A-AF5E-BEDA6EB98C90}"/>
    <cellStyle name="Comma 4 2 2 2 6 5" xfId="18501" xr:uid="{D284CA9E-06EE-4F68-A4E7-A2CECB9EE8C7}"/>
    <cellStyle name="Comma 4 2 2 2 7" xfId="1947" xr:uid="{00000000-0005-0000-0000-0000F5070000}"/>
    <cellStyle name="Comma 4 2 2 2 7 2" xfId="4176" xr:uid="{00000000-0005-0000-0000-0000F6070000}"/>
    <cellStyle name="Comma 4 2 2 2 7 2 2" xfId="8399" xr:uid="{00000000-0005-0000-0000-0000F7070000}"/>
    <cellStyle name="Comma 4 2 2 2 7 2 2 2" xfId="16841" xr:uid="{ACFB127E-71E2-4C1C-AF06-2F816F569B32}"/>
    <cellStyle name="Comma 4 2 2 2 7 2 2 3" xfId="25276" xr:uid="{8C286D60-5E93-4E96-B79B-B07203F8D83B}"/>
    <cellStyle name="Comma 4 2 2 2 7 2 3" xfId="12623" xr:uid="{D131AA8B-0471-4BB8-85A5-F90B312C10E0}"/>
    <cellStyle name="Comma 4 2 2 2 7 2 4" xfId="21059" xr:uid="{73588359-5435-429B-AC88-36B95CD56C3A}"/>
    <cellStyle name="Comma 4 2 2 2 7 3" xfId="6254" xr:uid="{00000000-0005-0000-0000-0000F8070000}"/>
    <cellStyle name="Comma 4 2 2 2 7 3 2" xfId="14696" xr:uid="{28CB13C2-FF9C-4714-B261-53F4716C82BC}"/>
    <cellStyle name="Comma 4 2 2 2 7 3 3" xfId="23131" xr:uid="{00CAC5D1-69B0-4D4D-ABB6-C1E8EE4102DA}"/>
    <cellStyle name="Comma 4 2 2 2 7 4" xfId="10478" xr:uid="{816DFC00-5575-4421-BBAC-AD070DD2FFA2}"/>
    <cellStyle name="Comma 4 2 2 2 7 5" xfId="18914" xr:uid="{4E328B64-0C34-4BDC-9FF2-EB0E666A31A7}"/>
    <cellStyle name="Comma 4 2 2 2 8" xfId="2382" xr:uid="{00000000-0005-0000-0000-0000F9070000}"/>
    <cellStyle name="Comma 4 2 2 2 8 2" xfId="6667" xr:uid="{00000000-0005-0000-0000-0000FA070000}"/>
    <cellStyle name="Comma 4 2 2 2 8 2 2" xfId="15109" xr:uid="{2AF43B5B-5BC4-4969-9411-BDEAA78AFC99}"/>
    <cellStyle name="Comma 4 2 2 2 8 2 3" xfId="23544" xr:uid="{C65E7231-2956-4CCB-A6FE-90545A46AD1F}"/>
    <cellStyle name="Comma 4 2 2 2 8 3" xfId="10891" xr:uid="{5BE15BD8-D070-4A52-8550-39E521FAB06C}"/>
    <cellStyle name="Comma 4 2 2 2 8 4" xfId="19327" xr:uid="{EC85C0A5-39E4-4E71-9E6F-4A4446FEB65C}"/>
    <cellStyle name="Comma 4 2 2 2 9" xfId="2381" xr:uid="{00000000-0005-0000-0000-0000FB070000}"/>
    <cellStyle name="Comma 4 2 2 3" xfId="132" xr:uid="{00000000-0005-0000-0000-0000FC070000}"/>
    <cellStyle name="Comma 4 2 2 3 10" xfId="4605" xr:uid="{00000000-0005-0000-0000-0000FD070000}"/>
    <cellStyle name="Comma 4 2 2 3 10 2" xfId="13047" xr:uid="{C7AF46D5-6F26-42CD-B53C-EEA43F9C0D25}"/>
    <cellStyle name="Comma 4 2 2 3 10 3" xfId="21482" xr:uid="{5C577544-E8C4-4870-8974-F7AEC48A6914}"/>
    <cellStyle name="Comma 4 2 2 3 11" xfId="8829" xr:uid="{9114E7F7-1B61-4E9C-B46B-691B12115FF2}"/>
    <cellStyle name="Comma 4 2 2 3 12" xfId="17265" xr:uid="{3749A4ED-D38A-4845-B80C-FEF8A019A41D}"/>
    <cellStyle name="Comma 4 2 2 3 2" xfId="133" xr:uid="{00000000-0005-0000-0000-0000FE070000}"/>
    <cellStyle name="Comma 4 2 2 3 2 10" xfId="8830" xr:uid="{5DC78E00-2042-4264-BC7B-22697636CAAC}"/>
    <cellStyle name="Comma 4 2 2 3 2 11" xfId="17266" xr:uid="{15B34AC9-8D37-4FE4-8EAC-BC1472F7AC06}"/>
    <cellStyle name="Comma 4 2 2 3 2 2" xfId="671" xr:uid="{00000000-0005-0000-0000-0000FF070000}"/>
    <cellStyle name="Comma 4 2 2 3 2 2 2" xfId="2942" xr:uid="{00000000-0005-0000-0000-000000080000}"/>
    <cellStyle name="Comma 4 2 2 3 2 2 2 2" xfId="7165" xr:uid="{00000000-0005-0000-0000-000001080000}"/>
    <cellStyle name="Comma 4 2 2 3 2 2 2 2 2" xfId="15607" xr:uid="{88AC2AE5-7EA5-4A3E-8D94-BFFA24C72C11}"/>
    <cellStyle name="Comma 4 2 2 3 2 2 2 2 3" xfId="24042" xr:uid="{26C815C0-FBA4-4F5F-AF40-05E120B9A09D}"/>
    <cellStyle name="Comma 4 2 2 3 2 2 2 3" xfId="11389" xr:uid="{FC9C94EB-2286-4CD5-B670-D7441DB55218}"/>
    <cellStyle name="Comma 4 2 2 3 2 2 2 4" xfId="19825" xr:uid="{C8E44EFB-093D-4283-BD7B-006D2592C0A3}"/>
    <cellStyle name="Comma 4 2 2 3 2 2 3" xfId="5020" xr:uid="{00000000-0005-0000-0000-000002080000}"/>
    <cellStyle name="Comma 4 2 2 3 2 2 3 2" xfId="13462" xr:uid="{FF21D880-44C4-4B44-B5BC-A7869A86A49E}"/>
    <cellStyle name="Comma 4 2 2 3 2 2 3 3" xfId="21897" xr:uid="{43B9F8EE-6E0A-41A9-9080-9E0632B48012}"/>
    <cellStyle name="Comma 4 2 2 3 2 2 4" xfId="9244" xr:uid="{F02E2C05-DB92-4A64-9A20-0675ABC10925}"/>
    <cellStyle name="Comma 4 2 2 3 2 2 5" xfId="17680" xr:uid="{79610364-B63E-4AA5-B290-F2EF36F2BB24}"/>
    <cellStyle name="Comma 4 2 2 3 2 3" xfId="1124" xr:uid="{00000000-0005-0000-0000-000003080000}"/>
    <cellStyle name="Comma 4 2 2 3 2 3 2" xfId="3355" xr:uid="{00000000-0005-0000-0000-000004080000}"/>
    <cellStyle name="Comma 4 2 2 3 2 3 2 2" xfId="7578" xr:uid="{00000000-0005-0000-0000-000005080000}"/>
    <cellStyle name="Comma 4 2 2 3 2 3 2 2 2" xfId="16020" xr:uid="{CDE89539-20F5-4FE3-A836-5A3BE9636E35}"/>
    <cellStyle name="Comma 4 2 2 3 2 3 2 2 3" xfId="24455" xr:uid="{DE3B4BCB-5D18-4E1F-813F-CC8CBB21C171}"/>
    <cellStyle name="Comma 4 2 2 3 2 3 2 3" xfId="11802" xr:uid="{D15F220F-5BBD-4385-9208-FC09B2EC9DE7}"/>
    <cellStyle name="Comma 4 2 2 3 2 3 2 4" xfId="20238" xr:uid="{DC596FC5-5C75-4DFB-B1AB-66CDA0698156}"/>
    <cellStyle name="Comma 4 2 2 3 2 3 3" xfId="5433" xr:uid="{00000000-0005-0000-0000-000006080000}"/>
    <cellStyle name="Comma 4 2 2 3 2 3 3 2" xfId="13875" xr:uid="{EBEE1090-27F2-48E1-9C8D-4DD7541C2E79}"/>
    <cellStyle name="Comma 4 2 2 3 2 3 3 3" xfId="22310" xr:uid="{1C5C4586-6208-45D6-97A5-54EA6B1E5E30}"/>
    <cellStyle name="Comma 4 2 2 3 2 3 4" xfId="9657" xr:uid="{709987DA-A627-4130-BD76-222268AEC9CC}"/>
    <cellStyle name="Comma 4 2 2 3 2 3 5" xfId="18093" xr:uid="{75C7C03B-0858-4A71-B24B-88152BDEC4E0}"/>
    <cellStyle name="Comma 4 2 2 3 2 4" xfId="1538" xr:uid="{00000000-0005-0000-0000-000007080000}"/>
    <cellStyle name="Comma 4 2 2 3 2 4 2" xfId="3768" xr:uid="{00000000-0005-0000-0000-000008080000}"/>
    <cellStyle name="Comma 4 2 2 3 2 4 2 2" xfId="7991" xr:uid="{00000000-0005-0000-0000-000009080000}"/>
    <cellStyle name="Comma 4 2 2 3 2 4 2 2 2" xfId="16433" xr:uid="{A2CC94E1-620F-4B76-AB61-657BD8EFFFBA}"/>
    <cellStyle name="Comma 4 2 2 3 2 4 2 2 3" xfId="24868" xr:uid="{B80FF2D6-2F46-49A0-96B6-8BA93C8C19C6}"/>
    <cellStyle name="Comma 4 2 2 3 2 4 2 3" xfId="12215" xr:uid="{A0EE69FD-C6BF-40D5-95CA-B83D73130D6F}"/>
    <cellStyle name="Comma 4 2 2 3 2 4 2 4" xfId="20651" xr:uid="{BA7299F8-BC81-48B2-97D8-E472DBEB2E14}"/>
    <cellStyle name="Comma 4 2 2 3 2 4 3" xfId="5846" xr:uid="{00000000-0005-0000-0000-00000A080000}"/>
    <cellStyle name="Comma 4 2 2 3 2 4 3 2" xfId="14288" xr:uid="{0B6CD094-1E39-460E-A051-E1EAEB36DBBE}"/>
    <cellStyle name="Comma 4 2 2 3 2 4 3 3" xfId="22723" xr:uid="{5D152EF6-C1C8-4CFF-B036-6BEEA3749D5B}"/>
    <cellStyle name="Comma 4 2 2 3 2 4 4" xfId="10070" xr:uid="{436A557A-7635-4542-B921-847DEC954A71}"/>
    <cellStyle name="Comma 4 2 2 3 2 4 5" xfId="18506" xr:uid="{8D62169A-D7C0-4A09-AC9B-3D40971B3185}"/>
    <cellStyle name="Comma 4 2 2 3 2 5" xfId="1952" xr:uid="{00000000-0005-0000-0000-00000B080000}"/>
    <cellStyle name="Comma 4 2 2 3 2 5 2" xfId="4181" xr:uid="{00000000-0005-0000-0000-00000C080000}"/>
    <cellStyle name="Comma 4 2 2 3 2 5 2 2" xfId="8404" xr:uid="{00000000-0005-0000-0000-00000D080000}"/>
    <cellStyle name="Comma 4 2 2 3 2 5 2 2 2" xfId="16846" xr:uid="{921B641A-D57A-417F-94CB-2814C94377D3}"/>
    <cellStyle name="Comma 4 2 2 3 2 5 2 2 3" xfId="25281" xr:uid="{CFD0D902-6118-4EDA-995E-E8C8B953A0CB}"/>
    <cellStyle name="Comma 4 2 2 3 2 5 2 3" xfId="12628" xr:uid="{F6F9FFBC-8C53-4F10-B495-A0D6B19ABBF3}"/>
    <cellStyle name="Comma 4 2 2 3 2 5 2 4" xfId="21064" xr:uid="{EAA10D9C-BD0E-45EA-A54F-4264D61AE4F1}"/>
    <cellStyle name="Comma 4 2 2 3 2 5 3" xfId="6259" xr:uid="{00000000-0005-0000-0000-00000E080000}"/>
    <cellStyle name="Comma 4 2 2 3 2 5 3 2" xfId="14701" xr:uid="{B568E6C2-09A7-4A37-B831-273085FE73E6}"/>
    <cellStyle name="Comma 4 2 2 3 2 5 3 3" xfId="23136" xr:uid="{5B0424BD-26E0-44C7-824F-F683B3203149}"/>
    <cellStyle name="Comma 4 2 2 3 2 5 4" xfId="10483" xr:uid="{66702824-40A1-4242-A9E2-DF6782AC2E77}"/>
    <cellStyle name="Comma 4 2 2 3 2 5 5" xfId="18919" xr:uid="{3C0F8524-BBF7-4DB5-82E2-4BDB2ECCA814}"/>
    <cellStyle name="Comma 4 2 2 3 2 6" xfId="2387" xr:uid="{00000000-0005-0000-0000-00000F080000}"/>
    <cellStyle name="Comma 4 2 2 3 2 6 2" xfId="6672" xr:uid="{00000000-0005-0000-0000-000010080000}"/>
    <cellStyle name="Comma 4 2 2 3 2 6 2 2" xfId="15114" xr:uid="{D54E4020-5520-48C0-A221-AD9201F48F0F}"/>
    <cellStyle name="Comma 4 2 2 3 2 6 2 3" xfId="23549" xr:uid="{FCEE5885-7A22-46FB-8438-9BA0F9CF9EF8}"/>
    <cellStyle name="Comma 4 2 2 3 2 6 3" xfId="10896" xr:uid="{2866DA3C-8A7D-411F-9785-82BDBF4A1C51}"/>
    <cellStyle name="Comma 4 2 2 3 2 6 4" xfId="19332" xr:uid="{ED4A5925-769B-4755-A10F-E8F450D1EC7F}"/>
    <cellStyle name="Comma 4 2 2 3 2 7" xfId="2376" xr:uid="{00000000-0005-0000-0000-000011080000}"/>
    <cellStyle name="Comma 4 2 2 3 2 8" xfId="2765" xr:uid="{00000000-0005-0000-0000-000012080000}"/>
    <cellStyle name="Comma 4 2 2 3 2 8 2" xfId="6989" xr:uid="{00000000-0005-0000-0000-000013080000}"/>
    <cellStyle name="Comma 4 2 2 3 2 8 2 2" xfId="15431" xr:uid="{658D3196-AAB9-4965-B93B-6CF612193B92}"/>
    <cellStyle name="Comma 4 2 2 3 2 8 2 3" xfId="23866" xr:uid="{6DA74BBB-5A0F-4E79-B0B4-DA2A4C2C51E5}"/>
    <cellStyle name="Comma 4 2 2 3 2 8 3" xfId="11213" xr:uid="{CE3D81C6-8E9E-4834-BCEC-199BC84F8513}"/>
    <cellStyle name="Comma 4 2 2 3 2 8 4" xfId="19649" xr:uid="{EFD497C5-52E4-4E28-9CAC-D12C5A4E9BB9}"/>
    <cellStyle name="Comma 4 2 2 3 2 9" xfId="4606" xr:uid="{00000000-0005-0000-0000-000014080000}"/>
    <cellStyle name="Comma 4 2 2 3 2 9 2" xfId="13048" xr:uid="{7B197C5C-9D98-4590-8D48-F319C0F4C446}"/>
    <cellStyle name="Comma 4 2 2 3 2 9 3" xfId="21483" xr:uid="{324D279C-8210-411C-B685-BFEAFE16BEAD}"/>
    <cellStyle name="Comma 4 2 2 3 3" xfId="670" xr:uid="{00000000-0005-0000-0000-000015080000}"/>
    <cellStyle name="Comma 4 2 2 3 3 2" xfId="2941" xr:uid="{00000000-0005-0000-0000-000016080000}"/>
    <cellStyle name="Comma 4 2 2 3 3 2 2" xfId="7164" xr:uid="{00000000-0005-0000-0000-000017080000}"/>
    <cellStyle name="Comma 4 2 2 3 3 2 2 2" xfId="15606" xr:uid="{480899E5-AF8C-43B6-8F4B-EF72496949C4}"/>
    <cellStyle name="Comma 4 2 2 3 3 2 2 3" xfId="24041" xr:uid="{B29B2CEB-E381-4596-9987-BBE62354D2EF}"/>
    <cellStyle name="Comma 4 2 2 3 3 2 3" xfId="11388" xr:uid="{F304E859-E0B9-4954-94AF-DA84B8F8C8E6}"/>
    <cellStyle name="Comma 4 2 2 3 3 2 4" xfId="19824" xr:uid="{E783A2A6-C381-47D1-8746-CD65E8120E13}"/>
    <cellStyle name="Comma 4 2 2 3 3 3" xfId="5019" xr:uid="{00000000-0005-0000-0000-000018080000}"/>
    <cellStyle name="Comma 4 2 2 3 3 3 2" xfId="13461" xr:uid="{2D216877-BC92-48E6-9A23-359518CB8C20}"/>
    <cellStyle name="Comma 4 2 2 3 3 3 3" xfId="21896" xr:uid="{2CF26270-255E-4621-8543-6110549C5D31}"/>
    <cellStyle name="Comma 4 2 2 3 3 4" xfId="9243" xr:uid="{A546958E-0CB6-4A47-98F8-032FAC2CABD4}"/>
    <cellStyle name="Comma 4 2 2 3 3 5" xfId="17679" xr:uid="{6546E898-B82A-43AC-BA0E-6E15F8A936F7}"/>
    <cellStyle name="Comma 4 2 2 3 4" xfId="1123" xr:uid="{00000000-0005-0000-0000-000019080000}"/>
    <cellStyle name="Comma 4 2 2 3 4 2" xfId="3354" xr:uid="{00000000-0005-0000-0000-00001A080000}"/>
    <cellStyle name="Comma 4 2 2 3 4 2 2" xfId="7577" xr:uid="{00000000-0005-0000-0000-00001B080000}"/>
    <cellStyle name="Comma 4 2 2 3 4 2 2 2" xfId="16019" xr:uid="{84C2C307-36F9-478D-8D48-2598B110B766}"/>
    <cellStyle name="Comma 4 2 2 3 4 2 2 3" xfId="24454" xr:uid="{EC88DC7A-29E3-4D8D-8C36-1C5FD21A23A3}"/>
    <cellStyle name="Comma 4 2 2 3 4 2 3" xfId="11801" xr:uid="{8FCF7715-9F96-4827-A70D-47B1075458B6}"/>
    <cellStyle name="Comma 4 2 2 3 4 2 4" xfId="20237" xr:uid="{234E0270-EEA8-4DE6-884E-CD68A0DA8770}"/>
    <cellStyle name="Comma 4 2 2 3 4 3" xfId="5432" xr:uid="{00000000-0005-0000-0000-00001C080000}"/>
    <cellStyle name="Comma 4 2 2 3 4 3 2" xfId="13874" xr:uid="{249A6633-E950-4596-A799-92808E81A13E}"/>
    <cellStyle name="Comma 4 2 2 3 4 3 3" xfId="22309" xr:uid="{7E28FC40-7995-4843-B03A-F76B28E0C22A}"/>
    <cellStyle name="Comma 4 2 2 3 4 4" xfId="9656" xr:uid="{C88A2DDA-A7D3-43FB-84AD-8907C8CD83BE}"/>
    <cellStyle name="Comma 4 2 2 3 4 5" xfId="18092" xr:uid="{6CE4D407-6866-4079-B2C3-595BD2C59D13}"/>
    <cellStyle name="Comma 4 2 2 3 5" xfId="1537" xr:uid="{00000000-0005-0000-0000-00001D080000}"/>
    <cellStyle name="Comma 4 2 2 3 5 2" xfId="3767" xr:uid="{00000000-0005-0000-0000-00001E080000}"/>
    <cellStyle name="Comma 4 2 2 3 5 2 2" xfId="7990" xr:uid="{00000000-0005-0000-0000-00001F080000}"/>
    <cellStyle name="Comma 4 2 2 3 5 2 2 2" xfId="16432" xr:uid="{24363B10-61B8-497E-B076-FBAFB9B686B3}"/>
    <cellStyle name="Comma 4 2 2 3 5 2 2 3" xfId="24867" xr:uid="{87CF980F-BDB1-41C4-B536-29C8E29BC6A1}"/>
    <cellStyle name="Comma 4 2 2 3 5 2 3" xfId="12214" xr:uid="{778EC9D3-3962-44A3-A467-9B90460CAE4D}"/>
    <cellStyle name="Comma 4 2 2 3 5 2 4" xfId="20650" xr:uid="{764DF4B9-81DC-475E-9724-3E09938DCA9E}"/>
    <cellStyle name="Comma 4 2 2 3 5 3" xfId="5845" xr:uid="{00000000-0005-0000-0000-000020080000}"/>
    <cellStyle name="Comma 4 2 2 3 5 3 2" xfId="14287" xr:uid="{C1F17A0F-E108-4ED1-9482-0A678D29621B}"/>
    <cellStyle name="Comma 4 2 2 3 5 3 3" xfId="22722" xr:uid="{9B341C15-FAEC-4BF7-A46A-14C5AF454DB3}"/>
    <cellStyle name="Comma 4 2 2 3 5 4" xfId="10069" xr:uid="{068A8B4F-85A4-48E1-9BF1-F70B1230D8B4}"/>
    <cellStyle name="Comma 4 2 2 3 5 5" xfId="18505" xr:uid="{34399964-5570-437A-B0EE-175E60F02F1A}"/>
    <cellStyle name="Comma 4 2 2 3 6" xfId="1951" xr:uid="{00000000-0005-0000-0000-000021080000}"/>
    <cellStyle name="Comma 4 2 2 3 6 2" xfId="4180" xr:uid="{00000000-0005-0000-0000-000022080000}"/>
    <cellStyle name="Comma 4 2 2 3 6 2 2" xfId="8403" xr:uid="{00000000-0005-0000-0000-000023080000}"/>
    <cellStyle name="Comma 4 2 2 3 6 2 2 2" xfId="16845" xr:uid="{ED5205D1-8D36-4E81-9522-BB222D73C56A}"/>
    <cellStyle name="Comma 4 2 2 3 6 2 2 3" xfId="25280" xr:uid="{3249E3D8-7AF5-4407-87A9-52285A8ABBA4}"/>
    <cellStyle name="Comma 4 2 2 3 6 2 3" xfId="12627" xr:uid="{C7E16152-5C88-4C8A-B38C-44D641DEA1C6}"/>
    <cellStyle name="Comma 4 2 2 3 6 2 4" xfId="21063" xr:uid="{911DDAFA-B35F-490D-967D-36B81A7A9982}"/>
    <cellStyle name="Comma 4 2 2 3 6 3" xfId="6258" xr:uid="{00000000-0005-0000-0000-000024080000}"/>
    <cellStyle name="Comma 4 2 2 3 6 3 2" xfId="14700" xr:uid="{D43C11A9-3191-4383-BAD4-51BE8A636D7C}"/>
    <cellStyle name="Comma 4 2 2 3 6 3 3" xfId="23135" xr:uid="{F3ECF4EB-2457-4686-99A7-8E290406C9D1}"/>
    <cellStyle name="Comma 4 2 2 3 6 4" xfId="10482" xr:uid="{E616932C-CCC7-482E-BA5F-0AC90DB67D51}"/>
    <cellStyle name="Comma 4 2 2 3 6 5" xfId="18918" xr:uid="{6F2B2F30-73AE-48B1-9DD0-35011DBC88B3}"/>
    <cellStyle name="Comma 4 2 2 3 7" xfId="2386" xr:uid="{00000000-0005-0000-0000-000025080000}"/>
    <cellStyle name="Comma 4 2 2 3 7 2" xfId="6671" xr:uid="{00000000-0005-0000-0000-000026080000}"/>
    <cellStyle name="Comma 4 2 2 3 7 2 2" xfId="15113" xr:uid="{C748F17D-8539-42D8-8277-D8E7A8A8B515}"/>
    <cellStyle name="Comma 4 2 2 3 7 2 3" xfId="23548" xr:uid="{AE2740F3-096D-4512-8595-C62789F65C29}"/>
    <cellStyle name="Comma 4 2 2 3 7 3" xfId="10895" xr:uid="{D242667A-652E-450B-8BB1-101CE2BED346}"/>
    <cellStyle name="Comma 4 2 2 3 7 4" xfId="19331" xr:uid="{17EC677A-C39C-4DDC-88A3-B729D8A78492}"/>
    <cellStyle name="Comma 4 2 2 3 8" xfId="2377" xr:uid="{00000000-0005-0000-0000-000027080000}"/>
    <cellStyle name="Comma 4 2 2 3 9" xfId="2764" xr:uid="{00000000-0005-0000-0000-000028080000}"/>
    <cellStyle name="Comma 4 2 2 3 9 2" xfId="6988" xr:uid="{00000000-0005-0000-0000-000029080000}"/>
    <cellStyle name="Comma 4 2 2 3 9 2 2" xfId="15430" xr:uid="{0764D6DC-26BF-4665-81ED-69C781D56701}"/>
    <cellStyle name="Comma 4 2 2 3 9 2 3" xfId="23865" xr:uid="{F7713687-277E-4944-A785-4F3362D64A6E}"/>
    <cellStyle name="Comma 4 2 2 3 9 3" xfId="11212" xr:uid="{4D72C763-3348-4597-BEA5-573FD462D443}"/>
    <cellStyle name="Comma 4 2 2 3 9 4" xfId="19648" xr:uid="{EFDE1F4E-0937-4152-8B7B-16CBF446F144}"/>
    <cellStyle name="Comma 4 2 2 4" xfId="134" xr:uid="{00000000-0005-0000-0000-00002A080000}"/>
    <cellStyle name="Comma 4 2 2 4 10" xfId="8831" xr:uid="{C89F275E-8930-4564-A6C7-E2FFE9F03E85}"/>
    <cellStyle name="Comma 4 2 2 4 11" xfId="17267" xr:uid="{A3F7F0A3-6206-4CCF-AA30-E0E6D163494C}"/>
    <cellStyle name="Comma 4 2 2 4 2" xfId="672" xr:uid="{00000000-0005-0000-0000-00002B080000}"/>
    <cellStyle name="Comma 4 2 2 4 2 2" xfId="2943" xr:uid="{00000000-0005-0000-0000-00002C080000}"/>
    <cellStyle name="Comma 4 2 2 4 2 2 2" xfId="7166" xr:uid="{00000000-0005-0000-0000-00002D080000}"/>
    <cellStyle name="Comma 4 2 2 4 2 2 2 2" xfId="15608" xr:uid="{F015E66F-0FBD-4D0C-BC59-DF56C24019BB}"/>
    <cellStyle name="Comma 4 2 2 4 2 2 2 3" xfId="24043" xr:uid="{0AD7F634-CD0C-4878-B89E-517C6B985851}"/>
    <cellStyle name="Comma 4 2 2 4 2 2 3" xfId="11390" xr:uid="{178AB187-95A2-4C67-9DB7-372FC4112DB1}"/>
    <cellStyle name="Comma 4 2 2 4 2 2 4" xfId="19826" xr:uid="{610BCE3C-3604-4512-91BC-8BF369C82A70}"/>
    <cellStyle name="Comma 4 2 2 4 2 3" xfId="5021" xr:uid="{00000000-0005-0000-0000-00002E080000}"/>
    <cellStyle name="Comma 4 2 2 4 2 3 2" xfId="13463" xr:uid="{7948FB57-B794-419E-A48D-AAD9C2B939CB}"/>
    <cellStyle name="Comma 4 2 2 4 2 3 3" xfId="21898" xr:uid="{E098EC7C-1C81-42B5-B512-AC138C9BF4B6}"/>
    <cellStyle name="Comma 4 2 2 4 2 4" xfId="9245" xr:uid="{5BA163E4-2F0B-4BBF-981D-B1A2F5FF7CC4}"/>
    <cellStyle name="Comma 4 2 2 4 2 5" xfId="17681" xr:uid="{3938FB5F-7EE3-4BF0-A02A-26E1EC29DCE0}"/>
    <cellStyle name="Comma 4 2 2 4 3" xfId="1125" xr:uid="{00000000-0005-0000-0000-00002F080000}"/>
    <cellStyle name="Comma 4 2 2 4 3 2" xfId="3356" xr:uid="{00000000-0005-0000-0000-000030080000}"/>
    <cellStyle name="Comma 4 2 2 4 3 2 2" xfId="7579" xr:uid="{00000000-0005-0000-0000-000031080000}"/>
    <cellStyle name="Comma 4 2 2 4 3 2 2 2" xfId="16021" xr:uid="{A80E3018-5D51-4E1E-A74E-DEA7024E3E25}"/>
    <cellStyle name="Comma 4 2 2 4 3 2 2 3" xfId="24456" xr:uid="{310533D9-1EDB-4311-903B-0FD18E85118C}"/>
    <cellStyle name="Comma 4 2 2 4 3 2 3" xfId="11803" xr:uid="{4EE875A3-5108-4736-92E4-DBCE77785E7C}"/>
    <cellStyle name="Comma 4 2 2 4 3 2 4" xfId="20239" xr:uid="{07DAAD12-A952-472C-953C-8FE8D75A6C02}"/>
    <cellStyle name="Comma 4 2 2 4 3 3" xfId="5434" xr:uid="{00000000-0005-0000-0000-000032080000}"/>
    <cellStyle name="Comma 4 2 2 4 3 3 2" xfId="13876" xr:uid="{DF1B93D2-D09E-4025-8F22-DC7FEDD819BF}"/>
    <cellStyle name="Comma 4 2 2 4 3 3 3" xfId="22311" xr:uid="{36969130-9F0D-4E63-BBE4-97AFAC78E1BB}"/>
    <cellStyle name="Comma 4 2 2 4 3 4" xfId="9658" xr:uid="{B222046A-135B-4C11-8970-55312F19A8F2}"/>
    <cellStyle name="Comma 4 2 2 4 3 5" xfId="18094" xr:uid="{4A93385F-9A96-401B-8682-EBDD815AC086}"/>
    <cellStyle name="Comma 4 2 2 4 4" xfId="1539" xr:uid="{00000000-0005-0000-0000-000033080000}"/>
    <cellStyle name="Comma 4 2 2 4 4 2" xfId="3769" xr:uid="{00000000-0005-0000-0000-000034080000}"/>
    <cellStyle name="Comma 4 2 2 4 4 2 2" xfId="7992" xr:uid="{00000000-0005-0000-0000-000035080000}"/>
    <cellStyle name="Comma 4 2 2 4 4 2 2 2" xfId="16434" xr:uid="{E4A0A6C9-0F34-4445-ABDF-5A76C5CC440E}"/>
    <cellStyle name="Comma 4 2 2 4 4 2 2 3" xfId="24869" xr:uid="{B6386B97-485F-491D-94B1-F5FE895A8087}"/>
    <cellStyle name="Comma 4 2 2 4 4 2 3" xfId="12216" xr:uid="{87675E9F-37F2-40EA-B110-B980F74E34F6}"/>
    <cellStyle name="Comma 4 2 2 4 4 2 4" xfId="20652" xr:uid="{956EB119-1A71-47CD-BF7B-C04865CA67E3}"/>
    <cellStyle name="Comma 4 2 2 4 4 3" xfId="5847" xr:uid="{00000000-0005-0000-0000-000036080000}"/>
    <cellStyle name="Comma 4 2 2 4 4 3 2" xfId="14289" xr:uid="{BC5D58DC-EF6C-448A-B69C-5ED79ADC4AED}"/>
    <cellStyle name="Comma 4 2 2 4 4 3 3" xfId="22724" xr:uid="{4687844E-A826-4E55-B1FF-F1070B5B5E1F}"/>
    <cellStyle name="Comma 4 2 2 4 4 4" xfId="10071" xr:uid="{9F59C583-48F5-4CBC-95E3-4F0CC0A7E288}"/>
    <cellStyle name="Comma 4 2 2 4 4 5" xfId="18507" xr:uid="{3709BEFC-AFAF-475C-AC25-F2B8A411E827}"/>
    <cellStyle name="Comma 4 2 2 4 5" xfId="1953" xr:uid="{00000000-0005-0000-0000-000037080000}"/>
    <cellStyle name="Comma 4 2 2 4 5 2" xfId="4182" xr:uid="{00000000-0005-0000-0000-000038080000}"/>
    <cellStyle name="Comma 4 2 2 4 5 2 2" xfId="8405" xr:uid="{00000000-0005-0000-0000-000039080000}"/>
    <cellStyle name="Comma 4 2 2 4 5 2 2 2" xfId="16847" xr:uid="{5E072B20-0D27-4AF5-AFFF-7AFA1130631B}"/>
    <cellStyle name="Comma 4 2 2 4 5 2 2 3" xfId="25282" xr:uid="{810BD0B7-58DD-4D03-810F-373252378C47}"/>
    <cellStyle name="Comma 4 2 2 4 5 2 3" xfId="12629" xr:uid="{A1A44D48-A190-4237-A52E-9E7DB7971D79}"/>
    <cellStyle name="Comma 4 2 2 4 5 2 4" xfId="21065" xr:uid="{CC874BAD-0CCC-4E70-9F4B-05CBF555B48E}"/>
    <cellStyle name="Comma 4 2 2 4 5 3" xfId="6260" xr:uid="{00000000-0005-0000-0000-00003A080000}"/>
    <cellStyle name="Comma 4 2 2 4 5 3 2" xfId="14702" xr:uid="{FDBF42FE-FFD2-4D18-B152-1CDA457D9583}"/>
    <cellStyle name="Comma 4 2 2 4 5 3 3" xfId="23137" xr:uid="{B2ACB966-E251-4F11-A533-3EE67A6AC408}"/>
    <cellStyle name="Comma 4 2 2 4 5 4" xfId="10484" xr:uid="{22917B84-EEAC-4996-82F0-E5148ED0EB22}"/>
    <cellStyle name="Comma 4 2 2 4 5 5" xfId="18920" xr:uid="{6184CF72-4512-4236-88DA-0B48B30C9605}"/>
    <cellStyle name="Comma 4 2 2 4 6" xfId="2388" xr:uid="{00000000-0005-0000-0000-00003B080000}"/>
    <cellStyle name="Comma 4 2 2 4 6 2" xfId="6673" xr:uid="{00000000-0005-0000-0000-00003C080000}"/>
    <cellStyle name="Comma 4 2 2 4 6 2 2" xfId="15115" xr:uid="{149931AA-06C4-4BAB-BD82-056CF8389C06}"/>
    <cellStyle name="Comma 4 2 2 4 6 2 3" xfId="23550" xr:uid="{E20ECFF1-87DF-4C2F-9D1C-2E28B2AC8969}"/>
    <cellStyle name="Comma 4 2 2 4 6 3" xfId="10897" xr:uid="{21CE85DB-FA19-4327-A0A4-C00AACF398F6}"/>
    <cellStyle name="Comma 4 2 2 4 6 4" xfId="19333" xr:uid="{B800A1AE-BE21-499D-A9AA-08C037A78E15}"/>
    <cellStyle name="Comma 4 2 2 4 7" xfId="2375" xr:uid="{00000000-0005-0000-0000-00003D080000}"/>
    <cellStyle name="Comma 4 2 2 4 8" xfId="2766" xr:uid="{00000000-0005-0000-0000-00003E080000}"/>
    <cellStyle name="Comma 4 2 2 4 8 2" xfId="6990" xr:uid="{00000000-0005-0000-0000-00003F080000}"/>
    <cellStyle name="Comma 4 2 2 4 8 2 2" xfId="15432" xr:uid="{C7C30FC1-D025-4FEB-A6AC-14FFB20A5BBE}"/>
    <cellStyle name="Comma 4 2 2 4 8 2 3" xfId="23867" xr:uid="{854C1050-B3A4-4CF9-A961-8547CB10AA46}"/>
    <cellStyle name="Comma 4 2 2 4 8 3" xfId="11214" xr:uid="{0A9F3D29-706C-48E0-BF11-D599960BAF29}"/>
    <cellStyle name="Comma 4 2 2 4 8 4" xfId="19650" xr:uid="{FFBD7AF6-82F3-4A1F-B5CB-4B5EB830D325}"/>
    <cellStyle name="Comma 4 2 2 4 9" xfId="4607" xr:uid="{00000000-0005-0000-0000-000040080000}"/>
    <cellStyle name="Comma 4 2 2 4 9 2" xfId="13049" xr:uid="{4DD2EAD8-D1EE-4496-A986-DC79CE8B9FBC}"/>
    <cellStyle name="Comma 4 2 2 4 9 3" xfId="21484" xr:uid="{D9308961-A13B-4491-A7C9-779316491BC8}"/>
    <cellStyle name="Comma 4 2 2 5" xfId="135" xr:uid="{00000000-0005-0000-0000-000041080000}"/>
    <cellStyle name="Comma 4 2 2 5 10" xfId="8832" xr:uid="{7B51612A-F217-47C9-A174-5A192BFB1742}"/>
    <cellStyle name="Comma 4 2 2 5 11" xfId="17268" xr:uid="{1E7C8B2B-AEA5-40EE-ABEC-42D989B39ABE}"/>
    <cellStyle name="Comma 4 2 2 5 2" xfId="673" xr:uid="{00000000-0005-0000-0000-000042080000}"/>
    <cellStyle name="Comma 4 2 2 5 2 2" xfId="2944" xr:uid="{00000000-0005-0000-0000-000043080000}"/>
    <cellStyle name="Comma 4 2 2 5 2 2 2" xfId="7167" xr:uid="{00000000-0005-0000-0000-000044080000}"/>
    <cellStyle name="Comma 4 2 2 5 2 2 2 2" xfId="15609" xr:uid="{44D25014-7BD9-472F-9DB8-42DB365D7AFB}"/>
    <cellStyle name="Comma 4 2 2 5 2 2 2 3" xfId="24044" xr:uid="{FEABF40C-5858-49E5-BAA2-0AF63FC66E41}"/>
    <cellStyle name="Comma 4 2 2 5 2 2 3" xfId="11391" xr:uid="{B20E38E3-E43D-4882-A180-04AB197A7C99}"/>
    <cellStyle name="Comma 4 2 2 5 2 2 4" xfId="19827" xr:uid="{6C2A2935-D4DC-4CA8-952B-1536614AA724}"/>
    <cellStyle name="Comma 4 2 2 5 2 3" xfId="5022" xr:uid="{00000000-0005-0000-0000-000045080000}"/>
    <cellStyle name="Comma 4 2 2 5 2 3 2" xfId="13464" xr:uid="{1CAF435D-08FF-4978-A58F-7F4793569DEB}"/>
    <cellStyle name="Comma 4 2 2 5 2 3 3" xfId="21899" xr:uid="{BF4136F3-5DCD-4072-81CF-5B78B6297587}"/>
    <cellStyle name="Comma 4 2 2 5 2 4" xfId="9246" xr:uid="{8B040A2B-61C1-48EA-981A-0E3682BA0D03}"/>
    <cellStyle name="Comma 4 2 2 5 2 5" xfId="17682" xr:uid="{BA2D99FF-BB49-4B7D-BCAD-B32F35ED34F1}"/>
    <cellStyle name="Comma 4 2 2 5 3" xfId="1126" xr:uid="{00000000-0005-0000-0000-000046080000}"/>
    <cellStyle name="Comma 4 2 2 5 3 2" xfId="3357" xr:uid="{00000000-0005-0000-0000-000047080000}"/>
    <cellStyle name="Comma 4 2 2 5 3 2 2" xfId="7580" xr:uid="{00000000-0005-0000-0000-000048080000}"/>
    <cellStyle name="Comma 4 2 2 5 3 2 2 2" xfId="16022" xr:uid="{52900769-0373-4C40-B2A4-74F5129B460E}"/>
    <cellStyle name="Comma 4 2 2 5 3 2 2 3" xfId="24457" xr:uid="{37482867-E10F-4027-B42E-45E931F229D8}"/>
    <cellStyle name="Comma 4 2 2 5 3 2 3" xfId="11804" xr:uid="{1CE4C26E-184A-4223-B949-1FD77C7D78DF}"/>
    <cellStyle name="Comma 4 2 2 5 3 2 4" xfId="20240" xr:uid="{F22B4B69-CA69-4AFD-8E37-7C222A446341}"/>
    <cellStyle name="Comma 4 2 2 5 3 3" xfId="5435" xr:uid="{00000000-0005-0000-0000-000049080000}"/>
    <cellStyle name="Comma 4 2 2 5 3 3 2" xfId="13877" xr:uid="{12ECDE27-518E-4B4F-AF11-D1BE8F331161}"/>
    <cellStyle name="Comma 4 2 2 5 3 3 3" xfId="22312" xr:uid="{E897740D-91CA-4001-B621-DB6E3842D5B6}"/>
    <cellStyle name="Comma 4 2 2 5 3 4" xfId="9659" xr:uid="{8C29EE3F-1647-47A9-8339-31D1363BE9B5}"/>
    <cellStyle name="Comma 4 2 2 5 3 5" xfId="18095" xr:uid="{FD6BC8EF-95B9-4041-A899-E616A61A7CC1}"/>
    <cellStyle name="Comma 4 2 2 5 4" xfId="1540" xr:uid="{00000000-0005-0000-0000-00004A080000}"/>
    <cellStyle name="Comma 4 2 2 5 4 2" xfId="3770" xr:uid="{00000000-0005-0000-0000-00004B080000}"/>
    <cellStyle name="Comma 4 2 2 5 4 2 2" xfId="7993" xr:uid="{00000000-0005-0000-0000-00004C080000}"/>
    <cellStyle name="Comma 4 2 2 5 4 2 2 2" xfId="16435" xr:uid="{176D78CB-A0CC-4835-A44E-1C0F4BAF5BEE}"/>
    <cellStyle name="Comma 4 2 2 5 4 2 2 3" xfId="24870" xr:uid="{51B203CF-E887-45EB-A145-AD8FBE2C8760}"/>
    <cellStyle name="Comma 4 2 2 5 4 2 3" xfId="12217" xr:uid="{C50DC219-8FB2-44A6-9890-136A80A0033D}"/>
    <cellStyle name="Comma 4 2 2 5 4 2 4" xfId="20653" xr:uid="{FF1E25C1-B0BD-45C4-8721-7F0A67BCBEC3}"/>
    <cellStyle name="Comma 4 2 2 5 4 3" xfId="5848" xr:uid="{00000000-0005-0000-0000-00004D080000}"/>
    <cellStyle name="Comma 4 2 2 5 4 3 2" xfId="14290" xr:uid="{B7B8A0A7-4B1E-4757-A2B2-15757EE76C75}"/>
    <cellStyle name="Comma 4 2 2 5 4 3 3" xfId="22725" xr:uid="{3BE194D8-62E9-4601-A719-2B03D49ABC70}"/>
    <cellStyle name="Comma 4 2 2 5 4 4" xfId="10072" xr:uid="{B43297D7-7ACC-47D7-8994-7891E39F59F7}"/>
    <cellStyle name="Comma 4 2 2 5 4 5" xfId="18508" xr:uid="{E9426358-A0E6-44EE-BDFD-FA3BE1DE2C0F}"/>
    <cellStyle name="Comma 4 2 2 5 5" xfId="1954" xr:uid="{00000000-0005-0000-0000-00004E080000}"/>
    <cellStyle name="Comma 4 2 2 5 5 2" xfId="4183" xr:uid="{00000000-0005-0000-0000-00004F080000}"/>
    <cellStyle name="Comma 4 2 2 5 5 2 2" xfId="8406" xr:uid="{00000000-0005-0000-0000-000050080000}"/>
    <cellStyle name="Comma 4 2 2 5 5 2 2 2" xfId="16848" xr:uid="{CD77DEA8-2AD0-497D-B5D1-B76F06AE182F}"/>
    <cellStyle name="Comma 4 2 2 5 5 2 2 3" xfId="25283" xr:uid="{0C61C669-CF08-4181-916F-535A67E3307B}"/>
    <cellStyle name="Comma 4 2 2 5 5 2 3" xfId="12630" xr:uid="{AD094B5F-261E-4BF8-AF03-BDA9EEE41FAD}"/>
    <cellStyle name="Comma 4 2 2 5 5 2 4" xfId="21066" xr:uid="{BD03ED7F-C9C5-4DDE-BE9B-836CA166B721}"/>
    <cellStyle name="Comma 4 2 2 5 5 3" xfId="6261" xr:uid="{00000000-0005-0000-0000-000051080000}"/>
    <cellStyle name="Comma 4 2 2 5 5 3 2" xfId="14703" xr:uid="{68686A83-6856-41E7-9DF6-B3850CABF9F9}"/>
    <cellStyle name="Comma 4 2 2 5 5 3 3" xfId="23138" xr:uid="{E6D522A0-4F08-4D7D-AF7D-1A9DAF43EA1A}"/>
    <cellStyle name="Comma 4 2 2 5 5 4" xfId="10485" xr:uid="{92D135CD-160C-4177-AFE6-73586ED0E138}"/>
    <cellStyle name="Comma 4 2 2 5 5 5" xfId="18921" xr:uid="{B0FB3417-8FF4-40D4-8E92-21E820D704A4}"/>
    <cellStyle name="Comma 4 2 2 5 6" xfId="2389" xr:uid="{00000000-0005-0000-0000-000052080000}"/>
    <cellStyle name="Comma 4 2 2 5 6 2" xfId="6674" xr:uid="{00000000-0005-0000-0000-000053080000}"/>
    <cellStyle name="Comma 4 2 2 5 6 2 2" xfId="15116" xr:uid="{98946AC2-BA0E-4059-89BB-328FB44E777A}"/>
    <cellStyle name="Comma 4 2 2 5 6 2 3" xfId="23551" xr:uid="{2A1C0B86-91C2-42CF-95A3-F6639F13A546}"/>
    <cellStyle name="Comma 4 2 2 5 6 3" xfId="10898" xr:uid="{75858654-7462-4182-B621-2D48E91F51E7}"/>
    <cellStyle name="Comma 4 2 2 5 6 4" xfId="19334" xr:uid="{AFB58B97-33C6-412F-B451-5A1C026AD284}"/>
    <cellStyle name="Comma 4 2 2 5 7" xfId="2374" xr:uid="{00000000-0005-0000-0000-000054080000}"/>
    <cellStyle name="Comma 4 2 2 5 8" xfId="2767" xr:uid="{00000000-0005-0000-0000-000055080000}"/>
    <cellStyle name="Comma 4 2 2 5 8 2" xfId="6991" xr:uid="{00000000-0005-0000-0000-000056080000}"/>
    <cellStyle name="Comma 4 2 2 5 8 2 2" xfId="15433" xr:uid="{5CD51DDA-05C0-474E-ADBE-4A6A0D1B04C0}"/>
    <cellStyle name="Comma 4 2 2 5 8 2 3" xfId="23868" xr:uid="{E42932C1-B392-493E-9487-5E03880F6153}"/>
    <cellStyle name="Comma 4 2 2 5 8 3" xfId="11215" xr:uid="{EA4EC2B5-B8C7-4B47-9BF9-F2857A352FD9}"/>
    <cellStyle name="Comma 4 2 2 5 8 4" xfId="19651" xr:uid="{C54C71D6-799F-4BE6-9871-C5AB8BC2FCDD}"/>
    <cellStyle name="Comma 4 2 2 5 9" xfId="4608" xr:uid="{00000000-0005-0000-0000-000057080000}"/>
    <cellStyle name="Comma 4 2 2 5 9 2" xfId="13050" xr:uid="{09B8F423-9A5C-465B-B3FA-955FEB92DC8D}"/>
    <cellStyle name="Comma 4 2 2 5 9 3" xfId="21485" xr:uid="{C9D11F9D-5E8D-495E-ACFD-1940296F3215}"/>
    <cellStyle name="Comma 4 2 3" xfId="136" xr:uid="{00000000-0005-0000-0000-000058080000}"/>
    <cellStyle name="Comma 4 2 3 10" xfId="2768" xr:uid="{00000000-0005-0000-0000-000059080000}"/>
    <cellStyle name="Comma 4 2 3 10 2" xfId="6992" xr:uid="{00000000-0005-0000-0000-00005A080000}"/>
    <cellStyle name="Comma 4 2 3 10 2 2" xfId="15434" xr:uid="{00197232-1402-4E58-9ACF-F2EA4DEE3B7E}"/>
    <cellStyle name="Comma 4 2 3 10 2 3" xfId="23869" xr:uid="{0C86C70F-A28D-4AC5-9BFE-17DDF6CA1F2E}"/>
    <cellStyle name="Comma 4 2 3 10 3" xfId="11216" xr:uid="{2B1D88F4-1C96-499E-A78E-DB34621F1F5B}"/>
    <cellStyle name="Comma 4 2 3 10 4" xfId="19652" xr:uid="{B5B7890C-2F9C-4945-B445-E2B89C77968F}"/>
    <cellStyle name="Comma 4 2 3 11" xfId="4609" xr:uid="{00000000-0005-0000-0000-00005B080000}"/>
    <cellStyle name="Comma 4 2 3 11 2" xfId="13051" xr:uid="{21D41A2E-7E0A-45C3-ACBC-F6EFB95171ED}"/>
    <cellStyle name="Comma 4 2 3 11 3" xfId="21486" xr:uid="{B842BA0C-5626-45FE-9BAB-1B94FC7968CC}"/>
    <cellStyle name="Comma 4 2 3 12" xfId="8833" xr:uid="{FECD1D1B-2118-44AD-BB73-6EBA1D173AD0}"/>
    <cellStyle name="Comma 4 2 3 13" xfId="17269" xr:uid="{B56319F9-6211-4217-A8E2-23CB11BD8064}"/>
    <cellStyle name="Comma 4 2 3 2" xfId="137" xr:uid="{00000000-0005-0000-0000-00005C080000}"/>
    <cellStyle name="Comma 4 2 3 2 10" xfId="4610" xr:uid="{00000000-0005-0000-0000-00005D080000}"/>
    <cellStyle name="Comma 4 2 3 2 10 2" xfId="13052" xr:uid="{A3D03FC0-AE4E-4968-880E-AB5F25473F11}"/>
    <cellStyle name="Comma 4 2 3 2 10 3" xfId="21487" xr:uid="{1F3FFA29-D431-4538-B77D-C35C1E8123D0}"/>
    <cellStyle name="Comma 4 2 3 2 11" xfId="8834" xr:uid="{A274F027-6A44-45A0-BD50-B518E47E36C9}"/>
    <cellStyle name="Comma 4 2 3 2 12" xfId="17270" xr:uid="{7790D164-7B77-4424-8DFC-4007F919D869}"/>
    <cellStyle name="Comma 4 2 3 2 2" xfId="138" xr:uid="{00000000-0005-0000-0000-00005E080000}"/>
    <cellStyle name="Comma 4 2 3 2 2 10" xfId="8835" xr:uid="{9F78C373-1CB0-4309-99AC-E16DDD93CFAF}"/>
    <cellStyle name="Comma 4 2 3 2 2 11" xfId="17271" xr:uid="{956BE109-FFC3-400B-841E-004CEADA5D44}"/>
    <cellStyle name="Comma 4 2 3 2 2 2" xfId="676" xr:uid="{00000000-0005-0000-0000-00005F080000}"/>
    <cellStyle name="Comma 4 2 3 2 2 2 2" xfId="2947" xr:uid="{00000000-0005-0000-0000-000060080000}"/>
    <cellStyle name="Comma 4 2 3 2 2 2 2 2" xfId="7170" xr:uid="{00000000-0005-0000-0000-000061080000}"/>
    <cellStyle name="Comma 4 2 3 2 2 2 2 2 2" xfId="15612" xr:uid="{A8A7C9EF-2558-4063-8FC1-866FCC8CC5BB}"/>
    <cellStyle name="Comma 4 2 3 2 2 2 2 2 3" xfId="24047" xr:uid="{6B5FC88C-9E1E-4417-9317-11B43C1DF346}"/>
    <cellStyle name="Comma 4 2 3 2 2 2 2 3" xfId="11394" xr:uid="{74EC9232-B463-46AA-9154-AEDF4AF2A717}"/>
    <cellStyle name="Comma 4 2 3 2 2 2 2 4" xfId="19830" xr:uid="{E34684CB-08E9-4BED-B8AF-CABAA667410C}"/>
    <cellStyle name="Comma 4 2 3 2 2 2 3" xfId="5025" xr:uid="{00000000-0005-0000-0000-000062080000}"/>
    <cellStyle name="Comma 4 2 3 2 2 2 3 2" xfId="13467" xr:uid="{A30C1E78-A1FD-4C94-B7AC-296E17AFB16F}"/>
    <cellStyle name="Comma 4 2 3 2 2 2 3 3" xfId="21902" xr:uid="{3CFBBFE4-AE4E-4FF4-A771-8B940BCAB12F}"/>
    <cellStyle name="Comma 4 2 3 2 2 2 4" xfId="9249" xr:uid="{388C0D3C-E799-4BFE-B9F0-24087921B6A9}"/>
    <cellStyle name="Comma 4 2 3 2 2 2 5" xfId="17685" xr:uid="{BFF87274-0272-4BC3-895D-23CB27E117E3}"/>
    <cellStyle name="Comma 4 2 3 2 2 3" xfId="1129" xr:uid="{00000000-0005-0000-0000-000063080000}"/>
    <cellStyle name="Comma 4 2 3 2 2 3 2" xfId="3360" xr:uid="{00000000-0005-0000-0000-000064080000}"/>
    <cellStyle name="Comma 4 2 3 2 2 3 2 2" xfId="7583" xr:uid="{00000000-0005-0000-0000-000065080000}"/>
    <cellStyle name="Comma 4 2 3 2 2 3 2 2 2" xfId="16025" xr:uid="{F71FD261-4F69-4236-A59F-2D7FA30331D5}"/>
    <cellStyle name="Comma 4 2 3 2 2 3 2 2 3" xfId="24460" xr:uid="{4347DE4A-F9A8-40B8-B3C5-991FDF85A518}"/>
    <cellStyle name="Comma 4 2 3 2 2 3 2 3" xfId="11807" xr:uid="{A061C31A-221A-437D-99E4-F6E7DF54B25E}"/>
    <cellStyle name="Comma 4 2 3 2 2 3 2 4" xfId="20243" xr:uid="{D9271B75-4D81-48D5-9687-64ABA5541554}"/>
    <cellStyle name="Comma 4 2 3 2 2 3 3" xfId="5438" xr:uid="{00000000-0005-0000-0000-000066080000}"/>
    <cellStyle name="Comma 4 2 3 2 2 3 3 2" xfId="13880" xr:uid="{D2600D62-37C4-4C92-AC37-7EE04721C69F}"/>
    <cellStyle name="Comma 4 2 3 2 2 3 3 3" xfId="22315" xr:uid="{5047A236-833D-4407-A0D3-EFD3DE9BAC19}"/>
    <cellStyle name="Comma 4 2 3 2 2 3 4" xfId="9662" xr:uid="{2103E1FE-0F36-4ED2-8AC5-019CF17CDB39}"/>
    <cellStyle name="Comma 4 2 3 2 2 3 5" xfId="18098" xr:uid="{FE75318D-869B-4CF7-8806-B7237A1B5742}"/>
    <cellStyle name="Comma 4 2 3 2 2 4" xfId="1543" xr:uid="{00000000-0005-0000-0000-000067080000}"/>
    <cellStyle name="Comma 4 2 3 2 2 4 2" xfId="3773" xr:uid="{00000000-0005-0000-0000-000068080000}"/>
    <cellStyle name="Comma 4 2 3 2 2 4 2 2" xfId="7996" xr:uid="{00000000-0005-0000-0000-000069080000}"/>
    <cellStyle name="Comma 4 2 3 2 2 4 2 2 2" xfId="16438" xr:uid="{CDDF2E06-6D1F-491F-88B5-95471238E3BD}"/>
    <cellStyle name="Comma 4 2 3 2 2 4 2 2 3" xfId="24873" xr:uid="{F179E5E2-6B43-4151-A559-6970AB964AE2}"/>
    <cellStyle name="Comma 4 2 3 2 2 4 2 3" xfId="12220" xr:uid="{62F4D0D7-1A14-45FD-9E86-12D9E8F184DC}"/>
    <cellStyle name="Comma 4 2 3 2 2 4 2 4" xfId="20656" xr:uid="{A99F2F71-0121-4D68-836B-20F6A084AD93}"/>
    <cellStyle name="Comma 4 2 3 2 2 4 3" xfId="5851" xr:uid="{00000000-0005-0000-0000-00006A080000}"/>
    <cellStyle name="Comma 4 2 3 2 2 4 3 2" xfId="14293" xr:uid="{079C88C4-420E-41C3-8534-659F3B6A3C44}"/>
    <cellStyle name="Comma 4 2 3 2 2 4 3 3" xfId="22728" xr:uid="{B5CC3746-D3A1-429E-879B-4087691D4ED8}"/>
    <cellStyle name="Comma 4 2 3 2 2 4 4" xfId="10075" xr:uid="{BC785F29-7D4A-42A6-BF3D-654216F051A5}"/>
    <cellStyle name="Comma 4 2 3 2 2 4 5" xfId="18511" xr:uid="{CC71F54B-0E82-4D06-A063-79BE0CAEEDC5}"/>
    <cellStyle name="Comma 4 2 3 2 2 5" xfId="1957" xr:uid="{00000000-0005-0000-0000-00006B080000}"/>
    <cellStyle name="Comma 4 2 3 2 2 5 2" xfId="4186" xr:uid="{00000000-0005-0000-0000-00006C080000}"/>
    <cellStyle name="Comma 4 2 3 2 2 5 2 2" xfId="8409" xr:uid="{00000000-0005-0000-0000-00006D080000}"/>
    <cellStyle name="Comma 4 2 3 2 2 5 2 2 2" xfId="16851" xr:uid="{3900AC89-792B-4C5B-AC37-3A6D904983B4}"/>
    <cellStyle name="Comma 4 2 3 2 2 5 2 2 3" xfId="25286" xr:uid="{15F79771-7FA1-4502-B800-98F487C8C810}"/>
    <cellStyle name="Comma 4 2 3 2 2 5 2 3" xfId="12633" xr:uid="{AB5EADCC-99AF-4885-9A63-E725C0AD08E1}"/>
    <cellStyle name="Comma 4 2 3 2 2 5 2 4" xfId="21069" xr:uid="{3B1F7C3C-B65E-4B85-B635-2AF5E1D66CA3}"/>
    <cellStyle name="Comma 4 2 3 2 2 5 3" xfId="6264" xr:uid="{00000000-0005-0000-0000-00006E080000}"/>
    <cellStyle name="Comma 4 2 3 2 2 5 3 2" xfId="14706" xr:uid="{5576CEBF-266D-42A4-A119-975DB060C4AB}"/>
    <cellStyle name="Comma 4 2 3 2 2 5 3 3" xfId="23141" xr:uid="{CE64DE10-6F24-4D0E-92D9-52F047A36EB0}"/>
    <cellStyle name="Comma 4 2 3 2 2 5 4" xfId="10488" xr:uid="{4DB8938C-03DD-4EB2-B965-FC669F567F4E}"/>
    <cellStyle name="Comma 4 2 3 2 2 5 5" xfId="18924" xr:uid="{00043BB3-D030-47EB-AF0C-F4D2FA1FC63C}"/>
    <cellStyle name="Comma 4 2 3 2 2 6" xfId="2392" xr:uid="{00000000-0005-0000-0000-00006F080000}"/>
    <cellStyle name="Comma 4 2 3 2 2 6 2" xfId="6677" xr:uid="{00000000-0005-0000-0000-000070080000}"/>
    <cellStyle name="Comma 4 2 3 2 2 6 2 2" xfId="15119" xr:uid="{AC372F6D-C9FC-4D19-AB42-C7E3A724C535}"/>
    <cellStyle name="Comma 4 2 3 2 2 6 2 3" xfId="23554" xr:uid="{94E85B61-E476-4BB0-BA10-36EF2DD3EE35}"/>
    <cellStyle name="Comma 4 2 3 2 2 6 3" xfId="10901" xr:uid="{599187DA-73EA-4D0F-8BC6-6E9AD56C4D66}"/>
    <cellStyle name="Comma 4 2 3 2 2 6 4" xfId="19337" xr:uid="{58D3334D-BAC6-44E0-8963-590C0EDBC267}"/>
    <cellStyle name="Comma 4 2 3 2 2 7" xfId="2371" xr:uid="{00000000-0005-0000-0000-000071080000}"/>
    <cellStyle name="Comma 4 2 3 2 2 8" xfId="2770" xr:uid="{00000000-0005-0000-0000-000072080000}"/>
    <cellStyle name="Comma 4 2 3 2 2 8 2" xfId="6994" xr:uid="{00000000-0005-0000-0000-000073080000}"/>
    <cellStyle name="Comma 4 2 3 2 2 8 2 2" xfId="15436" xr:uid="{A3BE0C98-191B-4297-92BF-B556ABC2068E}"/>
    <cellStyle name="Comma 4 2 3 2 2 8 2 3" xfId="23871" xr:uid="{B36FBC9E-1A73-4F4F-95B5-BC24B0FCBA71}"/>
    <cellStyle name="Comma 4 2 3 2 2 8 3" xfId="11218" xr:uid="{78D316AB-9BE7-46FB-86B3-9C7A59546B8C}"/>
    <cellStyle name="Comma 4 2 3 2 2 8 4" xfId="19654" xr:uid="{6CB187F4-6562-4EE0-AEA0-4BF1D87F80F7}"/>
    <cellStyle name="Comma 4 2 3 2 2 9" xfId="4611" xr:uid="{00000000-0005-0000-0000-000074080000}"/>
    <cellStyle name="Comma 4 2 3 2 2 9 2" xfId="13053" xr:uid="{D1DDADBC-B7DE-480B-A2CF-B7779562D770}"/>
    <cellStyle name="Comma 4 2 3 2 2 9 3" xfId="21488" xr:uid="{DBEF9572-F956-4048-AB8A-A72D8577069D}"/>
    <cellStyle name="Comma 4 2 3 2 3" xfId="675" xr:uid="{00000000-0005-0000-0000-000075080000}"/>
    <cellStyle name="Comma 4 2 3 2 3 2" xfId="2946" xr:uid="{00000000-0005-0000-0000-000076080000}"/>
    <cellStyle name="Comma 4 2 3 2 3 2 2" xfId="7169" xr:uid="{00000000-0005-0000-0000-000077080000}"/>
    <cellStyle name="Comma 4 2 3 2 3 2 2 2" xfId="15611" xr:uid="{BF6B4F98-3A81-4E48-91CF-4C1EA2BC5440}"/>
    <cellStyle name="Comma 4 2 3 2 3 2 2 3" xfId="24046" xr:uid="{E8655FFD-1BA4-4ED3-89B4-91A66E724822}"/>
    <cellStyle name="Comma 4 2 3 2 3 2 3" xfId="11393" xr:uid="{4B709E63-5D05-4682-A870-C2D0B6E2DEE5}"/>
    <cellStyle name="Comma 4 2 3 2 3 2 4" xfId="19829" xr:uid="{DA381136-96CA-49DA-9015-031DD2230FB9}"/>
    <cellStyle name="Comma 4 2 3 2 3 3" xfId="5024" xr:uid="{00000000-0005-0000-0000-000078080000}"/>
    <cellStyle name="Comma 4 2 3 2 3 3 2" xfId="13466" xr:uid="{402A3E2E-C008-4A2F-85B7-19B698EB7ACE}"/>
    <cellStyle name="Comma 4 2 3 2 3 3 3" xfId="21901" xr:uid="{A2386F93-86BE-4770-B9EA-0EC086935AC5}"/>
    <cellStyle name="Comma 4 2 3 2 3 4" xfId="9248" xr:uid="{6CA149F1-C2ED-46CE-B432-CD44189DD658}"/>
    <cellStyle name="Comma 4 2 3 2 3 5" xfId="17684" xr:uid="{4787FCE2-98A9-483C-A900-50DBB488F042}"/>
    <cellStyle name="Comma 4 2 3 2 4" xfId="1128" xr:uid="{00000000-0005-0000-0000-000079080000}"/>
    <cellStyle name="Comma 4 2 3 2 4 2" xfId="3359" xr:uid="{00000000-0005-0000-0000-00007A080000}"/>
    <cellStyle name="Comma 4 2 3 2 4 2 2" xfId="7582" xr:uid="{00000000-0005-0000-0000-00007B080000}"/>
    <cellStyle name="Comma 4 2 3 2 4 2 2 2" xfId="16024" xr:uid="{485230FF-D8C0-4480-8875-6F22C9D15511}"/>
    <cellStyle name="Comma 4 2 3 2 4 2 2 3" xfId="24459" xr:uid="{0B6116AB-7BEE-4152-809D-41790217DC00}"/>
    <cellStyle name="Comma 4 2 3 2 4 2 3" xfId="11806" xr:uid="{FD9FEB17-6494-4635-9C00-DC5182CE1C2B}"/>
    <cellStyle name="Comma 4 2 3 2 4 2 4" xfId="20242" xr:uid="{ABC305B2-A850-4D2E-B5A3-DCE351E9E949}"/>
    <cellStyle name="Comma 4 2 3 2 4 3" xfId="5437" xr:uid="{00000000-0005-0000-0000-00007C080000}"/>
    <cellStyle name="Comma 4 2 3 2 4 3 2" xfId="13879" xr:uid="{90C293D0-1CB4-4B85-98B5-C690E963D6C7}"/>
    <cellStyle name="Comma 4 2 3 2 4 3 3" xfId="22314" xr:uid="{B20EFEE8-A768-407B-B875-302303B68E2F}"/>
    <cellStyle name="Comma 4 2 3 2 4 4" xfId="9661" xr:uid="{D9FDD37C-8CBF-425C-8F15-F623F9ACDE18}"/>
    <cellStyle name="Comma 4 2 3 2 4 5" xfId="18097" xr:uid="{EB13B527-33F8-40F2-80EA-8564F387C0D6}"/>
    <cellStyle name="Comma 4 2 3 2 5" xfId="1542" xr:uid="{00000000-0005-0000-0000-00007D080000}"/>
    <cellStyle name="Comma 4 2 3 2 5 2" xfId="3772" xr:uid="{00000000-0005-0000-0000-00007E080000}"/>
    <cellStyle name="Comma 4 2 3 2 5 2 2" xfId="7995" xr:uid="{00000000-0005-0000-0000-00007F080000}"/>
    <cellStyle name="Comma 4 2 3 2 5 2 2 2" xfId="16437" xr:uid="{476D68B1-73CF-4242-869A-0E3659014028}"/>
    <cellStyle name="Comma 4 2 3 2 5 2 2 3" xfId="24872" xr:uid="{9C64A257-C381-4793-B1D4-67DFDE70AA8F}"/>
    <cellStyle name="Comma 4 2 3 2 5 2 3" xfId="12219" xr:uid="{6755756B-735C-43A0-85D0-11A2EFF2ED7A}"/>
    <cellStyle name="Comma 4 2 3 2 5 2 4" xfId="20655" xr:uid="{D70FCDE4-7A77-4987-87D9-D9736BD1EF98}"/>
    <cellStyle name="Comma 4 2 3 2 5 3" xfId="5850" xr:uid="{00000000-0005-0000-0000-000080080000}"/>
    <cellStyle name="Comma 4 2 3 2 5 3 2" xfId="14292" xr:uid="{EC99056C-8409-4D63-9025-A8B08E487CF1}"/>
    <cellStyle name="Comma 4 2 3 2 5 3 3" xfId="22727" xr:uid="{DCADB6E0-DBD3-4F74-A3D6-D3370066C9C4}"/>
    <cellStyle name="Comma 4 2 3 2 5 4" xfId="10074" xr:uid="{D409B420-89FC-4AB9-8459-CBB5DE10E086}"/>
    <cellStyle name="Comma 4 2 3 2 5 5" xfId="18510" xr:uid="{B2D83B4C-3B30-42AA-8FF0-5C35E2B7BB91}"/>
    <cellStyle name="Comma 4 2 3 2 6" xfId="1956" xr:uid="{00000000-0005-0000-0000-000081080000}"/>
    <cellStyle name="Comma 4 2 3 2 6 2" xfId="4185" xr:uid="{00000000-0005-0000-0000-000082080000}"/>
    <cellStyle name="Comma 4 2 3 2 6 2 2" xfId="8408" xr:uid="{00000000-0005-0000-0000-000083080000}"/>
    <cellStyle name="Comma 4 2 3 2 6 2 2 2" xfId="16850" xr:uid="{07A8BABA-60FD-4EEF-AB5E-A37DE5C1565C}"/>
    <cellStyle name="Comma 4 2 3 2 6 2 2 3" xfId="25285" xr:uid="{6DAEB316-8818-4691-AFD6-D1A7A6108441}"/>
    <cellStyle name="Comma 4 2 3 2 6 2 3" xfId="12632" xr:uid="{597013A8-91D0-408E-9A9B-9B422116A743}"/>
    <cellStyle name="Comma 4 2 3 2 6 2 4" xfId="21068" xr:uid="{54C3628F-F21A-4BCC-A241-0A81288B5D6F}"/>
    <cellStyle name="Comma 4 2 3 2 6 3" xfId="6263" xr:uid="{00000000-0005-0000-0000-000084080000}"/>
    <cellStyle name="Comma 4 2 3 2 6 3 2" xfId="14705" xr:uid="{A7BADA1A-083F-4A1C-A9EF-82278013AEF9}"/>
    <cellStyle name="Comma 4 2 3 2 6 3 3" xfId="23140" xr:uid="{BD5ABA02-60C7-4325-8989-1823D80A7BA9}"/>
    <cellStyle name="Comma 4 2 3 2 6 4" xfId="10487" xr:uid="{102FFEA7-D3AD-496A-BF83-24A180260D47}"/>
    <cellStyle name="Comma 4 2 3 2 6 5" xfId="18923" xr:uid="{1E3D8C0C-0614-4B24-9C24-370834F49285}"/>
    <cellStyle name="Comma 4 2 3 2 7" xfId="2391" xr:uid="{00000000-0005-0000-0000-000085080000}"/>
    <cellStyle name="Comma 4 2 3 2 7 2" xfId="6676" xr:uid="{00000000-0005-0000-0000-000086080000}"/>
    <cellStyle name="Comma 4 2 3 2 7 2 2" xfId="15118" xr:uid="{D298805B-C467-4A7C-A3DC-8BE5299532BC}"/>
    <cellStyle name="Comma 4 2 3 2 7 2 3" xfId="23553" xr:uid="{F32D14A9-9C0B-4446-8C43-D79D2C13AD24}"/>
    <cellStyle name="Comma 4 2 3 2 7 3" xfId="10900" xr:uid="{12AAE645-3360-48AB-9B69-11CC60472E5A}"/>
    <cellStyle name="Comma 4 2 3 2 7 4" xfId="19336" xr:uid="{83F685AE-135C-4A59-9CE9-435E20999504}"/>
    <cellStyle name="Comma 4 2 3 2 8" xfId="2372" xr:uid="{00000000-0005-0000-0000-000087080000}"/>
    <cellStyle name="Comma 4 2 3 2 9" xfId="2769" xr:uid="{00000000-0005-0000-0000-000088080000}"/>
    <cellStyle name="Comma 4 2 3 2 9 2" xfId="6993" xr:uid="{00000000-0005-0000-0000-000089080000}"/>
    <cellStyle name="Comma 4 2 3 2 9 2 2" xfId="15435" xr:uid="{5692C911-DED9-4338-A54A-581555DEBE47}"/>
    <cellStyle name="Comma 4 2 3 2 9 2 3" xfId="23870" xr:uid="{F87454DA-22BE-4455-A175-06AE55EF255A}"/>
    <cellStyle name="Comma 4 2 3 2 9 3" xfId="11217" xr:uid="{0477D865-00DF-483A-85E4-1124738DBD38}"/>
    <cellStyle name="Comma 4 2 3 2 9 4" xfId="19653" xr:uid="{F217FFC5-818C-4DC9-B7D6-D112A9EB4BB0}"/>
    <cellStyle name="Comma 4 2 3 3" xfId="139" xr:uid="{00000000-0005-0000-0000-00008A080000}"/>
    <cellStyle name="Comma 4 2 3 3 10" xfId="8836" xr:uid="{23EDA292-616B-4178-85F3-4608C98F2785}"/>
    <cellStyle name="Comma 4 2 3 3 11" xfId="17272" xr:uid="{EE5DDC2F-36C2-42EE-BCB3-F9EA02162FCE}"/>
    <cellStyle name="Comma 4 2 3 3 2" xfId="677" xr:uid="{00000000-0005-0000-0000-00008B080000}"/>
    <cellStyle name="Comma 4 2 3 3 2 2" xfId="2948" xr:uid="{00000000-0005-0000-0000-00008C080000}"/>
    <cellStyle name="Comma 4 2 3 3 2 2 2" xfId="7171" xr:uid="{00000000-0005-0000-0000-00008D080000}"/>
    <cellStyle name="Comma 4 2 3 3 2 2 2 2" xfId="15613" xr:uid="{77989350-D8A4-4AB3-B01C-05EBC8F5EE3C}"/>
    <cellStyle name="Comma 4 2 3 3 2 2 2 3" xfId="24048" xr:uid="{42D633FC-0E61-4F63-81AE-578AE67E8285}"/>
    <cellStyle name="Comma 4 2 3 3 2 2 3" xfId="11395" xr:uid="{EF07D750-DA7D-4DE0-B720-CDACF42A406D}"/>
    <cellStyle name="Comma 4 2 3 3 2 2 4" xfId="19831" xr:uid="{2979AAA2-5A31-46B2-8F62-1DCD5AFB2D8E}"/>
    <cellStyle name="Comma 4 2 3 3 2 3" xfId="5026" xr:uid="{00000000-0005-0000-0000-00008E080000}"/>
    <cellStyle name="Comma 4 2 3 3 2 3 2" xfId="13468" xr:uid="{17B8DC9F-7CA8-4694-AAA4-23F79C5EF4D7}"/>
    <cellStyle name="Comma 4 2 3 3 2 3 3" xfId="21903" xr:uid="{DE968013-4970-43A2-9082-CC7702C875F9}"/>
    <cellStyle name="Comma 4 2 3 3 2 4" xfId="9250" xr:uid="{1DEF853E-2C76-4344-8258-A99EBF0F8355}"/>
    <cellStyle name="Comma 4 2 3 3 2 5" xfId="17686" xr:uid="{088178B4-6F19-43B1-A236-C2A5E8F68B26}"/>
    <cellStyle name="Comma 4 2 3 3 3" xfId="1130" xr:uid="{00000000-0005-0000-0000-00008F080000}"/>
    <cellStyle name="Comma 4 2 3 3 3 2" xfId="3361" xr:uid="{00000000-0005-0000-0000-000090080000}"/>
    <cellStyle name="Comma 4 2 3 3 3 2 2" xfId="7584" xr:uid="{00000000-0005-0000-0000-000091080000}"/>
    <cellStyle name="Comma 4 2 3 3 3 2 2 2" xfId="16026" xr:uid="{F22B6BC2-D27F-49CB-A3C5-AB2110B64197}"/>
    <cellStyle name="Comma 4 2 3 3 3 2 2 3" xfId="24461" xr:uid="{178B7902-17BD-4C84-9AFF-9AFEE2CB1485}"/>
    <cellStyle name="Comma 4 2 3 3 3 2 3" xfId="11808" xr:uid="{C5567F35-ED56-498D-A822-C6B94C4C3657}"/>
    <cellStyle name="Comma 4 2 3 3 3 2 4" xfId="20244" xr:uid="{DC88B07B-852F-4B3C-BB5F-238C2E4FBD39}"/>
    <cellStyle name="Comma 4 2 3 3 3 3" xfId="5439" xr:uid="{00000000-0005-0000-0000-000092080000}"/>
    <cellStyle name="Comma 4 2 3 3 3 3 2" xfId="13881" xr:uid="{CCAD879D-D14D-47F6-BA94-732C8B2DF226}"/>
    <cellStyle name="Comma 4 2 3 3 3 3 3" xfId="22316" xr:uid="{FF7C7535-E44F-406B-B632-6C3F6EE4C5AB}"/>
    <cellStyle name="Comma 4 2 3 3 3 4" xfId="9663" xr:uid="{273DFB02-85CB-4E73-8865-7187FA188D6E}"/>
    <cellStyle name="Comma 4 2 3 3 3 5" xfId="18099" xr:uid="{BDC00A80-A69F-49F7-99A9-4B7445F36584}"/>
    <cellStyle name="Comma 4 2 3 3 4" xfId="1544" xr:uid="{00000000-0005-0000-0000-000093080000}"/>
    <cellStyle name="Comma 4 2 3 3 4 2" xfId="3774" xr:uid="{00000000-0005-0000-0000-000094080000}"/>
    <cellStyle name="Comma 4 2 3 3 4 2 2" xfId="7997" xr:uid="{00000000-0005-0000-0000-000095080000}"/>
    <cellStyle name="Comma 4 2 3 3 4 2 2 2" xfId="16439" xr:uid="{871AC1EB-9218-4BAA-8448-08DAB6964FB1}"/>
    <cellStyle name="Comma 4 2 3 3 4 2 2 3" xfId="24874" xr:uid="{8B9846F1-1370-4FBB-97EA-4E52FBE32218}"/>
    <cellStyle name="Comma 4 2 3 3 4 2 3" xfId="12221" xr:uid="{69CB2999-CBED-47B9-8061-24E0ADA54C03}"/>
    <cellStyle name="Comma 4 2 3 3 4 2 4" xfId="20657" xr:uid="{D8AFF08E-A619-4498-83A3-3F33AF8CA8F0}"/>
    <cellStyle name="Comma 4 2 3 3 4 3" xfId="5852" xr:uid="{00000000-0005-0000-0000-000096080000}"/>
    <cellStyle name="Comma 4 2 3 3 4 3 2" xfId="14294" xr:uid="{ECF85F94-145D-4B7D-8E63-03164F6D0C8E}"/>
    <cellStyle name="Comma 4 2 3 3 4 3 3" xfId="22729" xr:uid="{BD9AD175-F487-40B0-847E-D62DC59640C2}"/>
    <cellStyle name="Comma 4 2 3 3 4 4" xfId="10076" xr:uid="{478FCE16-FEC6-49A1-BCD7-B0E18A34D737}"/>
    <cellStyle name="Comma 4 2 3 3 4 5" xfId="18512" xr:uid="{FA3EC5B3-70F9-4B00-BAE9-71199C88CF16}"/>
    <cellStyle name="Comma 4 2 3 3 5" xfId="1958" xr:uid="{00000000-0005-0000-0000-000097080000}"/>
    <cellStyle name="Comma 4 2 3 3 5 2" xfId="4187" xr:uid="{00000000-0005-0000-0000-000098080000}"/>
    <cellStyle name="Comma 4 2 3 3 5 2 2" xfId="8410" xr:uid="{00000000-0005-0000-0000-000099080000}"/>
    <cellStyle name="Comma 4 2 3 3 5 2 2 2" xfId="16852" xr:uid="{4520BCC0-781E-43A0-8D2F-D2CDF39CBF71}"/>
    <cellStyle name="Comma 4 2 3 3 5 2 2 3" xfId="25287" xr:uid="{BDD73794-B771-407C-81AD-86B56E05051B}"/>
    <cellStyle name="Comma 4 2 3 3 5 2 3" xfId="12634" xr:uid="{687A6B30-6E64-4278-8826-BBE9AC971076}"/>
    <cellStyle name="Comma 4 2 3 3 5 2 4" xfId="21070" xr:uid="{DBBE3A00-66E0-4FA4-9CD5-D639AF15B8EC}"/>
    <cellStyle name="Comma 4 2 3 3 5 3" xfId="6265" xr:uid="{00000000-0005-0000-0000-00009A080000}"/>
    <cellStyle name="Comma 4 2 3 3 5 3 2" xfId="14707" xr:uid="{667E5E75-17D8-419D-A7B7-3FDAF76F9A5C}"/>
    <cellStyle name="Comma 4 2 3 3 5 3 3" xfId="23142" xr:uid="{36F76ACC-CAF4-4893-82A6-BF15CBF9987D}"/>
    <cellStyle name="Comma 4 2 3 3 5 4" xfId="10489" xr:uid="{FC1C62CE-B0A2-4A63-8A1B-2C40D0E42C66}"/>
    <cellStyle name="Comma 4 2 3 3 5 5" xfId="18925" xr:uid="{8A7862E7-02C5-4E17-9830-A83AF4DE7290}"/>
    <cellStyle name="Comma 4 2 3 3 6" xfId="2393" xr:uid="{00000000-0005-0000-0000-00009B080000}"/>
    <cellStyle name="Comma 4 2 3 3 6 2" xfId="6678" xr:uid="{00000000-0005-0000-0000-00009C080000}"/>
    <cellStyle name="Comma 4 2 3 3 6 2 2" xfId="15120" xr:uid="{8A215874-AB39-4F67-A1F0-E35FDA6C248A}"/>
    <cellStyle name="Comma 4 2 3 3 6 2 3" xfId="23555" xr:uid="{A6BDD21E-8C8D-4F51-BC5C-ADE0BC902EE5}"/>
    <cellStyle name="Comma 4 2 3 3 6 3" xfId="10902" xr:uid="{67B31C01-174E-4C53-B4DA-94C1CCE3EDFA}"/>
    <cellStyle name="Comma 4 2 3 3 6 4" xfId="19338" xr:uid="{FBF6C1B6-CA19-4C29-8FCB-136BDD2F2699}"/>
    <cellStyle name="Comma 4 2 3 3 7" xfId="2370" xr:uid="{00000000-0005-0000-0000-00009D080000}"/>
    <cellStyle name="Comma 4 2 3 3 8" xfId="2771" xr:uid="{00000000-0005-0000-0000-00009E080000}"/>
    <cellStyle name="Comma 4 2 3 3 8 2" xfId="6995" xr:uid="{00000000-0005-0000-0000-00009F080000}"/>
    <cellStyle name="Comma 4 2 3 3 8 2 2" xfId="15437" xr:uid="{C4FDB913-2611-46B0-A868-39023D4758BA}"/>
    <cellStyle name="Comma 4 2 3 3 8 2 3" xfId="23872" xr:uid="{A6F909C9-970B-415A-B2A7-51FB2B8AA5F0}"/>
    <cellStyle name="Comma 4 2 3 3 8 3" xfId="11219" xr:uid="{5383E683-1720-4BF5-844B-956C7343CFAB}"/>
    <cellStyle name="Comma 4 2 3 3 8 4" xfId="19655" xr:uid="{4DF5686F-6C8E-4A52-9930-3D4F870B3B83}"/>
    <cellStyle name="Comma 4 2 3 3 9" xfId="4612" xr:uid="{00000000-0005-0000-0000-0000A0080000}"/>
    <cellStyle name="Comma 4 2 3 3 9 2" xfId="13054" xr:uid="{1D85A111-2919-4BD3-B22A-083145B66BE8}"/>
    <cellStyle name="Comma 4 2 3 3 9 3" xfId="21489" xr:uid="{3824A9BF-46FB-4546-96C3-A8AE516ABF3E}"/>
    <cellStyle name="Comma 4 2 3 4" xfId="674" xr:uid="{00000000-0005-0000-0000-0000A1080000}"/>
    <cellStyle name="Comma 4 2 3 4 2" xfId="2945" xr:uid="{00000000-0005-0000-0000-0000A2080000}"/>
    <cellStyle name="Comma 4 2 3 4 2 2" xfId="7168" xr:uid="{00000000-0005-0000-0000-0000A3080000}"/>
    <cellStyle name="Comma 4 2 3 4 2 2 2" xfId="15610" xr:uid="{ACAEBBD5-A6B8-4FF3-ADAE-F277EE0005AA}"/>
    <cellStyle name="Comma 4 2 3 4 2 2 3" xfId="24045" xr:uid="{43CA2B5A-692C-468B-9A28-8FF4FB28282B}"/>
    <cellStyle name="Comma 4 2 3 4 2 3" xfId="11392" xr:uid="{6B970FA6-8FB4-4B4A-A45A-09304C6D69EE}"/>
    <cellStyle name="Comma 4 2 3 4 2 4" xfId="19828" xr:uid="{B046E641-3747-43F3-9B9E-413BD2CD0815}"/>
    <cellStyle name="Comma 4 2 3 4 3" xfId="5023" xr:uid="{00000000-0005-0000-0000-0000A4080000}"/>
    <cellStyle name="Comma 4 2 3 4 3 2" xfId="13465" xr:uid="{7FE96AC1-C02C-4AAD-AB0B-BB114B9B9652}"/>
    <cellStyle name="Comma 4 2 3 4 3 3" xfId="21900" xr:uid="{B88EF895-8AF4-4F06-B93D-8EEC61BFCB73}"/>
    <cellStyle name="Comma 4 2 3 4 4" xfId="9247" xr:uid="{A4F9A052-F787-4C7C-AB40-95EBAAA1F63E}"/>
    <cellStyle name="Comma 4 2 3 4 5" xfId="17683" xr:uid="{81E4BA3F-8F3B-4AE4-8BC8-BCA14AE4CC7F}"/>
    <cellStyle name="Comma 4 2 3 5" xfId="1127" xr:uid="{00000000-0005-0000-0000-0000A5080000}"/>
    <cellStyle name="Comma 4 2 3 5 2" xfId="3358" xr:uid="{00000000-0005-0000-0000-0000A6080000}"/>
    <cellStyle name="Comma 4 2 3 5 2 2" xfId="7581" xr:uid="{00000000-0005-0000-0000-0000A7080000}"/>
    <cellStyle name="Comma 4 2 3 5 2 2 2" xfId="16023" xr:uid="{0D5F1C55-BDF1-4CFD-AB58-86688AE3DB75}"/>
    <cellStyle name="Comma 4 2 3 5 2 2 3" xfId="24458" xr:uid="{D7E9E01B-B1C9-436C-8630-6111160E147B}"/>
    <cellStyle name="Comma 4 2 3 5 2 3" xfId="11805" xr:uid="{B56CB8D5-0EFA-4FEA-B243-684DC6267D16}"/>
    <cellStyle name="Comma 4 2 3 5 2 4" xfId="20241" xr:uid="{0C987EC8-A77F-4B16-960B-7E1754B431B6}"/>
    <cellStyle name="Comma 4 2 3 5 3" xfId="5436" xr:uid="{00000000-0005-0000-0000-0000A8080000}"/>
    <cellStyle name="Comma 4 2 3 5 3 2" xfId="13878" xr:uid="{53BD25ED-E662-4767-BE93-E178CE983C7A}"/>
    <cellStyle name="Comma 4 2 3 5 3 3" xfId="22313" xr:uid="{6BA73F95-29DA-4D09-A4B7-B4185370D8AC}"/>
    <cellStyle name="Comma 4 2 3 5 4" xfId="9660" xr:uid="{822473CA-7A1B-4751-BF58-113A6B8E8DF6}"/>
    <cellStyle name="Comma 4 2 3 5 5" xfId="18096" xr:uid="{E214105E-9321-44EB-9C3C-04AD350C7D6D}"/>
    <cellStyle name="Comma 4 2 3 6" xfId="1541" xr:uid="{00000000-0005-0000-0000-0000A9080000}"/>
    <cellStyle name="Comma 4 2 3 6 2" xfId="3771" xr:uid="{00000000-0005-0000-0000-0000AA080000}"/>
    <cellStyle name="Comma 4 2 3 6 2 2" xfId="7994" xr:uid="{00000000-0005-0000-0000-0000AB080000}"/>
    <cellStyle name="Comma 4 2 3 6 2 2 2" xfId="16436" xr:uid="{838C06ED-7DBB-49CA-B67B-1B64D898D7BA}"/>
    <cellStyle name="Comma 4 2 3 6 2 2 3" xfId="24871" xr:uid="{7EAD8A89-B1C9-4197-A120-5F9D6A83AC20}"/>
    <cellStyle name="Comma 4 2 3 6 2 3" xfId="12218" xr:uid="{34B09D5D-E5A2-422B-8E20-994BDF7AE484}"/>
    <cellStyle name="Comma 4 2 3 6 2 4" xfId="20654" xr:uid="{16E6396E-9329-4159-8906-4D8DBAA16221}"/>
    <cellStyle name="Comma 4 2 3 6 3" xfId="5849" xr:uid="{00000000-0005-0000-0000-0000AC080000}"/>
    <cellStyle name="Comma 4 2 3 6 3 2" xfId="14291" xr:uid="{E14F5BBA-916A-46FD-8700-98E7DBA23582}"/>
    <cellStyle name="Comma 4 2 3 6 3 3" xfId="22726" xr:uid="{0D07AE3C-A677-45D7-9589-5E5B8B3B434F}"/>
    <cellStyle name="Comma 4 2 3 6 4" xfId="10073" xr:uid="{ECCD551F-DA76-467C-92A4-E45A64627ECF}"/>
    <cellStyle name="Comma 4 2 3 6 5" xfId="18509" xr:uid="{3F942CA4-A920-4A2B-94E9-A2325E145C35}"/>
    <cellStyle name="Comma 4 2 3 7" xfId="1955" xr:uid="{00000000-0005-0000-0000-0000AD080000}"/>
    <cellStyle name="Comma 4 2 3 7 2" xfId="4184" xr:uid="{00000000-0005-0000-0000-0000AE080000}"/>
    <cellStyle name="Comma 4 2 3 7 2 2" xfId="8407" xr:uid="{00000000-0005-0000-0000-0000AF080000}"/>
    <cellStyle name="Comma 4 2 3 7 2 2 2" xfId="16849" xr:uid="{8395594D-8243-4719-81D4-C4C2EF2F09ED}"/>
    <cellStyle name="Comma 4 2 3 7 2 2 3" xfId="25284" xr:uid="{FBEF2B77-3443-4D5A-A9E3-D968595A4F45}"/>
    <cellStyle name="Comma 4 2 3 7 2 3" xfId="12631" xr:uid="{AFD6DD47-E4DA-4882-95C0-D1C57F08F342}"/>
    <cellStyle name="Comma 4 2 3 7 2 4" xfId="21067" xr:uid="{4FB86B64-0EAF-453E-85F1-A0FFCC0E39D2}"/>
    <cellStyle name="Comma 4 2 3 7 3" xfId="6262" xr:uid="{00000000-0005-0000-0000-0000B0080000}"/>
    <cellStyle name="Comma 4 2 3 7 3 2" xfId="14704" xr:uid="{9CC53D28-696F-4583-8C5E-ED0F1D31FBA4}"/>
    <cellStyle name="Comma 4 2 3 7 3 3" xfId="23139" xr:uid="{D4166C8D-4544-43E3-A192-E0DE946BA6E6}"/>
    <cellStyle name="Comma 4 2 3 7 4" xfId="10486" xr:uid="{39A9649A-1696-49BF-9291-D7044BB0AA56}"/>
    <cellStyle name="Comma 4 2 3 7 5" xfId="18922" xr:uid="{38DBD431-30EA-40E2-8CD4-33EA3757F737}"/>
    <cellStyle name="Comma 4 2 3 8" xfId="2390" xr:uid="{00000000-0005-0000-0000-0000B1080000}"/>
    <cellStyle name="Comma 4 2 3 8 2" xfId="6675" xr:uid="{00000000-0005-0000-0000-0000B2080000}"/>
    <cellStyle name="Comma 4 2 3 8 2 2" xfId="15117" xr:uid="{CF3706CC-51FB-4C33-A3FD-F0941E8D1817}"/>
    <cellStyle name="Comma 4 2 3 8 2 3" xfId="23552" xr:uid="{421F1173-2A4F-4D48-9B19-7A8A45D91F52}"/>
    <cellStyle name="Comma 4 2 3 8 3" xfId="10899" xr:uid="{B414DFCA-1EFF-4FF4-8731-6885DDA3D410}"/>
    <cellStyle name="Comma 4 2 3 8 4" xfId="19335" xr:uid="{974B7C51-BBDE-46FE-8CB9-25AEB73BD18F}"/>
    <cellStyle name="Comma 4 2 3 9" xfId="2373" xr:uid="{00000000-0005-0000-0000-0000B3080000}"/>
    <cellStyle name="Comma 4 2 4" xfId="140" xr:uid="{00000000-0005-0000-0000-0000B4080000}"/>
    <cellStyle name="Comma 4 2 4 10" xfId="4613" xr:uid="{00000000-0005-0000-0000-0000B5080000}"/>
    <cellStyle name="Comma 4 2 4 10 2" xfId="13055" xr:uid="{A32457DB-3021-4319-BE4E-5C7855B9E97C}"/>
    <cellStyle name="Comma 4 2 4 10 3" xfId="21490" xr:uid="{DEDA97CD-32C6-49AE-BB11-424C8636B412}"/>
    <cellStyle name="Comma 4 2 4 11" xfId="8837" xr:uid="{E383EF22-51BC-4887-9369-E04EB595B955}"/>
    <cellStyle name="Comma 4 2 4 12" xfId="17273" xr:uid="{96008178-4385-42EE-91F4-B382C7217646}"/>
    <cellStyle name="Comma 4 2 4 2" xfId="141" xr:uid="{00000000-0005-0000-0000-0000B6080000}"/>
    <cellStyle name="Comma 4 2 4 2 10" xfId="8838" xr:uid="{50A4F337-AF05-4978-BA88-4A0BED0E1C98}"/>
    <cellStyle name="Comma 4 2 4 2 11" xfId="17274" xr:uid="{1C0AF153-66BF-4662-AB6F-C0F50CD2A2F5}"/>
    <cellStyle name="Comma 4 2 4 2 2" xfId="679" xr:uid="{00000000-0005-0000-0000-0000B7080000}"/>
    <cellStyle name="Comma 4 2 4 2 2 2" xfId="2950" xr:uid="{00000000-0005-0000-0000-0000B8080000}"/>
    <cellStyle name="Comma 4 2 4 2 2 2 2" xfId="7173" xr:uid="{00000000-0005-0000-0000-0000B9080000}"/>
    <cellStyle name="Comma 4 2 4 2 2 2 2 2" xfId="15615" xr:uid="{57DA0D16-C14E-4BE0-A6F6-38FDFDA87916}"/>
    <cellStyle name="Comma 4 2 4 2 2 2 2 3" xfId="24050" xr:uid="{D36EEECB-863C-4E06-BD42-B22374B82546}"/>
    <cellStyle name="Comma 4 2 4 2 2 2 3" xfId="11397" xr:uid="{B233AA69-8845-4CF5-9E24-F79F87601CEC}"/>
    <cellStyle name="Comma 4 2 4 2 2 2 4" xfId="19833" xr:uid="{B6BD6BD0-3B14-47D5-B16B-BA2032B3FBF8}"/>
    <cellStyle name="Comma 4 2 4 2 2 3" xfId="5028" xr:uid="{00000000-0005-0000-0000-0000BA080000}"/>
    <cellStyle name="Comma 4 2 4 2 2 3 2" xfId="13470" xr:uid="{3BFAEC36-FE02-4387-BB9F-FF5BC9A55CEA}"/>
    <cellStyle name="Comma 4 2 4 2 2 3 3" xfId="21905" xr:uid="{ED1DE430-C68D-470C-8465-8F29F09A0297}"/>
    <cellStyle name="Comma 4 2 4 2 2 4" xfId="9252" xr:uid="{EF4D3CF7-D8AA-458C-83F1-5E265CD9F14B}"/>
    <cellStyle name="Comma 4 2 4 2 2 5" xfId="17688" xr:uid="{E70DA6A3-EEE9-4807-A4B9-19F906E7FBC3}"/>
    <cellStyle name="Comma 4 2 4 2 3" xfId="1132" xr:uid="{00000000-0005-0000-0000-0000BB080000}"/>
    <cellStyle name="Comma 4 2 4 2 3 2" xfId="3363" xr:uid="{00000000-0005-0000-0000-0000BC080000}"/>
    <cellStyle name="Comma 4 2 4 2 3 2 2" xfId="7586" xr:uid="{00000000-0005-0000-0000-0000BD080000}"/>
    <cellStyle name="Comma 4 2 4 2 3 2 2 2" xfId="16028" xr:uid="{41AB4581-975F-47F7-BA51-712ED5A9A0CA}"/>
    <cellStyle name="Comma 4 2 4 2 3 2 2 3" xfId="24463" xr:uid="{983737AD-7093-4FF1-BDF2-1AC7854EBCC7}"/>
    <cellStyle name="Comma 4 2 4 2 3 2 3" xfId="11810" xr:uid="{20EAE93E-86DB-48FA-8ACD-5F3C696C289B}"/>
    <cellStyle name="Comma 4 2 4 2 3 2 4" xfId="20246" xr:uid="{C8F00874-F636-4B3B-A45C-DFC621A1A9E9}"/>
    <cellStyle name="Comma 4 2 4 2 3 3" xfId="5441" xr:uid="{00000000-0005-0000-0000-0000BE080000}"/>
    <cellStyle name="Comma 4 2 4 2 3 3 2" xfId="13883" xr:uid="{04D65F58-7B44-40B1-AA93-6995A74538F1}"/>
    <cellStyle name="Comma 4 2 4 2 3 3 3" xfId="22318" xr:uid="{0CD94DE7-520C-45F8-9143-4F2ECE98F56D}"/>
    <cellStyle name="Comma 4 2 4 2 3 4" xfId="9665" xr:uid="{CC3CA78A-F5AD-4531-9AF2-2F4D1D746AE1}"/>
    <cellStyle name="Comma 4 2 4 2 3 5" xfId="18101" xr:uid="{3E296B79-2DB6-4461-ABCF-B9B7C03CC3D7}"/>
    <cellStyle name="Comma 4 2 4 2 4" xfId="1546" xr:uid="{00000000-0005-0000-0000-0000BF080000}"/>
    <cellStyle name="Comma 4 2 4 2 4 2" xfId="3776" xr:uid="{00000000-0005-0000-0000-0000C0080000}"/>
    <cellStyle name="Comma 4 2 4 2 4 2 2" xfId="7999" xr:uid="{00000000-0005-0000-0000-0000C1080000}"/>
    <cellStyle name="Comma 4 2 4 2 4 2 2 2" xfId="16441" xr:uid="{3D0C8ACE-6174-411D-9026-5FAB95E46109}"/>
    <cellStyle name="Comma 4 2 4 2 4 2 2 3" xfId="24876" xr:uid="{DB751AE0-548A-482E-A2C3-64ED4EA07BF9}"/>
    <cellStyle name="Comma 4 2 4 2 4 2 3" xfId="12223" xr:uid="{A688990C-325C-4EE1-A29E-4797A7F29967}"/>
    <cellStyle name="Comma 4 2 4 2 4 2 4" xfId="20659" xr:uid="{044FE015-66F3-4E51-B297-EC902AFF54AC}"/>
    <cellStyle name="Comma 4 2 4 2 4 3" xfId="5854" xr:uid="{00000000-0005-0000-0000-0000C2080000}"/>
    <cellStyle name="Comma 4 2 4 2 4 3 2" xfId="14296" xr:uid="{DA6E929F-5D96-46F3-90FE-E29F6791FB3E}"/>
    <cellStyle name="Comma 4 2 4 2 4 3 3" xfId="22731" xr:uid="{F4400BA4-154A-408B-9D43-C6A247ABA13E}"/>
    <cellStyle name="Comma 4 2 4 2 4 4" xfId="10078" xr:uid="{4F5190FE-8BC4-4A17-873E-F768BF3CDBEF}"/>
    <cellStyle name="Comma 4 2 4 2 4 5" xfId="18514" xr:uid="{438DA37A-F308-423B-BC52-C07046A5B56C}"/>
    <cellStyle name="Comma 4 2 4 2 5" xfId="1960" xr:uid="{00000000-0005-0000-0000-0000C3080000}"/>
    <cellStyle name="Comma 4 2 4 2 5 2" xfId="4189" xr:uid="{00000000-0005-0000-0000-0000C4080000}"/>
    <cellStyle name="Comma 4 2 4 2 5 2 2" xfId="8412" xr:uid="{00000000-0005-0000-0000-0000C5080000}"/>
    <cellStyle name="Comma 4 2 4 2 5 2 2 2" xfId="16854" xr:uid="{30A6FCF8-806E-42A6-8ECC-DDD95AF78E2E}"/>
    <cellStyle name="Comma 4 2 4 2 5 2 2 3" xfId="25289" xr:uid="{BA0F99AF-ECBF-431C-9380-CDF4030A7E71}"/>
    <cellStyle name="Comma 4 2 4 2 5 2 3" xfId="12636" xr:uid="{8A8FD20C-91ED-46A6-AA08-D2B15DE7DB75}"/>
    <cellStyle name="Comma 4 2 4 2 5 2 4" xfId="21072" xr:uid="{58DA214D-5B94-41C5-A2C1-157E06717F30}"/>
    <cellStyle name="Comma 4 2 4 2 5 3" xfId="6267" xr:uid="{00000000-0005-0000-0000-0000C6080000}"/>
    <cellStyle name="Comma 4 2 4 2 5 3 2" xfId="14709" xr:uid="{BB0DC59A-03BE-4970-A666-73EE3E002CD8}"/>
    <cellStyle name="Comma 4 2 4 2 5 3 3" xfId="23144" xr:uid="{D34DDDA4-DB92-4AD3-B7B2-428D337FBEF8}"/>
    <cellStyle name="Comma 4 2 4 2 5 4" xfId="10491" xr:uid="{0E963699-144E-40B7-861D-01049C7185DD}"/>
    <cellStyle name="Comma 4 2 4 2 5 5" xfId="18927" xr:uid="{E78A6D55-1FFA-4476-965F-BB542208DEA6}"/>
    <cellStyle name="Comma 4 2 4 2 6" xfId="2395" xr:uid="{00000000-0005-0000-0000-0000C7080000}"/>
    <cellStyle name="Comma 4 2 4 2 6 2" xfId="6680" xr:uid="{00000000-0005-0000-0000-0000C8080000}"/>
    <cellStyle name="Comma 4 2 4 2 6 2 2" xfId="15122" xr:uid="{281810B2-2803-4E5F-AD31-0FF228B5E838}"/>
    <cellStyle name="Comma 4 2 4 2 6 2 3" xfId="23557" xr:uid="{2F098EFB-3977-47D0-8DF9-71A7FE15744C}"/>
    <cellStyle name="Comma 4 2 4 2 6 3" xfId="10904" xr:uid="{5549B538-27B8-4B55-BC7C-8060B29C2324}"/>
    <cellStyle name="Comma 4 2 4 2 6 4" xfId="19340" xr:uid="{196B2094-A34F-4DB6-88E1-55C685DA752D}"/>
    <cellStyle name="Comma 4 2 4 2 7" xfId="2368" xr:uid="{00000000-0005-0000-0000-0000C9080000}"/>
    <cellStyle name="Comma 4 2 4 2 8" xfId="2773" xr:uid="{00000000-0005-0000-0000-0000CA080000}"/>
    <cellStyle name="Comma 4 2 4 2 8 2" xfId="6997" xr:uid="{00000000-0005-0000-0000-0000CB080000}"/>
    <cellStyle name="Comma 4 2 4 2 8 2 2" xfId="15439" xr:uid="{9756E893-32E9-47D1-BFA5-488944C5A650}"/>
    <cellStyle name="Comma 4 2 4 2 8 2 3" xfId="23874" xr:uid="{601002DA-55C9-4FE6-8897-8408F03E557A}"/>
    <cellStyle name="Comma 4 2 4 2 8 3" xfId="11221" xr:uid="{F9A193E2-8B19-4059-ACCC-13C850DDFE35}"/>
    <cellStyle name="Comma 4 2 4 2 8 4" xfId="19657" xr:uid="{7D5E2C78-DE51-4CE2-8375-5E49ABF03935}"/>
    <cellStyle name="Comma 4 2 4 2 9" xfId="4614" xr:uid="{00000000-0005-0000-0000-0000CC080000}"/>
    <cellStyle name="Comma 4 2 4 2 9 2" xfId="13056" xr:uid="{5D388134-67F1-4B94-8956-35189A1377B7}"/>
    <cellStyle name="Comma 4 2 4 2 9 3" xfId="21491" xr:uid="{D6641B7F-CC54-489E-A672-39F69A627397}"/>
    <cellStyle name="Comma 4 2 4 3" xfId="678" xr:uid="{00000000-0005-0000-0000-0000CD080000}"/>
    <cellStyle name="Comma 4 2 4 3 2" xfId="2949" xr:uid="{00000000-0005-0000-0000-0000CE080000}"/>
    <cellStyle name="Comma 4 2 4 3 2 2" xfId="7172" xr:uid="{00000000-0005-0000-0000-0000CF080000}"/>
    <cellStyle name="Comma 4 2 4 3 2 2 2" xfId="15614" xr:uid="{CE08C9EE-A016-4063-9418-0336B6D77B89}"/>
    <cellStyle name="Comma 4 2 4 3 2 2 3" xfId="24049" xr:uid="{4C1FB03D-ADF2-488C-AD17-847133083371}"/>
    <cellStyle name="Comma 4 2 4 3 2 3" xfId="11396" xr:uid="{54BFE8D7-889A-4692-9091-6E1D3704F000}"/>
    <cellStyle name="Comma 4 2 4 3 2 4" xfId="19832" xr:uid="{14935F26-E13C-4666-92E6-E93FCB6E30CF}"/>
    <cellStyle name="Comma 4 2 4 3 3" xfId="5027" xr:uid="{00000000-0005-0000-0000-0000D0080000}"/>
    <cellStyle name="Comma 4 2 4 3 3 2" xfId="13469" xr:uid="{7D0DF453-DB74-4A7C-9C7B-DFAB744FFCB6}"/>
    <cellStyle name="Comma 4 2 4 3 3 3" xfId="21904" xr:uid="{E3A27D2B-C72F-4099-AB1B-BEE6CECEAECD}"/>
    <cellStyle name="Comma 4 2 4 3 4" xfId="9251" xr:uid="{98EC4EB5-5ABB-4E65-9105-E09A9DDB5A29}"/>
    <cellStyle name="Comma 4 2 4 3 5" xfId="17687" xr:uid="{C5C82727-7D23-4C8F-B3AC-EDA42C63F7E5}"/>
    <cellStyle name="Comma 4 2 4 4" xfId="1131" xr:uid="{00000000-0005-0000-0000-0000D1080000}"/>
    <cellStyle name="Comma 4 2 4 4 2" xfId="3362" xr:uid="{00000000-0005-0000-0000-0000D2080000}"/>
    <cellStyle name="Comma 4 2 4 4 2 2" xfId="7585" xr:uid="{00000000-0005-0000-0000-0000D3080000}"/>
    <cellStyle name="Comma 4 2 4 4 2 2 2" xfId="16027" xr:uid="{23DFBEC8-917E-4658-8B29-289B27081C8C}"/>
    <cellStyle name="Comma 4 2 4 4 2 2 3" xfId="24462" xr:uid="{E268B6CB-235B-4AB6-AC84-5F560C251540}"/>
    <cellStyle name="Comma 4 2 4 4 2 3" xfId="11809" xr:uid="{80EA6A16-2575-4715-9352-4B333054074D}"/>
    <cellStyle name="Comma 4 2 4 4 2 4" xfId="20245" xr:uid="{C2D102B1-213E-46CD-8C4A-D34E27E21BF1}"/>
    <cellStyle name="Comma 4 2 4 4 3" xfId="5440" xr:uid="{00000000-0005-0000-0000-0000D4080000}"/>
    <cellStyle name="Comma 4 2 4 4 3 2" xfId="13882" xr:uid="{C2F7668E-2412-44EF-9376-2D83E7FEA87F}"/>
    <cellStyle name="Comma 4 2 4 4 3 3" xfId="22317" xr:uid="{22C4B101-9F15-44F9-9E38-02F59FFBB4DC}"/>
    <cellStyle name="Comma 4 2 4 4 4" xfId="9664" xr:uid="{B5233187-A62C-4270-B185-2CEEC1B03EC5}"/>
    <cellStyle name="Comma 4 2 4 4 5" xfId="18100" xr:uid="{9BA65D17-94A5-4A8A-A5E2-6DB5988F7282}"/>
    <cellStyle name="Comma 4 2 4 5" xfId="1545" xr:uid="{00000000-0005-0000-0000-0000D5080000}"/>
    <cellStyle name="Comma 4 2 4 5 2" xfId="3775" xr:uid="{00000000-0005-0000-0000-0000D6080000}"/>
    <cellStyle name="Comma 4 2 4 5 2 2" xfId="7998" xr:uid="{00000000-0005-0000-0000-0000D7080000}"/>
    <cellStyle name="Comma 4 2 4 5 2 2 2" xfId="16440" xr:uid="{606C2E53-485D-4040-9D4F-5DFA96671BC1}"/>
    <cellStyle name="Comma 4 2 4 5 2 2 3" xfId="24875" xr:uid="{8B433D00-87D5-46BB-A34C-0D1D8FF42034}"/>
    <cellStyle name="Comma 4 2 4 5 2 3" xfId="12222" xr:uid="{A454E578-A536-4879-8109-6FC135D29AD3}"/>
    <cellStyle name="Comma 4 2 4 5 2 4" xfId="20658" xr:uid="{12285668-65F7-4C60-BFC0-64000D97FF79}"/>
    <cellStyle name="Comma 4 2 4 5 3" xfId="5853" xr:uid="{00000000-0005-0000-0000-0000D8080000}"/>
    <cellStyle name="Comma 4 2 4 5 3 2" xfId="14295" xr:uid="{A4D23452-8490-420B-AF75-91D83A59BB2C}"/>
    <cellStyle name="Comma 4 2 4 5 3 3" xfId="22730" xr:uid="{9F96475D-6D49-43DB-8B1A-EBCBF4EB5496}"/>
    <cellStyle name="Comma 4 2 4 5 4" xfId="10077" xr:uid="{BC27FB01-E74E-4F05-93A3-7409AC648A7D}"/>
    <cellStyle name="Comma 4 2 4 5 5" xfId="18513" xr:uid="{89A4E006-353A-4C60-A7B1-128DE8925C38}"/>
    <cellStyle name="Comma 4 2 4 6" xfId="1959" xr:uid="{00000000-0005-0000-0000-0000D9080000}"/>
    <cellStyle name="Comma 4 2 4 6 2" xfId="4188" xr:uid="{00000000-0005-0000-0000-0000DA080000}"/>
    <cellStyle name="Comma 4 2 4 6 2 2" xfId="8411" xr:uid="{00000000-0005-0000-0000-0000DB080000}"/>
    <cellStyle name="Comma 4 2 4 6 2 2 2" xfId="16853" xr:uid="{C8452415-ED5B-4B43-8EBE-8644A173D7E2}"/>
    <cellStyle name="Comma 4 2 4 6 2 2 3" xfId="25288" xr:uid="{942CF3C1-31CD-4A25-A2CA-317391FCD646}"/>
    <cellStyle name="Comma 4 2 4 6 2 3" xfId="12635" xr:uid="{176F852B-5A96-431D-BF48-AE03774DD78A}"/>
    <cellStyle name="Comma 4 2 4 6 2 4" xfId="21071" xr:uid="{01A71D1F-DFFE-4A47-AB5C-FB762C4D53DF}"/>
    <cellStyle name="Comma 4 2 4 6 3" xfId="6266" xr:uid="{00000000-0005-0000-0000-0000DC080000}"/>
    <cellStyle name="Comma 4 2 4 6 3 2" xfId="14708" xr:uid="{6EED4FA2-334A-44D5-8A87-E0F9652AE24E}"/>
    <cellStyle name="Comma 4 2 4 6 3 3" xfId="23143" xr:uid="{02A4E048-18CE-48CA-8424-9C8CE7C3D1AF}"/>
    <cellStyle name="Comma 4 2 4 6 4" xfId="10490" xr:uid="{D0039F41-4F0F-4304-B899-CBC086D86772}"/>
    <cellStyle name="Comma 4 2 4 6 5" xfId="18926" xr:uid="{44E82745-04D8-4572-AEA8-718DC78211FE}"/>
    <cellStyle name="Comma 4 2 4 7" xfId="2394" xr:uid="{00000000-0005-0000-0000-0000DD080000}"/>
    <cellStyle name="Comma 4 2 4 7 2" xfId="6679" xr:uid="{00000000-0005-0000-0000-0000DE080000}"/>
    <cellStyle name="Comma 4 2 4 7 2 2" xfId="15121" xr:uid="{ABA7E3B6-693F-4C5F-8CC3-9FFAD3D1938A}"/>
    <cellStyle name="Comma 4 2 4 7 2 3" xfId="23556" xr:uid="{AB9E28AF-C587-4B7C-943D-E8C08854FC63}"/>
    <cellStyle name="Comma 4 2 4 7 3" xfId="10903" xr:uid="{629AF950-1283-4212-B682-5268D9F0A5C0}"/>
    <cellStyle name="Comma 4 2 4 7 4" xfId="19339" xr:uid="{C2A500D1-7808-4619-AAB0-BDFAE7D76AEB}"/>
    <cellStyle name="Comma 4 2 4 8" xfId="2369" xr:uid="{00000000-0005-0000-0000-0000DF080000}"/>
    <cellStyle name="Comma 4 2 4 9" xfId="2772" xr:uid="{00000000-0005-0000-0000-0000E0080000}"/>
    <cellStyle name="Comma 4 2 4 9 2" xfId="6996" xr:uid="{00000000-0005-0000-0000-0000E1080000}"/>
    <cellStyle name="Comma 4 2 4 9 2 2" xfId="15438" xr:uid="{0CE31A27-367F-43D0-B991-75038115F4CF}"/>
    <cellStyle name="Comma 4 2 4 9 2 3" xfId="23873" xr:uid="{38081E05-5C1E-41F6-A08D-ECD33D69D5BF}"/>
    <cellStyle name="Comma 4 2 4 9 3" xfId="11220" xr:uid="{FA9DFE23-73CA-46E1-B0B2-B8CFB7FF236D}"/>
    <cellStyle name="Comma 4 2 4 9 4" xfId="19656" xr:uid="{530A8005-5815-4C79-B501-5F5350EFA8AD}"/>
    <cellStyle name="Comma 4 2 5" xfId="142" xr:uid="{00000000-0005-0000-0000-0000E2080000}"/>
    <cellStyle name="Comma 4 2 5 10" xfId="8839" xr:uid="{DF640651-EE2B-4CC7-8F53-CCE04D968872}"/>
    <cellStyle name="Comma 4 2 5 11" xfId="17275" xr:uid="{255AC156-743A-4346-8C52-56A7699C9307}"/>
    <cellStyle name="Comma 4 2 5 2" xfId="680" xr:uid="{00000000-0005-0000-0000-0000E3080000}"/>
    <cellStyle name="Comma 4 2 5 2 2" xfId="2951" xr:uid="{00000000-0005-0000-0000-0000E4080000}"/>
    <cellStyle name="Comma 4 2 5 2 2 2" xfId="7174" xr:uid="{00000000-0005-0000-0000-0000E5080000}"/>
    <cellStyle name="Comma 4 2 5 2 2 2 2" xfId="15616" xr:uid="{2C6E9A0C-6BFC-4CB6-A8E7-284E5CDD3FFB}"/>
    <cellStyle name="Comma 4 2 5 2 2 2 3" xfId="24051" xr:uid="{1A841F8D-CD27-4225-9CAD-07977ACF94B0}"/>
    <cellStyle name="Comma 4 2 5 2 2 3" xfId="11398" xr:uid="{25ACDA82-564B-4243-9638-2FDBB02289CA}"/>
    <cellStyle name="Comma 4 2 5 2 2 4" xfId="19834" xr:uid="{578A581C-A245-4178-A3DA-F6E91C0E36CF}"/>
    <cellStyle name="Comma 4 2 5 2 3" xfId="5029" xr:uid="{00000000-0005-0000-0000-0000E6080000}"/>
    <cellStyle name="Comma 4 2 5 2 3 2" xfId="13471" xr:uid="{A6E80C1C-FEE6-47E8-9CA0-516BC3CD9C69}"/>
    <cellStyle name="Comma 4 2 5 2 3 3" xfId="21906" xr:uid="{1E4D154D-AD60-4291-A3A4-050776766941}"/>
    <cellStyle name="Comma 4 2 5 2 4" xfId="9253" xr:uid="{2B132A3D-4639-49A3-AAAC-E02EF081C5A3}"/>
    <cellStyle name="Comma 4 2 5 2 5" xfId="17689" xr:uid="{7BBCC8C0-B2A5-4982-90C5-8B7FE26D03A5}"/>
    <cellStyle name="Comma 4 2 5 3" xfId="1133" xr:uid="{00000000-0005-0000-0000-0000E7080000}"/>
    <cellStyle name="Comma 4 2 5 3 2" xfId="3364" xr:uid="{00000000-0005-0000-0000-0000E8080000}"/>
    <cellStyle name="Comma 4 2 5 3 2 2" xfId="7587" xr:uid="{00000000-0005-0000-0000-0000E9080000}"/>
    <cellStyle name="Comma 4 2 5 3 2 2 2" xfId="16029" xr:uid="{E48A2207-D8BC-42C5-B83B-D6161DFD5E51}"/>
    <cellStyle name="Comma 4 2 5 3 2 2 3" xfId="24464" xr:uid="{C5B96FD4-B90A-480A-9B7D-FE18EFED7B53}"/>
    <cellStyle name="Comma 4 2 5 3 2 3" xfId="11811" xr:uid="{51173557-E933-4210-89A2-6A8312843DA7}"/>
    <cellStyle name="Comma 4 2 5 3 2 4" xfId="20247" xr:uid="{9F0F633D-CF4D-462C-92AC-3DA49CA2AEEF}"/>
    <cellStyle name="Comma 4 2 5 3 3" xfId="5442" xr:uid="{00000000-0005-0000-0000-0000EA080000}"/>
    <cellStyle name="Comma 4 2 5 3 3 2" xfId="13884" xr:uid="{77943980-5EAD-49B0-BC7B-F2A7F67C2973}"/>
    <cellStyle name="Comma 4 2 5 3 3 3" xfId="22319" xr:uid="{F7C9E9D7-832A-42C7-9EDF-5A6BAA4CFC07}"/>
    <cellStyle name="Comma 4 2 5 3 4" xfId="9666" xr:uid="{F6C1FEDA-BFDC-4627-83E6-0D76530A442D}"/>
    <cellStyle name="Comma 4 2 5 3 5" xfId="18102" xr:uid="{4BDE086A-3C59-42A1-B2D3-49BA2C6CA547}"/>
    <cellStyle name="Comma 4 2 5 4" xfId="1547" xr:uid="{00000000-0005-0000-0000-0000EB080000}"/>
    <cellStyle name="Comma 4 2 5 4 2" xfId="3777" xr:uid="{00000000-0005-0000-0000-0000EC080000}"/>
    <cellStyle name="Comma 4 2 5 4 2 2" xfId="8000" xr:uid="{00000000-0005-0000-0000-0000ED080000}"/>
    <cellStyle name="Comma 4 2 5 4 2 2 2" xfId="16442" xr:uid="{FFB7438A-BFA2-4E23-9FE1-B971C86D4D72}"/>
    <cellStyle name="Comma 4 2 5 4 2 2 3" xfId="24877" xr:uid="{A657B45F-2B3C-4BD0-8DE5-18FB7F1838A9}"/>
    <cellStyle name="Comma 4 2 5 4 2 3" xfId="12224" xr:uid="{A7AFA004-7B8F-4019-96A5-23A10D254ECA}"/>
    <cellStyle name="Comma 4 2 5 4 2 4" xfId="20660" xr:uid="{A122E24F-1364-4171-967B-6799EBE822EB}"/>
    <cellStyle name="Comma 4 2 5 4 3" xfId="5855" xr:uid="{00000000-0005-0000-0000-0000EE080000}"/>
    <cellStyle name="Comma 4 2 5 4 3 2" xfId="14297" xr:uid="{BB965BD2-5B3A-429E-8921-83770DDCB5EF}"/>
    <cellStyle name="Comma 4 2 5 4 3 3" xfId="22732" xr:uid="{628C6466-5F76-4EB2-9E6C-D99F7EE7AA9D}"/>
    <cellStyle name="Comma 4 2 5 4 4" xfId="10079" xr:uid="{98AB8964-8E90-431F-B950-F703579374F4}"/>
    <cellStyle name="Comma 4 2 5 4 5" xfId="18515" xr:uid="{B750444C-F722-4008-8565-A969532EFD41}"/>
    <cellStyle name="Comma 4 2 5 5" xfId="1961" xr:uid="{00000000-0005-0000-0000-0000EF080000}"/>
    <cellStyle name="Comma 4 2 5 5 2" xfId="4190" xr:uid="{00000000-0005-0000-0000-0000F0080000}"/>
    <cellStyle name="Comma 4 2 5 5 2 2" xfId="8413" xr:uid="{00000000-0005-0000-0000-0000F1080000}"/>
    <cellStyle name="Comma 4 2 5 5 2 2 2" xfId="16855" xr:uid="{BBB728AF-DFD3-437F-9758-3F4579865B51}"/>
    <cellStyle name="Comma 4 2 5 5 2 2 3" xfId="25290" xr:uid="{1EDA5B45-33D5-4EC4-A180-F12D594A34B2}"/>
    <cellStyle name="Comma 4 2 5 5 2 3" xfId="12637" xr:uid="{AD4FCA43-93EF-4DD9-AEC4-822190E46840}"/>
    <cellStyle name="Comma 4 2 5 5 2 4" xfId="21073" xr:uid="{98D62860-E46F-461A-9591-4BBC4F18D756}"/>
    <cellStyle name="Comma 4 2 5 5 3" xfId="6268" xr:uid="{00000000-0005-0000-0000-0000F2080000}"/>
    <cellStyle name="Comma 4 2 5 5 3 2" xfId="14710" xr:uid="{516D91C6-59A6-4D38-A5D8-52279EDD2021}"/>
    <cellStyle name="Comma 4 2 5 5 3 3" xfId="23145" xr:uid="{091B2BDB-7252-485E-A511-8D2CD7E8A1D5}"/>
    <cellStyle name="Comma 4 2 5 5 4" xfId="10492" xr:uid="{B947C85B-3678-4911-BAE6-725DFFF64E80}"/>
    <cellStyle name="Comma 4 2 5 5 5" xfId="18928" xr:uid="{F50E7278-168E-44C4-9E77-F708013718DC}"/>
    <cellStyle name="Comma 4 2 5 6" xfId="2396" xr:uid="{00000000-0005-0000-0000-0000F3080000}"/>
    <cellStyle name="Comma 4 2 5 6 2" xfId="6681" xr:uid="{00000000-0005-0000-0000-0000F4080000}"/>
    <cellStyle name="Comma 4 2 5 6 2 2" xfId="15123" xr:uid="{F9F26E25-AD27-47F0-8C90-D42D0131B144}"/>
    <cellStyle name="Comma 4 2 5 6 2 3" xfId="23558" xr:uid="{F3D392A0-A26F-4882-8F89-0ADC8CE08EE6}"/>
    <cellStyle name="Comma 4 2 5 6 3" xfId="10905" xr:uid="{0460F30E-4B0C-4BB9-90D7-4C2281FEE452}"/>
    <cellStyle name="Comma 4 2 5 6 4" xfId="19341" xr:uid="{52847CC3-E1DE-4CBC-9274-2E609EE178A1}"/>
    <cellStyle name="Comma 4 2 5 7" xfId="2367" xr:uid="{00000000-0005-0000-0000-0000F5080000}"/>
    <cellStyle name="Comma 4 2 5 8" xfId="2774" xr:uid="{00000000-0005-0000-0000-0000F6080000}"/>
    <cellStyle name="Comma 4 2 5 8 2" xfId="6998" xr:uid="{00000000-0005-0000-0000-0000F7080000}"/>
    <cellStyle name="Comma 4 2 5 8 2 2" xfId="15440" xr:uid="{2DEA76BF-CE56-416F-8EBE-AA592AD651D5}"/>
    <cellStyle name="Comma 4 2 5 8 2 3" xfId="23875" xr:uid="{B06C4EBF-44A2-4702-8030-92E061FD90A5}"/>
    <cellStyle name="Comma 4 2 5 8 3" xfId="11222" xr:uid="{CE1905AF-D13B-424C-8F4A-97CDE1AC4B6B}"/>
    <cellStyle name="Comma 4 2 5 8 4" xfId="19658" xr:uid="{DC16C787-74A6-4B9F-B446-E67DD1EEF03A}"/>
    <cellStyle name="Comma 4 2 5 9" xfId="4615" xr:uid="{00000000-0005-0000-0000-0000F8080000}"/>
    <cellStyle name="Comma 4 2 5 9 2" xfId="13057" xr:uid="{3D4108E8-8D96-4047-88FA-BD293D73EEBE}"/>
    <cellStyle name="Comma 4 2 5 9 3" xfId="21492" xr:uid="{DF9F4D6E-F55A-4A05-987B-73869E964CDB}"/>
    <cellStyle name="Comma 4 2 6" xfId="143" xr:uid="{00000000-0005-0000-0000-0000F9080000}"/>
    <cellStyle name="Comma 4 2 6 10" xfId="8840" xr:uid="{4EF8CE31-345B-4770-B32D-83D73614B2FE}"/>
    <cellStyle name="Comma 4 2 6 11" xfId="17276" xr:uid="{F3622129-F721-4A34-B39F-42F23EC3FEE1}"/>
    <cellStyle name="Comma 4 2 6 2" xfId="681" xr:uid="{00000000-0005-0000-0000-0000FA080000}"/>
    <cellStyle name="Comma 4 2 6 2 2" xfId="2952" xr:uid="{00000000-0005-0000-0000-0000FB080000}"/>
    <cellStyle name="Comma 4 2 6 2 2 2" xfId="7175" xr:uid="{00000000-0005-0000-0000-0000FC080000}"/>
    <cellStyle name="Comma 4 2 6 2 2 2 2" xfId="15617" xr:uid="{0CD436C5-0523-4A46-910E-F94E950D6842}"/>
    <cellStyle name="Comma 4 2 6 2 2 2 3" xfId="24052" xr:uid="{7407D051-C76D-4AF1-A3F0-7D255206AD44}"/>
    <cellStyle name="Comma 4 2 6 2 2 3" xfId="11399" xr:uid="{CFB9CD0A-687B-42F4-993D-6A67E1B46896}"/>
    <cellStyle name="Comma 4 2 6 2 2 4" xfId="19835" xr:uid="{63DCD95E-174B-41B1-8FE8-8728F1F1E359}"/>
    <cellStyle name="Comma 4 2 6 2 3" xfId="5030" xr:uid="{00000000-0005-0000-0000-0000FD080000}"/>
    <cellStyle name="Comma 4 2 6 2 3 2" xfId="13472" xr:uid="{8743B3B3-5BFD-49A5-866A-D5AC28C25CA0}"/>
    <cellStyle name="Comma 4 2 6 2 3 3" xfId="21907" xr:uid="{EE1C1488-055C-4B43-9A12-28B38FCC4F8B}"/>
    <cellStyle name="Comma 4 2 6 2 4" xfId="9254" xr:uid="{2CC6FD09-5939-4903-88DB-C8915B3C147F}"/>
    <cellStyle name="Comma 4 2 6 2 5" xfId="17690" xr:uid="{580C25CF-93B7-4965-A27B-5244F2116D6E}"/>
    <cellStyle name="Comma 4 2 6 3" xfId="1134" xr:uid="{00000000-0005-0000-0000-0000FE080000}"/>
    <cellStyle name="Comma 4 2 6 3 2" xfId="3365" xr:uid="{00000000-0005-0000-0000-0000FF080000}"/>
    <cellStyle name="Comma 4 2 6 3 2 2" xfId="7588" xr:uid="{00000000-0005-0000-0000-000000090000}"/>
    <cellStyle name="Comma 4 2 6 3 2 2 2" xfId="16030" xr:uid="{DDE76BA2-B1E4-43B4-B332-1DF62EA34837}"/>
    <cellStyle name="Comma 4 2 6 3 2 2 3" xfId="24465" xr:uid="{795B829A-CDBD-47ED-999A-B644874BBC90}"/>
    <cellStyle name="Comma 4 2 6 3 2 3" xfId="11812" xr:uid="{99230AE6-AD3C-4D8F-B7F7-7064DBB75DB3}"/>
    <cellStyle name="Comma 4 2 6 3 2 4" xfId="20248" xr:uid="{37C4717E-3D3D-4EE0-9B69-BA2989AD08C6}"/>
    <cellStyle name="Comma 4 2 6 3 3" xfId="5443" xr:uid="{00000000-0005-0000-0000-000001090000}"/>
    <cellStyle name="Comma 4 2 6 3 3 2" xfId="13885" xr:uid="{6E78F609-B1A0-48AB-A71D-21CAA84FA4B1}"/>
    <cellStyle name="Comma 4 2 6 3 3 3" xfId="22320" xr:uid="{ADD1D062-DB16-44A9-9F6F-5795154D639D}"/>
    <cellStyle name="Comma 4 2 6 3 4" xfId="9667" xr:uid="{D43EA56C-C71B-48ED-ACA9-4E39FF24FA8E}"/>
    <cellStyle name="Comma 4 2 6 3 5" xfId="18103" xr:uid="{BCF507BB-AFEE-4887-9629-04DB9427FB1F}"/>
    <cellStyle name="Comma 4 2 6 4" xfId="1548" xr:uid="{00000000-0005-0000-0000-000002090000}"/>
    <cellStyle name="Comma 4 2 6 4 2" xfId="3778" xr:uid="{00000000-0005-0000-0000-000003090000}"/>
    <cellStyle name="Comma 4 2 6 4 2 2" xfId="8001" xr:uid="{00000000-0005-0000-0000-000004090000}"/>
    <cellStyle name="Comma 4 2 6 4 2 2 2" xfId="16443" xr:uid="{4EC1E9B8-7C52-4994-B9D6-107CA675AFE8}"/>
    <cellStyle name="Comma 4 2 6 4 2 2 3" xfId="24878" xr:uid="{F797E514-F59F-4041-A911-B66CF77B9B3E}"/>
    <cellStyle name="Comma 4 2 6 4 2 3" xfId="12225" xr:uid="{601CC508-6DEB-4595-85A7-7479547737F7}"/>
    <cellStyle name="Comma 4 2 6 4 2 4" xfId="20661" xr:uid="{0A702824-B592-4049-BC1C-B3833CECCED5}"/>
    <cellStyle name="Comma 4 2 6 4 3" xfId="5856" xr:uid="{00000000-0005-0000-0000-000005090000}"/>
    <cellStyle name="Comma 4 2 6 4 3 2" xfId="14298" xr:uid="{5955C821-49AC-411F-B534-F2E1C83827E9}"/>
    <cellStyle name="Comma 4 2 6 4 3 3" xfId="22733" xr:uid="{A7087020-2595-40BE-8607-149CC855D2D8}"/>
    <cellStyle name="Comma 4 2 6 4 4" xfId="10080" xr:uid="{5E3C274D-00A7-4572-B850-BA79074F9917}"/>
    <cellStyle name="Comma 4 2 6 4 5" xfId="18516" xr:uid="{B18406F1-4BAE-4CBB-B5BC-8C571FABD6A2}"/>
    <cellStyle name="Comma 4 2 6 5" xfId="1962" xr:uid="{00000000-0005-0000-0000-000006090000}"/>
    <cellStyle name="Comma 4 2 6 5 2" xfId="4191" xr:uid="{00000000-0005-0000-0000-000007090000}"/>
    <cellStyle name="Comma 4 2 6 5 2 2" xfId="8414" xr:uid="{00000000-0005-0000-0000-000008090000}"/>
    <cellStyle name="Comma 4 2 6 5 2 2 2" xfId="16856" xr:uid="{3181754C-A7DD-4790-B516-74D0D49F5CCC}"/>
    <cellStyle name="Comma 4 2 6 5 2 2 3" xfId="25291" xr:uid="{F1FEB412-67E9-4C48-B2CE-140B43E40C9E}"/>
    <cellStyle name="Comma 4 2 6 5 2 3" xfId="12638" xr:uid="{CE14705E-6694-4A8C-A066-CAF671DE7CA8}"/>
    <cellStyle name="Comma 4 2 6 5 2 4" xfId="21074" xr:uid="{4CB02BD3-103C-4160-A180-4B19E3D69EED}"/>
    <cellStyle name="Comma 4 2 6 5 3" xfId="6269" xr:uid="{00000000-0005-0000-0000-000009090000}"/>
    <cellStyle name="Comma 4 2 6 5 3 2" xfId="14711" xr:uid="{1BA77C4C-EF8F-4563-8B53-C9146BED2191}"/>
    <cellStyle name="Comma 4 2 6 5 3 3" xfId="23146" xr:uid="{9094C0DB-D618-43F5-9F1B-CDE958643197}"/>
    <cellStyle name="Comma 4 2 6 5 4" xfId="10493" xr:uid="{11E230D9-28E7-46C6-B9BD-93A91A1D9D6A}"/>
    <cellStyle name="Comma 4 2 6 5 5" xfId="18929" xr:uid="{14258D0B-D62C-46F5-A7BE-BB908B12B83B}"/>
    <cellStyle name="Comma 4 2 6 6" xfId="2397" xr:uid="{00000000-0005-0000-0000-00000A090000}"/>
    <cellStyle name="Comma 4 2 6 6 2" xfId="6682" xr:uid="{00000000-0005-0000-0000-00000B090000}"/>
    <cellStyle name="Comma 4 2 6 6 2 2" xfId="15124" xr:uid="{FECA2F59-1ADC-4752-8CFA-340983CCF8AD}"/>
    <cellStyle name="Comma 4 2 6 6 2 3" xfId="23559" xr:uid="{287F1DFF-3DBE-4839-AB29-C92BA228C4C4}"/>
    <cellStyle name="Comma 4 2 6 6 3" xfId="10906" xr:uid="{E884AD11-D086-497D-93D9-2D6B297F1D15}"/>
    <cellStyle name="Comma 4 2 6 6 4" xfId="19342" xr:uid="{07908B09-F997-471D-AA78-BD945A6C02A5}"/>
    <cellStyle name="Comma 4 2 6 7" xfId="2366" xr:uid="{00000000-0005-0000-0000-00000C090000}"/>
    <cellStyle name="Comma 4 2 6 8" xfId="2775" xr:uid="{00000000-0005-0000-0000-00000D090000}"/>
    <cellStyle name="Comma 4 2 6 8 2" xfId="6999" xr:uid="{00000000-0005-0000-0000-00000E090000}"/>
    <cellStyle name="Comma 4 2 6 8 2 2" xfId="15441" xr:uid="{D4FC3378-B69E-4AEB-9C04-8C70CA40D078}"/>
    <cellStyle name="Comma 4 2 6 8 2 3" xfId="23876" xr:uid="{924C061C-C77E-415E-BA8C-74B7B53281C4}"/>
    <cellStyle name="Comma 4 2 6 8 3" xfId="11223" xr:uid="{D9931271-0711-480C-9789-69D5BF911432}"/>
    <cellStyle name="Comma 4 2 6 8 4" xfId="19659" xr:uid="{27FB2029-E629-47D3-9DD2-DC625DD017F1}"/>
    <cellStyle name="Comma 4 2 6 9" xfId="4616" xr:uid="{00000000-0005-0000-0000-00000F090000}"/>
    <cellStyle name="Comma 4 2 6 9 2" xfId="13058" xr:uid="{235C06EC-AB93-41D6-98FE-352ECBC50A6C}"/>
    <cellStyle name="Comma 4 2 6 9 3" xfId="21493" xr:uid="{6D644F97-A234-4F21-A8C7-1FAF3EE697E3}"/>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0 2 2" xfId="15442" xr:uid="{393F475A-0FE6-426B-B472-97E1F6C109AE}"/>
    <cellStyle name="Comma 4 3 2 10 2 3" xfId="23877" xr:uid="{82755539-DBCE-4EDE-854A-E52B5BBBD659}"/>
    <cellStyle name="Comma 4 3 2 10 3" xfId="11224" xr:uid="{ECA48EB3-EBBE-4279-B27A-2AFC022C2A42}"/>
    <cellStyle name="Comma 4 3 2 10 4" xfId="19660" xr:uid="{D0897787-8779-4D61-BED2-9CAE80D15195}"/>
    <cellStyle name="Comma 4 3 2 11" xfId="4617" xr:uid="{00000000-0005-0000-0000-000014090000}"/>
    <cellStyle name="Comma 4 3 2 11 2" xfId="13059" xr:uid="{E5ECB731-07E8-46B6-9CFB-8E15DB72E2A2}"/>
    <cellStyle name="Comma 4 3 2 11 3" xfId="21494" xr:uid="{A2DA3B03-8787-44E0-9320-561F70836E69}"/>
    <cellStyle name="Comma 4 3 2 12" xfId="8841" xr:uid="{C9AF14A8-7280-430A-BF80-895A5F7DEC76}"/>
    <cellStyle name="Comma 4 3 2 13" xfId="17277" xr:uid="{7B86569D-BE20-4320-9047-6EBBC1DE940A}"/>
    <cellStyle name="Comma 4 3 2 2" xfId="146" xr:uid="{00000000-0005-0000-0000-000015090000}"/>
    <cellStyle name="Comma 4 3 2 2 10" xfId="4618" xr:uid="{00000000-0005-0000-0000-000016090000}"/>
    <cellStyle name="Comma 4 3 2 2 10 2" xfId="13060" xr:uid="{098EF96D-7C23-4A28-85D8-F9D49634C307}"/>
    <cellStyle name="Comma 4 3 2 2 10 3" xfId="21495" xr:uid="{C8428856-D15C-4C48-B9DB-E9B92ECA1284}"/>
    <cellStyle name="Comma 4 3 2 2 11" xfId="8842" xr:uid="{3CC06DD1-4283-4780-88B0-009281A6DA91}"/>
    <cellStyle name="Comma 4 3 2 2 12" xfId="17278" xr:uid="{AD18B0F2-5ED8-443C-854B-115C51194304}"/>
    <cellStyle name="Comma 4 3 2 2 2" xfId="147" xr:uid="{00000000-0005-0000-0000-000017090000}"/>
    <cellStyle name="Comma 4 3 2 2 2 10" xfId="8843" xr:uid="{10916563-BDC1-4C03-B807-E7104F8EB3EA}"/>
    <cellStyle name="Comma 4 3 2 2 2 11" xfId="17279" xr:uid="{28371A6B-5424-4BD1-A47B-CD294C3B5980}"/>
    <cellStyle name="Comma 4 3 2 2 2 2" xfId="684" xr:uid="{00000000-0005-0000-0000-000018090000}"/>
    <cellStyle name="Comma 4 3 2 2 2 2 2" xfId="2955" xr:uid="{00000000-0005-0000-0000-000019090000}"/>
    <cellStyle name="Comma 4 3 2 2 2 2 2 2" xfId="7178" xr:uid="{00000000-0005-0000-0000-00001A090000}"/>
    <cellStyle name="Comma 4 3 2 2 2 2 2 2 2" xfId="15620" xr:uid="{D510941D-9C1B-4B27-B8D6-B90C7C6F9E25}"/>
    <cellStyle name="Comma 4 3 2 2 2 2 2 2 3" xfId="24055" xr:uid="{9B3BBA61-B2DD-492C-ADA8-6C7BFD27A7A6}"/>
    <cellStyle name="Comma 4 3 2 2 2 2 2 3" xfId="11402" xr:uid="{83D3E0BD-C672-4DED-99B6-96EC1476F6A5}"/>
    <cellStyle name="Comma 4 3 2 2 2 2 2 4" xfId="19838" xr:uid="{42C7D2EA-FA84-4172-A025-39B09F0A5352}"/>
    <cellStyle name="Comma 4 3 2 2 2 2 3" xfId="5033" xr:uid="{00000000-0005-0000-0000-00001B090000}"/>
    <cellStyle name="Comma 4 3 2 2 2 2 3 2" xfId="13475" xr:uid="{5013B116-13AD-42DA-85CC-EE7B2CB887BC}"/>
    <cellStyle name="Comma 4 3 2 2 2 2 3 3" xfId="21910" xr:uid="{90A49619-12CE-4359-BE11-1E3840D2FEE9}"/>
    <cellStyle name="Comma 4 3 2 2 2 2 4" xfId="9257" xr:uid="{DE32C625-7E92-4006-9A22-F308250768EC}"/>
    <cellStyle name="Comma 4 3 2 2 2 2 5" xfId="17693" xr:uid="{146466D7-8BFF-48B4-A563-C47BB7725AAC}"/>
    <cellStyle name="Comma 4 3 2 2 2 3" xfId="1137" xr:uid="{00000000-0005-0000-0000-00001C090000}"/>
    <cellStyle name="Comma 4 3 2 2 2 3 2" xfId="3368" xr:uid="{00000000-0005-0000-0000-00001D090000}"/>
    <cellStyle name="Comma 4 3 2 2 2 3 2 2" xfId="7591" xr:uid="{00000000-0005-0000-0000-00001E090000}"/>
    <cellStyle name="Comma 4 3 2 2 2 3 2 2 2" xfId="16033" xr:uid="{D182883D-4D7A-41DA-BC16-EDD606CD413A}"/>
    <cellStyle name="Comma 4 3 2 2 2 3 2 2 3" xfId="24468" xr:uid="{DD371D2D-1914-4437-BC38-4ED250B70A82}"/>
    <cellStyle name="Comma 4 3 2 2 2 3 2 3" xfId="11815" xr:uid="{F06C9ED7-1B7C-45AE-8BC7-81BF2E357494}"/>
    <cellStyle name="Comma 4 3 2 2 2 3 2 4" xfId="20251" xr:uid="{72075420-E745-4D06-98A5-34882DD64049}"/>
    <cellStyle name="Comma 4 3 2 2 2 3 3" xfId="5446" xr:uid="{00000000-0005-0000-0000-00001F090000}"/>
    <cellStyle name="Comma 4 3 2 2 2 3 3 2" xfId="13888" xr:uid="{E335CE62-4122-442B-AE5B-616D7FD10D28}"/>
    <cellStyle name="Comma 4 3 2 2 2 3 3 3" xfId="22323" xr:uid="{5AB44B55-7C23-43D7-906B-A67A28FCB11E}"/>
    <cellStyle name="Comma 4 3 2 2 2 3 4" xfId="9670" xr:uid="{095FFADF-FA11-4374-8F84-5A8A16D5A36B}"/>
    <cellStyle name="Comma 4 3 2 2 2 3 5" xfId="18106" xr:uid="{AA2EFE0F-0A5C-4674-9C82-87E18E46F99E}"/>
    <cellStyle name="Comma 4 3 2 2 2 4" xfId="1551" xr:uid="{00000000-0005-0000-0000-000020090000}"/>
    <cellStyle name="Comma 4 3 2 2 2 4 2" xfId="3781" xr:uid="{00000000-0005-0000-0000-000021090000}"/>
    <cellStyle name="Comma 4 3 2 2 2 4 2 2" xfId="8004" xr:uid="{00000000-0005-0000-0000-000022090000}"/>
    <cellStyle name="Comma 4 3 2 2 2 4 2 2 2" xfId="16446" xr:uid="{8AC93F5E-6762-4416-8DEE-F44D641CDC2F}"/>
    <cellStyle name="Comma 4 3 2 2 2 4 2 2 3" xfId="24881" xr:uid="{011FB190-FD33-4187-9071-E5DCBE21DC78}"/>
    <cellStyle name="Comma 4 3 2 2 2 4 2 3" xfId="12228" xr:uid="{2B204120-9397-48B7-B7DC-A4B5CA8DD8E8}"/>
    <cellStyle name="Comma 4 3 2 2 2 4 2 4" xfId="20664" xr:uid="{B6548861-3C35-4A6D-ACAB-81397F3FAC5F}"/>
    <cellStyle name="Comma 4 3 2 2 2 4 3" xfId="5859" xr:uid="{00000000-0005-0000-0000-000023090000}"/>
    <cellStyle name="Comma 4 3 2 2 2 4 3 2" xfId="14301" xr:uid="{726E88F3-6086-4B8B-BE3B-BB4AF15C86E1}"/>
    <cellStyle name="Comma 4 3 2 2 2 4 3 3" xfId="22736" xr:uid="{09228DC3-60A3-46DF-B02D-24A2AD9A1589}"/>
    <cellStyle name="Comma 4 3 2 2 2 4 4" xfId="10083" xr:uid="{2F069E8A-885A-43F6-B90C-DEF7E392D665}"/>
    <cellStyle name="Comma 4 3 2 2 2 4 5" xfId="18519" xr:uid="{CE345D99-1674-4A3D-BAE0-FB93AF3BC150}"/>
    <cellStyle name="Comma 4 3 2 2 2 5" xfId="1965" xr:uid="{00000000-0005-0000-0000-000024090000}"/>
    <cellStyle name="Comma 4 3 2 2 2 5 2" xfId="4194" xr:uid="{00000000-0005-0000-0000-000025090000}"/>
    <cellStyle name="Comma 4 3 2 2 2 5 2 2" xfId="8417" xr:uid="{00000000-0005-0000-0000-000026090000}"/>
    <cellStyle name="Comma 4 3 2 2 2 5 2 2 2" xfId="16859" xr:uid="{AACF62FB-DD97-4DF0-9DDC-CC193C7A7539}"/>
    <cellStyle name="Comma 4 3 2 2 2 5 2 2 3" xfId="25294" xr:uid="{15D2042B-F1D5-41F6-926B-DF4A67520750}"/>
    <cellStyle name="Comma 4 3 2 2 2 5 2 3" xfId="12641" xr:uid="{A04712AB-28DD-4284-958C-D293356231C1}"/>
    <cellStyle name="Comma 4 3 2 2 2 5 2 4" xfId="21077" xr:uid="{AF7B44F9-0925-4A63-8C6A-044506BCAE5B}"/>
    <cellStyle name="Comma 4 3 2 2 2 5 3" xfId="6272" xr:uid="{00000000-0005-0000-0000-000027090000}"/>
    <cellStyle name="Comma 4 3 2 2 2 5 3 2" xfId="14714" xr:uid="{6E1D305E-21B0-4A55-AB11-9ED3F1B4E15C}"/>
    <cellStyle name="Comma 4 3 2 2 2 5 3 3" xfId="23149" xr:uid="{BEA8EDA1-0058-490E-B9C3-EF9C5347F7C7}"/>
    <cellStyle name="Comma 4 3 2 2 2 5 4" xfId="10496" xr:uid="{C6CE8BCE-2ED2-4AEC-A327-5AC01129C11E}"/>
    <cellStyle name="Comma 4 3 2 2 2 5 5" xfId="18932" xr:uid="{33CCFC98-4447-424B-8E77-A4472E6FD1C9}"/>
    <cellStyle name="Comma 4 3 2 2 2 6" xfId="2400" xr:uid="{00000000-0005-0000-0000-000028090000}"/>
    <cellStyle name="Comma 4 3 2 2 2 6 2" xfId="6685" xr:uid="{00000000-0005-0000-0000-000029090000}"/>
    <cellStyle name="Comma 4 3 2 2 2 6 2 2" xfId="15127" xr:uid="{BA7940CC-9538-40FF-9B7A-BC4CCC2C1B31}"/>
    <cellStyle name="Comma 4 3 2 2 2 6 2 3" xfId="23562" xr:uid="{9006BA83-0045-48E9-849C-DCE3E1152A1C}"/>
    <cellStyle name="Comma 4 3 2 2 2 6 3" xfId="10909" xr:uid="{B41427E4-5217-4794-B0AC-832158725051}"/>
    <cellStyle name="Comma 4 3 2 2 2 6 4" xfId="19345" xr:uid="{4BEC2DB1-D4FE-46F1-86F7-8FDBAC9836A1}"/>
    <cellStyle name="Comma 4 3 2 2 2 7" xfId="2363" xr:uid="{00000000-0005-0000-0000-00002A090000}"/>
    <cellStyle name="Comma 4 3 2 2 2 8" xfId="2778" xr:uid="{00000000-0005-0000-0000-00002B090000}"/>
    <cellStyle name="Comma 4 3 2 2 2 8 2" xfId="7002" xr:uid="{00000000-0005-0000-0000-00002C090000}"/>
    <cellStyle name="Comma 4 3 2 2 2 8 2 2" xfId="15444" xr:uid="{6F0CCBE1-F0B0-419B-9EB7-67249D484F2A}"/>
    <cellStyle name="Comma 4 3 2 2 2 8 2 3" xfId="23879" xr:uid="{9B664DE1-0A78-4EB6-9921-58F8FA2CD5E7}"/>
    <cellStyle name="Comma 4 3 2 2 2 8 3" xfId="11226" xr:uid="{40B05846-E094-41B2-80B1-4DE941CE5330}"/>
    <cellStyle name="Comma 4 3 2 2 2 8 4" xfId="19662" xr:uid="{C51129A3-5290-4E4A-BC49-3B5A8123AF8F}"/>
    <cellStyle name="Comma 4 3 2 2 2 9" xfId="4619" xr:uid="{00000000-0005-0000-0000-00002D090000}"/>
    <cellStyle name="Comma 4 3 2 2 2 9 2" xfId="13061" xr:uid="{5FCEB6B4-9691-4B81-ABD4-A9D88AE9DD14}"/>
    <cellStyle name="Comma 4 3 2 2 2 9 3" xfId="21496" xr:uid="{29425B58-45E8-4FE8-9F3F-4D0315B7FFA7}"/>
    <cellStyle name="Comma 4 3 2 2 3" xfId="683" xr:uid="{00000000-0005-0000-0000-00002E090000}"/>
    <cellStyle name="Comma 4 3 2 2 3 2" xfId="2954" xr:uid="{00000000-0005-0000-0000-00002F090000}"/>
    <cellStyle name="Comma 4 3 2 2 3 2 2" xfId="7177" xr:uid="{00000000-0005-0000-0000-000030090000}"/>
    <cellStyle name="Comma 4 3 2 2 3 2 2 2" xfId="15619" xr:uid="{8B1A54D4-44D3-4AB5-ACDB-0B983579A1B2}"/>
    <cellStyle name="Comma 4 3 2 2 3 2 2 3" xfId="24054" xr:uid="{915C8EBF-BD45-4E96-A94F-22B47F03B736}"/>
    <cellStyle name="Comma 4 3 2 2 3 2 3" xfId="11401" xr:uid="{1F880492-DDCA-4733-A76E-49E3827AED92}"/>
    <cellStyle name="Comma 4 3 2 2 3 2 4" xfId="19837" xr:uid="{3B481D41-FF46-4C7A-AA3C-61787F72B49C}"/>
    <cellStyle name="Comma 4 3 2 2 3 3" xfId="5032" xr:uid="{00000000-0005-0000-0000-000031090000}"/>
    <cellStyle name="Comma 4 3 2 2 3 3 2" xfId="13474" xr:uid="{75723337-6D3C-4EC4-B6CC-63962E16A4C2}"/>
    <cellStyle name="Comma 4 3 2 2 3 3 3" xfId="21909" xr:uid="{B0D95C54-CAB3-4DD7-A71D-38D1B93C8350}"/>
    <cellStyle name="Comma 4 3 2 2 3 4" xfId="9256" xr:uid="{565B267B-85EA-49E7-80A6-C05C03721828}"/>
    <cellStyle name="Comma 4 3 2 2 3 5" xfId="17692" xr:uid="{4F71B785-58EE-418A-9812-959928FC71D8}"/>
    <cellStyle name="Comma 4 3 2 2 4" xfId="1136" xr:uid="{00000000-0005-0000-0000-000032090000}"/>
    <cellStyle name="Comma 4 3 2 2 4 2" xfId="3367" xr:uid="{00000000-0005-0000-0000-000033090000}"/>
    <cellStyle name="Comma 4 3 2 2 4 2 2" xfId="7590" xr:uid="{00000000-0005-0000-0000-000034090000}"/>
    <cellStyle name="Comma 4 3 2 2 4 2 2 2" xfId="16032" xr:uid="{875389A1-661B-4C26-A331-AAAEE002E3B4}"/>
    <cellStyle name="Comma 4 3 2 2 4 2 2 3" xfId="24467" xr:uid="{6BC18CDB-C0A0-4764-93B1-6C1DEC416B1D}"/>
    <cellStyle name="Comma 4 3 2 2 4 2 3" xfId="11814" xr:uid="{1BD2AD08-BD2D-4B6C-A221-330D1CEDE25D}"/>
    <cellStyle name="Comma 4 3 2 2 4 2 4" xfId="20250" xr:uid="{622D054B-56FA-4024-8E14-5F6CF1BA4846}"/>
    <cellStyle name="Comma 4 3 2 2 4 3" xfId="5445" xr:uid="{00000000-0005-0000-0000-000035090000}"/>
    <cellStyle name="Comma 4 3 2 2 4 3 2" xfId="13887" xr:uid="{BA704476-4374-480B-96CC-6F8A0A8E6D65}"/>
    <cellStyle name="Comma 4 3 2 2 4 3 3" xfId="22322" xr:uid="{51B7F817-2924-4035-933F-5B2C34FC3AD1}"/>
    <cellStyle name="Comma 4 3 2 2 4 4" xfId="9669" xr:uid="{D83C1D44-ABB8-48F1-BC0C-238B440370F3}"/>
    <cellStyle name="Comma 4 3 2 2 4 5" xfId="18105" xr:uid="{CCF2E192-2CB7-4813-ACBB-BBF6C95B722B}"/>
    <cellStyle name="Comma 4 3 2 2 5" xfId="1550" xr:uid="{00000000-0005-0000-0000-000036090000}"/>
    <cellStyle name="Comma 4 3 2 2 5 2" xfId="3780" xr:uid="{00000000-0005-0000-0000-000037090000}"/>
    <cellStyle name="Comma 4 3 2 2 5 2 2" xfId="8003" xr:uid="{00000000-0005-0000-0000-000038090000}"/>
    <cellStyle name="Comma 4 3 2 2 5 2 2 2" xfId="16445" xr:uid="{B018A0F3-B014-4951-8069-23075E18FF68}"/>
    <cellStyle name="Comma 4 3 2 2 5 2 2 3" xfId="24880" xr:uid="{C6FD3230-CFC6-47C2-9247-A9E8A9B3D561}"/>
    <cellStyle name="Comma 4 3 2 2 5 2 3" xfId="12227" xr:uid="{2EA60F1B-D80A-40B3-B539-9C5B9A2309B4}"/>
    <cellStyle name="Comma 4 3 2 2 5 2 4" xfId="20663" xr:uid="{693BAEFE-1AA8-43A6-9E52-C00AE63AE243}"/>
    <cellStyle name="Comma 4 3 2 2 5 3" xfId="5858" xr:uid="{00000000-0005-0000-0000-000039090000}"/>
    <cellStyle name="Comma 4 3 2 2 5 3 2" xfId="14300" xr:uid="{8A5EA726-86FF-46F1-A15B-403D130669DC}"/>
    <cellStyle name="Comma 4 3 2 2 5 3 3" xfId="22735" xr:uid="{B6D0DEB9-8546-4FF8-929F-4CD0D30F257D}"/>
    <cellStyle name="Comma 4 3 2 2 5 4" xfId="10082" xr:uid="{B4B9B019-B311-4F54-A146-9A92D1D1424F}"/>
    <cellStyle name="Comma 4 3 2 2 5 5" xfId="18518" xr:uid="{CF107AF2-F88E-4656-B7A8-0958BCEC3479}"/>
    <cellStyle name="Comma 4 3 2 2 6" xfId="1964" xr:uid="{00000000-0005-0000-0000-00003A090000}"/>
    <cellStyle name="Comma 4 3 2 2 6 2" xfId="4193" xr:uid="{00000000-0005-0000-0000-00003B090000}"/>
    <cellStyle name="Comma 4 3 2 2 6 2 2" xfId="8416" xr:uid="{00000000-0005-0000-0000-00003C090000}"/>
    <cellStyle name="Comma 4 3 2 2 6 2 2 2" xfId="16858" xr:uid="{8E1A376D-7545-4F2A-AFF7-630C783B7930}"/>
    <cellStyle name="Comma 4 3 2 2 6 2 2 3" xfId="25293" xr:uid="{3E39F54F-AEC4-48EA-9A10-1794949F1A82}"/>
    <cellStyle name="Comma 4 3 2 2 6 2 3" xfId="12640" xr:uid="{9BBEE708-80CA-4F45-84FB-C24638D05D18}"/>
    <cellStyle name="Comma 4 3 2 2 6 2 4" xfId="21076" xr:uid="{B1C38540-A73F-4D0B-9F56-E299EAA49812}"/>
    <cellStyle name="Comma 4 3 2 2 6 3" xfId="6271" xr:uid="{00000000-0005-0000-0000-00003D090000}"/>
    <cellStyle name="Comma 4 3 2 2 6 3 2" xfId="14713" xr:uid="{EDDA8094-E107-4B07-8CDE-4A56BDAD24BD}"/>
    <cellStyle name="Comma 4 3 2 2 6 3 3" xfId="23148" xr:uid="{36F5E9C5-95FE-42E4-A667-EB76FEF8F231}"/>
    <cellStyle name="Comma 4 3 2 2 6 4" xfId="10495" xr:uid="{8CCC4B4D-2C9F-4C58-8C61-DE044932D181}"/>
    <cellStyle name="Comma 4 3 2 2 6 5" xfId="18931" xr:uid="{29B0D88C-4765-49FC-B905-C3EA896EE448}"/>
    <cellStyle name="Comma 4 3 2 2 7" xfId="2399" xr:uid="{00000000-0005-0000-0000-00003E090000}"/>
    <cellStyle name="Comma 4 3 2 2 7 2" xfId="6684" xr:uid="{00000000-0005-0000-0000-00003F090000}"/>
    <cellStyle name="Comma 4 3 2 2 7 2 2" xfId="15126" xr:uid="{7352818B-C0FE-4439-A3D3-F222266E280E}"/>
    <cellStyle name="Comma 4 3 2 2 7 2 3" xfId="23561" xr:uid="{7BF335CA-78CD-49E2-BAAD-B867FE4C16AC}"/>
    <cellStyle name="Comma 4 3 2 2 7 3" xfId="10908" xr:uid="{21C3D3A7-B4B7-4AED-8E43-AF0772867FE5}"/>
    <cellStyle name="Comma 4 3 2 2 7 4" xfId="19344" xr:uid="{4B46AA51-0840-4A4C-86D3-0723FDA07694}"/>
    <cellStyle name="Comma 4 3 2 2 8" xfId="2364" xr:uid="{00000000-0005-0000-0000-000040090000}"/>
    <cellStyle name="Comma 4 3 2 2 9" xfId="2777" xr:uid="{00000000-0005-0000-0000-000041090000}"/>
    <cellStyle name="Comma 4 3 2 2 9 2" xfId="7001" xr:uid="{00000000-0005-0000-0000-000042090000}"/>
    <cellStyle name="Comma 4 3 2 2 9 2 2" xfId="15443" xr:uid="{61CD96AB-969C-4F1D-905A-F05882D93953}"/>
    <cellStyle name="Comma 4 3 2 2 9 2 3" xfId="23878" xr:uid="{C7B5B3C8-E853-4596-A090-3270C167C1F0}"/>
    <cellStyle name="Comma 4 3 2 2 9 3" xfId="11225" xr:uid="{3B03B0CB-24D0-4274-B246-60982565A0CF}"/>
    <cellStyle name="Comma 4 3 2 2 9 4" xfId="19661" xr:uid="{0989940A-68E2-4DFE-9109-676050B6B1D5}"/>
    <cellStyle name="Comma 4 3 2 3" xfId="148" xr:uid="{00000000-0005-0000-0000-000043090000}"/>
    <cellStyle name="Comma 4 3 2 3 10" xfId="8844" xr:uid="{1A14008A-D54E-480B-BE28-470C9F06EAAB}"/>
    <cellStyle name="Comma 4 3 2 3 11" xfId="17280" xr:uid="{30FDB0CA-B0DA-4320-9E91-1A9904F6AB10}"/>
    <cellStyle name="Comma 4 3 2 3 2" xfId="685" xr:uid="{00000000-0005-0000-0000-000044090000}"/>
    <cellStyle name="Comma 4 3 2 3 2 2" xfId="2956" xr:uid="{00000000-0005-0000-0000-000045090000}"/>
    <cellStyle name="Comma 4 3 2 3 2 2 2" xfId="7179" xr:uid="{00000000-0005-0000-0000-000046090000}"/>
    <cellStyle name="Comma 4 3 2 3 2 2 2 2" xfId="15621" xr:uid="{CF73F9F1-9BBC-40FA-B4AB-FF19ED7B0535}"/>
    <cellStyle name="Comma 4 3 2 3 2 2 2 3" xfId="24056" xr:uid="{8811793C-6088-4C1D-9CC4-A845A62DEAE5}"/>
    <cellStyle name="Comma 4 3 2 3 2 2 3" xfId="11403" xr:uid="{C2765A5E-B884-4D05-A48D-B1F3C95E9D6B}"/>
    <cellStyle name="Comma 4 3 2 3 2 2 4" xfId="19839" xr:uid="{B8BA0CC1-43F4-4375-8ED7-7EB97FF1AD2E}"/>
    <cellStyle name="Comma 4 3 2 3 2 3" xfId="5034" xr:uid="{00000000-0005-0000-0000-000047090000}"/>
    <cellStyle name="Comma 4 3 2 3 2 3 2" xfId="13476" xr:uid="{5902C9DA-7A50-4CE4-A58A-F4471E2E9F31}"/>
    <cellStyle name="Comma 4 3 2 3 2 3 3" xfId="21911" xr:uid="{8156DC8E-A131-401B-BFC0-387AF8C8AD0F}"/>
    <cellStyle name="Comma 4 3 2 3 2 4" xfId="9258" xr:uid="{41BD59EA-AD30-42D2-9D5E-19514489DE2D}"/>
    <cellStyle name="Comma 4 3 2 3 2 5" xfId="17694" xr:uid="{639756ED-B5EC-4475-841C-B55E0BDC310E}"/>
    <cellStyle name="Comma 4 3 2 3 3" xfId="1138" xr:uid="{00000000-0005-0000-0000-000048090000}"/>
    <cellStyle name="Comma 4 3 2 3 3 2" xfId="3369" xr:uid="{00000000-0005-0000-0000-000049090000}"/>
    <cellStyle name="Comma 4 3 2 3 3 2 2" xfId="7592" xr:uid="{00000000-0005-0000-0000-00004A090000}"/>
    <cellStyle name="Comma 4 3 2 3 3 2 2 2" xfId="16034" xr:uid="{98A922F4-141F-4938-8D35-6917FD9C5936}"/>
    <cellStyle name="Comma 4 3 2 3 3 2 2 3" xfId="24469" xr:uid="{8F0EE162-0184-4ECB-A81D-4097F8C613B6}"/>
    <cellStyle name="Comma 4 3 2 3 3 2 3" xfId="11816" xr:uid="{C00685DA-03E2-45DD-BE1F-3ED6262A6019}"/>
    <cellStyle name="Comma 4 3 2 3 3 2 4" xfId="20252" xr:uid="{E516A4AC-B498-4D31-84C8-EFAA9BF446B8}"/>
    <cellStyle name="Comma 4 3 2 3 3 3" xfId="5447" xr:uid="{00000000-0005-0000-0000-00004B090000}"/>
    <cellStyle name="Comma 4 3 2 3 3 3 2" xfId="13889" xr:uid="{DC486D3F-F61A-4347-8D1D-DF4CADA78A1B}"/>
    <cellStyle name="Comma 4 3 2 3 3 3 3" xfId="22324" xr:uid="{28B1B5C8-F715-4130-BD30-B10735ADCD7F}"/>
    <cellStyle name="Comma 4 3 2 3 3 4" xfId="9671" xr:uid="{ECB56837-FF09-4754-A7C6-5DBC4DD4EAF7}"/>
    <cellStyle name="Comma 4 3 2 3 3 5" xfId="18107" xr:uid="{E3DB944A-84D0-4320-B0E4-BA730C89A893}"/>
    <cellStyle name="Comma 4 3 2 3 4" xfId="1552" xr:uid="{00000000-0005-0000-0000-00004C090000}"/>
    <cellStyle name="Comma 4 3 2 3 4 2" xfId="3782" xr:uid="{00000000-0005-0000-0000-00004D090000}"/>
    <cellStyle name="Comma 4 3 2 3 4 2 2" xfId="8005" xr:uid="{00000000-0005-0000-0000-00004E090000}"/>
    <cellStyle name="Comma 4 3 2 3 4 2 2 2" xfId="16447" xr:uid="{950C8015-4EE0-48A6-B2B0-3319140D3346}"/>
    <cellStyle name="Comma 4 3 2 3 4 2 2 3" xfId="24882" xr:uid="{32930CF4-3FD3-4E75-9469-B947D7D5B7B6}"/>
    <cellStyle name="Comma 4 3 2 3 4 2 3" xfId="12229" xr:uid="{1754D193-814F-404E-89A5-B63411D32471}"/>
    <cellStyle name="Comma 4 3 2 3 4 2 4" xfId="20665" xr:uid="{C224DAF0-430C-401D-9979-0586AB74AD2D}"/>
    <cellStyle name="Comma 4 3 2 3 4 3" xfId="5860" xr:uid="{00000000-0005-0000-0000-00004F090000}"/>
    <cellStyle name="Comma 4 3 2 3 4 3 2" xfId="14302" xr:uid="{66C4B9CB-5C8B-4D9C-BBC8-28EA70F9447B}"/>
    <cellStyle name="Comma 4 3 2 3 4 3 3" xfId="22737" xr:uid="{F2EA8973-C770-42D4-84B2-BE3AA3200A6C}"/>
    <cellStyle name="Comma 4 3 2 3 4 4" xfId="10084" xr:uid="{B8B47328-1D90-45A4-BEAF-2FD102960B09}"/>
    <cellStyle name="Comma 4 3 2 3 4 5" xfId="18520" xr:uid="{B5E79516-5BB8-441A-B7F9-DEFA0DF31FF4}"/>
    <cellStyle name="Comma 4 3 2 3 5" xfId="1966" xr:uid="{00000000-0005-0000-0000-000050090000}"/>
    <cellStyle name="Comma 4 3 2 3 5 2" xfId="4195" xr:uid="{00000000-0005-0000-0000-000051090000}"/>
    <cellStyle name="Comma 4 3 2 3 5 2 2" xfId="8418" xr:uid="{00000000-0005-0000-0000-000052090000}"/>
    <cellStyle name="Comma 4 3 2 3 5 2 2 2" xfId="16860" xr:uid="{3BF41D76-0679-4346-B0E9-EB77D661C6EC}"/>
    <cellStyle name="Comma 4 3 2 3 5 2 2 3" xfId="25295" xr:uid="{D6E5FDB2-6B82-435C-8AA8-D06283FB4579}"/>
    <cellStyle name="Comma 4 3 2 3 5 2 3" xfId="12642" xr:uid="{B07C40D1-C1F4-44BA-B86B-1B0F697871E1}"/>
    <cellStyle name="Comma 4 3 2 3 5 2 4" xfId="21078" xr:uid="{584E4CDF-2668-43D4-890C-6F58AEFD8B0A}"/>
    <cellStyle name="Comma 4 3 2 3 5 3" xfId="6273" xr:uid="{00000000-0005-0000-0000-000053090000}"/>
    <cellStyle name="Comma 4 3 2 3 5 3 2" xfId="14715" xr:uid="{D7231973-BE9F-44A1-85CC-7B10FBC5D65B}"/>
    <cellStyle name="Comma 4 3 2 3 5 3 3" xfId="23150" xr:uid="{5D181627-FB5D-409B-B7DE-D23099BF0A5A}"/>
    <cellStyle name="Comma 4 3 2 3 5 4" xfId="10497" xr:uid="{4DAB9848-CB37-4611-A631-E23D004FBD59}"/>
    <cellStyle name="Comma 4 3 2 3 5 5" xfId="18933" xr:uid="{F07E9C84-B175-47FE-BA5C-C39F97975304}"/>
    <cellStyle name="Comma 4 3 2 3 6" xfId="2401" xr:uid="{00000000-0005-0000-0000-000054090000}"/>
    <cellStyle name="Comma 4 3 2 3 6 2" xfId="6686" xr:uid="{00000000-0005-0000-0000-000055090000}"/>
    <cellStyle name="Comma 4 3 2 3 6 2 2" xfId="15128" xr:uid="{A686BC8B-5AE7-4473-856B-FEFE9E9F8F8B}"/>
    <cellStyle name="Comma 4 3 2 3 6 2 3" xfId="23563" xr:uid="{2289DDF6-D384-42F4-A111-86E6750656FD}"/>
    <cellStyle name="Comma 4 3 2 3 6 3" xfId="10910" xr:uid="{5A63D6DC-0099-49C4-ABCB-2DE0666C6BA8}"/>
    <cellStyle name="Comma 4 3 2 3 6 4" xfId="19346" xr:uid="{3C7EFA1D-AAFE-4B05-A3AF-64EE1390719F}"/>
    <cellStyle name="Comma 4 3 2 3 7" xfId="2362" xr:uid="{00000000-0005-0000-0000-000056090000}"/>
    <cellStyle name="Comma 4 3 2 3 8" xfId="2779" xr:uid="{00000000-0005-0000-0000-000057090000}"/>
    <cellStyle name="Comma 4 3 2 3 8 2" xfId="7003" xr:uid="{00000000-0005-0000-0000-000058090000}"/>
    <cellStyle name="Comma 4 3 2 3 8 2 2" xfId="15445" xr:uid="{300B4667-F000-4418-A4B0-07D453CF4FC3}"/>
    <cellStyle name="Comma 4 3 2 3 8 2 3" xfId="23880" xr:uid="{DF6B5193-69CB-48DB-81FD-D0EF9C9E8BE0}"/>
    <cellStyle name="Comma 4 3 2 3 8 3" xfId="11227" xr:uid="{693479B0-9726-46A4-922D-AD11DE7AD315}"/>
    <cellStyle name="Comma 4 3 2 3 8 4" xfId="19663" xr:uid="{CDD8BA62-4E4D-4492-A883-533244EA76A5}"/>
    <cellStyle name="Comma 4 3 2 3 9" xfId="4620" xr:uid="{00000000-0005-0000-0000-000059090000}"/>
    <cellStyle name="Comma 4 3 2 3 9 2" xfId="13062" xr:uid="{4E6B9E01-8BCF-4537-8375-EC083E6245F4}"/>
    <cellStyle name="Comma 4 3 2 3 9 3" xfId="21497" xr:uid="{214C0086-440C-41C9-A834-D67D02896171}"/>
    <cellStyle name="Comma 4 3 2 4" xfId="682" xr:uid="{00000000-0005-0000-0000-00005A090000}"/>
    <cellStyle name="Comma 4 3 2 4 2" xfId="2953" xr:uid="{00000000-0005-0000-0000-00005B090000}"/>
    <cellStyle name="Comma 4 3 2 4 2 2" xfId="7176" xr:uid="{00000000-0005-0000-0000-00005C090000}"/>
    <cellStyle name="Comma 4 3 2 4 2 2 2" xfId="15618" xr:uid="{3A4042DE-0C61-4FAD-830A-85E82B1C28AA}"/>
    <cellStyle name="Comma 4 3 2 4 2 2 3" xfId="24053" xr:uid="{2462FB8F-0710-4158-A148-97107185C976}"/>
    <cellStyle name="Comma 4 3 2 4 2 3" xfId="11400" xr:uid="{1E7EE208-EBF0-4E03-BF2E-FEBEBF039541}"/>
    <cellStyle name="Comma 4 3 2 4 2 4" xfId="19836" xr:uid="{9486A239-3D37-4B2F-8327-14F9116C39BE}"/>
    <cellStyle name="Comma 4 3 2 4 3" xfId="5031" xr:uid="{00000000-0005-0000-0000-00005D090000}"/>
    <cellStyle name="Comma 4 3 2 4 3 2" xfId="13473" xr:uid="{A0CC44C3-A023-4042-9416-B9F1A489E5E4}"/>
    <cellStyle name="Comma 4 3 2 4 3 3" xfId="21908" xr:uid="{127A520F-4E3A-4883-9BCD-8DA86F08E2E4}"/>
    <cellStyle name="Comma 4 3 2 4 4" xfId="9255" xr:uid="{D26D96BF-1C23-4C48-A86D-CDBA27831681}"/>
    <cellStyle name="Comma 4 3 2 4 5" xfId="17691" xr:uid="{AF71875C-4593-4DBF-AB19-708D605378D4}"/>
    <cellStyle name="Comma 4 3 2 5" xfId="1135" xr:uid="{00000000-0005-0000-0000-00005E090000}"/>
    <cellStyle name="Comma 4 3 2 5 2" xfId="3366" xr:uid="{00000000-0005-0000-0000-00005F090000}"/>
    <cellStyle name="Comma 4 3 2 5 2 2" xfId="7589" xr:uid="{00000000-0005-0000-0000-000060090000}"/>
    <cellStyle name="Comma 4 3 2 5 2 2 2" xfId="16031" xr:uid="{1A6B1EE1-F041-4D5A-8D5E-89AA4678DFCD}"/>
    <cellStyle name="Comma 4 3 2 5 2 2 3" xfId="24466" xr:uid="{2ECDDCA7-F2A5-4DC4-87A6-B03BAC955C9B}"/>
    <cellStyle name="Comma 4 3 2 5 2 3" xfId="11813" xr:uid="{10F15E9C-8A73-4AB4-B368-9590428C43CF}"/>
    <cellStyle name="Comma 4 3 2 5 2 4" xfId="20249" xr:uid="{4540D1D6-D2C5-4802-BCC9-7AE98CB05829}"/>
    <cellStyle name="Comma 4 3 2 5 3" xfId="5444" xr:uid="{00000000-0005-0000-0000-000061090000}"/>
    <cellStyle name="Comma 4 3 2 5 3 2" xfId="13886" xr:uid="{068C4400-E395-4A62-B7D9-E02F983815F8}"/>
    <cellStyle name="Comma 4 3 2 5 3 3" xfId="22321" xr:uid="{47750181-33C4-4450-AB76-B65DE608F1AF}"/>
    <cellStyle name="Comma 4 3 2 5 4" xfId="9668" xr:uid="{59B9E84F-7838-4BFA-AF0E-025652D3CF02}"/>
    <cellStyle name="Comma 4 3 2 5 5" xfId="18104" xr:uid="{CE1A43B4-CFE8-444D-8193-24FC4425D3C5}"/>
    <cellStyle name="Comma 4 3 2 6" xfId="1549" xr:uid="{00000000-0005-0000-0000-000062090000}"/>
    <cellStyle name="Comma 4 3 2 6 2" xfId="3779" xr:uid="{00000000-0005-0000-0000-000063090000}"/>
    <cellStyle name="Comma 4 3 2 6 2 2" xfId="8002" xr:uid="{00000000-0005-0000-0000-000064090000}"/>
    <cellStyle name="Comma 4 3 2 6 2 2 2" xfId="16444" xr:uid="{8553F47B-1933-4442-829C-8291F877D0F9}"/>
    <cellStyle name="Comma 4 3 2 6 2 2 3" xfId="24879" xr:uid="{860390A9-5767-4002-A376-1CB96B06E9CA}"/>
    <cellStyle name="Comma 4 3 2 6 2 3" xfId="12226" xr:uid="{E113AC87-F781-47C4-9AE5-7F2A9BBE5CCE}"/>
    <cellStyle name="Comma 4 3 2 6 2 4" xfId="20662" xr:uid="{66E42E05-2F6E-4B56-B766-54A94F7C8BDA}"/>
    <cellStyle name="Comma 4 3 2 6 3" xfId="5857" xr:uid="{00000000-0005-0000-0000-000065090000}"/>
    <cellStyle name="Comma 4 3 2 6 3 2" xfId="14299" xr:uid="{B22B9B3C-6C5A-49EE-9AD5-2FF2E135A39E}"/>
    <cellStyle name="Comma 4 3 2 6 3 3" xfId="22734" xr:uid="{B40B8CEF-97B1-4AF2-85C1-A4155FE136E5}"/>
    <cellStyle name="Comma 4 3 2 6 4" xfId="10081" xr:uid="{AC9517A2-6B66-4AAB-AB1D-19746EA61EC8}"/>
    <cellStyle name="Comma 4 3 2 6 5" xfId="18517" xr:uid="{5C14972A-32F6-4C88-A963-C4026445B64A}"/>
    <cellStyle name="Comma 4 3 2 7" xfId="1963" xr:uid="{00000000-0005-0000-0000-000066090000}"/>
    <cellStyle name="Comma 4 3 2 7 2" xfId="4192" xr:uid="{00000000-0005-0000-0000-000067090000}"/>
    <cellStyle name="Comma 4 3 2 7 2 2" xfId="8415" xr:uid="{00000000-0005-0000-0000-000068090000}"/>
    <cellStyle name="Comma 4 3 2 7 2 2 2" xfId="16857" xr:uid="{8B1A74DB-CCA7-4AE9-9439-51EA0E8426CF}"/>
    <cellStyle name="Comma 4 3 2 7 2 2 3" xfId="25292" xr:uid="{395EDE91-3F51-45AE-A22E-374A51E19A96}"/>
    <cellStyle name="Comma 4 3 2 7 2 3" xfId="12639" xr:uid="{4403B9D0-E27F-4BA2-8ED1-55FADE6E8A1B}"/>
    <cellStyle name="Comma 4 3 2 7 2 4" xfId="21075" xr:uid="{3F254006-7789-43B2-AD1E-F2F73A6F03B0}"/>
    <cellStyle name="Comma 4 3 2 7 3" xfId="6270" xr:uid="{00000000-0005-0000-0000-000069090000}"/>
    <cellStyle name="Comma 4 3 2 7 3 2" xfId="14712" xr:uid="{E299C89D-E918-4F62-A9EB-EF42718B9B68}"/>
    <cellStyle name="Comma 4 3 2 7 3 3" xfId="23147" xr:uid="{DE2AFD6E-0F25-4402-8580-9892CA597CA3}"/>
    <cellStyle name="Comma 4 3 2 7 4" xfId="10494" xr:uid="{DC7286AF-3816-44F4-BB1B-24D1D3F55B5C}"/>
    <cellStyle name="Comma 4 3 2 7 5" xfId="18930" xr:uid="{DD4BF25D-A582-4926-B756-DB93251A87B1}"/>
    <cellStyle name="Comma 4 3 2 8" xfId="2398" xr:uid="{00000000-0005-0000-0000-00006A090000}"/>
    <cellStyle name="Comma 4 3 2 8 2" xfId="6683" xr:uid="{00000000-0005-0000-0000-00006B090000}"/>
    <cellStyle name="Comma 4 3 2 8 2 2" xfId="15125" xr:uid="{CCFDC21C-F5D9-4621-A6C7-FCC3980E7FAA}"/>
    <cellStyle name="Comma 4 3 2 8 2 3" xfId="23560" xr:uid="{57D32E4C-BAD8-4CEE-A6E2-91E8A8CE3491}"/>
    <cellStyle name="Comma 4 3 2 8 3" xfId="10907" xr:uid="{82B94491-EE3D-449B-AC86-64CC303CC725}"/>
    <cellStyle name="Comma 4 3 2 8 4" xfId="19343" xr:uid="{5407109C-3DD9-49F5-A5D1-193A12F8EFB3}"/>
    <cellStyle name="Comma 4 3 2 9" xfId="2365" xr:uid="{00000000-0005-0000-0000-00006C090000}"/>
    <cellStyle name="Comma 4 3 3" xfId="149" xr:uid="{00000000-0005-0000-0000-00006D090000}"/>
    <cellStyle name="Comma 4 3 3 10" xfId="4621" xr:uid="{00000000-0005-0000-0000-00006E090000}"/>
    <cellStyle name="Comma 4 3 3 10 2" xfId="13063" xr:uid="{3B4985F8-1EA9-4003-8B8C-199154C8286A}"/>
    <cellStyle name="Comma 4 3 3 10 3" xfId="21498" xr:uid="{A2731893-B3C5-42B8-93FE-0601E80BFBA5}"/>
    <cellStyle name="Comma 4 3 3 11" xfId="8845" xr:uid="{BFD5CA29-CD09-475D-AFAE-8772A196CF49}"/>
    <cellStyle name="Comma 4 3 3 12" xfId="17281" xr:uid="{6CC8332E-DD26-4680-AD68-B72C3EE15066}"/>
    <cellStyle name="Comma 4 3 3 2" xfId="150" xr:uid="{00000000-0005-0000-0000-00006F090000}"/>
    <cellStyle name="Comma 4 3 3 2 10" xfId="8846" xr:uid="{A249DC28-84F6-49BD-9D6A-7FE1872E5DE7}"/>
    <cellStyle name="Comma 4 3 3 2 11" xfId="17282" xr:uid="{D80D34BE-8E95-4050-856B-DCF6D00A97E0}"/>
    <cellStyle name="Comma 4 3 3 2 2" xfId="687" xr:uid="{00000000-0005-0000-0000-000070090000}"/>
    <cellStyle name="Comma 4 3 3 2 2 2" xfId="2958" xr:uid="{00000000-0005-0000-0000-000071090000}"/>
    <cellStyle name="Comma 4 3 3 2 2 2 2" xfId="7181" xr:uid="{00000000-0005-0000-0000-000072090000}"/>
    <cellStyle name="Comma 4 3 3 2 2 2 2 2" xfId="15623" xr:uid="{E2095B8C-86FE-4D3F-8251-6E2EAE19E52E}"/>
    <cellStyle name="Comma 4 3 3 2 2 2 2 3" xfId="24058" xr:uid="{B40BE28F-6083-4D6A-9DC1-BAAF9C3B4CBB}"/>
    <cellStyle name="Comma 4 3 3 2 2 2 3" xfId="11405" xr:uid="{D07A9959-5A76-43C9-B487-828A9C05483F}"/>
    <cellStyle name="Comma 4 3 3 2 2 2 4" xfId="19841" xr:uid="{2A48F80E-FDBE-47A2-A0A2-03DE738921CB}"/>
    <cellStyle name="Comma 4 3 3 2 2 3" xfId="5036" xr:uid="{00000000-0005-0000-0000-000073090000}"/>
    <cellStyle name="Comma 4 3 3 2 2 3 2" xfId="13478" xr:uid="{670C3FA2-6788-4252-805B-4952E87B3ACD}"/>
    <cellStyle name="Comma 4 3 3 2 2 3 3" xfId="21913" xr:uid="{7C1F00F8-4623-4435-B890-67AC8C571911}"/>
    <cellStyle name="Comma 4 3 3 2 2 4" xfId="9260" xr:uid="{F9C615B3-20DF-402B-B8A7-86DFF5BAB555}"/>
    <cellStyle name="Comma 4 3 3 2 2 5" xfId="17696" xr:uid="{5C49C97A-BA5D-4620-A400-E26DB42F5363}"/>
    <cellStyle name="Comma 4 3 3 2 3" xfId="1140" xr:uid="{00000000-0005-0000-0000-000074090000}"/>
    <cellStyle name="Comma 4 3 3 2 3 2" xfId="3371" xr:uid="{00000000-0005-0000-0000-000075090000}"/>
    <cellStyle name="Comma 4 3 3 2 3 2 2" xfId="7594" xr:uid="{00000000-0005-0000-0000-000076090000}"/>
    <cellStyle name="Comma 4 3 3 2 3 2 2 2" xfId="16036" xr:uid="{322C1C1B-3F6C-4411-A922-648CDC002323}"/>
    <cellStyle name="Comma 4 3 3 2 3 2 2 3" xfId="24471" xr:uid="{97CB5B20-3B41-4A64-A7FB-8324B0EA27BC}"/>
    <cellStyle name="Comma 4 3 3 2 3 2 3" xfId="11818" xr:uid="{EB04DBD8-F813-4952-8484-6CB0E96A16C3}"/>
    <cellStyle name="Comma 4 3 3 2 3 2 4" xfId="20254" xr:uid="{FA18A3C1-6507-4249-9CB7-7A5B8221D2C2}"/>
    <cellStyle name="Comma 4 3 3 2 3 3" xfId="5449" xr:uid="{00000000-0005-0000-0000-000077090000}"/>
    <cellStyle name="Comma 4 3 3 2 3 3 2" xfId="13891" xr:uid="{70CE605E-CFA5-42EE-9779-26D2BF252EEC}"/>
    <cellStyle name="Comma 4 3 3 2 3 3 3" xfId="22326" xr:uid="{29E77272-4C10-44A7-895F-F07A3AB27942}"/>
    <cellStyle name="Comma 4 3 3 2 3 4" xfId="9673" xr:uid="{B6F2A686-D0AD-4FBF-BDA3-D42ED5110D9A}"/>
    <cellStyle name="Comma 4 3 3 2 3 5" xfId="18109" xr:uid="{86AD6005-E193-4AB2-B8B8-BEBC0B8E9F36}"/>
    <cellStyle name="Comma 4 3 3 2 4" xfId="1554" xr:uid="{00000000-0005-0000-0000-000078090000}"/>
    <cellStyle name="Comma 4 3 3 2 4 2" xfId="3784" xr:uid="{00000000-0005-0000-0000-000079090000}"/>
    <cellStyle name="Comma 4 3 3 2 4 2 2" xfId="8007" xr:uid="{00000000-0005-0000-0000-00007A090000}"/>
    <cellStyle name="Comma 4 3 3 2 4 2 2 2" xfId="16449" xr:uid="{5240B12E-412A-4C1F-8CA7-902FCC022408}"/>
    <cellStyle name="Comma 4 3 3 2 4 2 2 3" xfId="24884" xr:uid="{1FAA4E26-0D71-4641-A626-330C947561A5}"/>
    <cellStyle name="Comma 4 3 3 2 4 2 3" xfId="12231" xr:uid="{5A15F34C-AF83-4142-8604-FAA909D8A541}"/>
    <cellStyle name="Comma 4 3 3 2 4 2 4" xfId="20667" xr:uid="{2A438B96-349C-4B13-80AF-B5C09C46F527}"/>
    <cellStyle name="Comma 4 3 3 2 4 3" xfId="5862" xr:uid="{00000000-0005-0000-0000-00007B090000}"/>
    <cellStyle name="Comma 4 3 3 2 4 3 2" xfId="14304" xr:uid="{BF568D90-FBE6-4472-A077-DC0BC626CEC3}"/>
    <cellStyle name="Comma 4 3 3 2 4 3 3" xfId="22739" xr:uid="{EAE31CE8-20C4-4D60-8E84-E33ED0F43FE5}"/>
    <cellStyle name="Comma 4 3 3 2 4 4" xfId="10086" xr:uid="{DB55D3A7-9BDE-4D5F-B2A7-E59BF248097E}"/>
    <cellStyle name="Comma 4 3 3 2 4 5" xfId="18522" xr:uid="{69122C9E-B77B-4739-B334-BFA5136804E4}"/>
    <cellStyle name="Comma 4 3 3 2 5" xfId="1968" xr:uid="{00000000-0005-0000-0000-00007C090000}"/>
    <cellStyle name="Comma 4 3 3 2 5 2" xfId="4197" xr:uid="{00000000-0005-0000-0000-00007D090000}"/>
    <cellStyle name="Comma 4 3 3 2 5 2 2" xfId="8420" xr:uid="{00000000-0005-0000-0000-00007E090000}"/>
    <cellStyle name="Comma 4 3 3 2 5 2 2 2" xfId="16862" xr:uid="{2420B4E0-4941-45EF-B39A-4257EFD7E0E5}"/>
    <cellStyle name="Comma 4 3 3 2 5 2 2 3" xfId="25297" xr:uid="{EAF555FF-3CC5-4E2F-825D-3CDA556C9C30}"/>
    <cellStyle name="Comma 4 3 3 2 5 2 3" xfId="12644" xr:uid="{A25FD0CF-5578-4C6D-A2E8-740970CCC837}"/>
    <cellStyle name="Comma 4 3 3 2 5 2 4" xfId="21080" xr:uid="{6B9375F0-72D6-4E84-914E-167887ECB8E8}"/>
    <cellStyle name="Comma 4 3 3 2 5 3" xfId="6275" xr:uid="{00000000-0005-0000-0000-00007F090000}"/>
    <cellStyle name="Comma 4 3 3 2 5 3 2" xfId="14717" xr:uid="{4236AC57-ECBF-44B8-9437-042A01F884B9}"/>
    <cellStyle name="Comma 4 3 3 2 5 3 3" xfId="23152" xr:uid="{F17331E4-55A2-4FB8-A9B5-8B7F7FDD7272}"/>
    <cellStyle name="Comma 4 3 3 2 5 4" xfId="10499" xr:uid="{496CD6F7-1B08-4F38-8F23-A704FD51CC47}"/>
    <cellStyle name="Comma 4 3 3 2 5 5" xfId="18935" xr:uid="{9A0AE26C-1EB1-4A85-B7C5-7002D2144628}"/>
    <cellStyle name="Comma 4 3 3 2 6" xfId="2403" xr:uid="{00000000-0005-0000-0000-000080090000}"/>
    <cellStyle name="Comma 4 3 3 2 6 2" xfId="6688" xr:uid="{00000000-0005-0000-0000-000081090000}"/>
    <cellStyle name="Comma 4 3 3 2 6 2 2" xfId="15130" xr:uid="{9E1C90B4-BC88-45FD-86B9-C4984056AED7}"/>
    <cellStyle name="Comma 4 3 3 2 6 2 3" xfId="23565" xr:uid="{9BBD066C-C142-4E91-8ACC-F8E961C5BCB8}"/>
    <cellStyle name="Comma 4 3 3 2 6 3" xfId="10912" xr:uid="{707C3A08-FAB2-494B-BBD4-F8B80B5CC38A}"/>
    <cellStyle name="Comma 4 3 3 2 6 4" xfId="19348" xr:uid="{7477ED85-0FB8-49F1-9964-AC9C54BA3A29}"/>
    <cellStyle name="Comma 4 3 3 2 7" xfId="2360" xr:uid="{00000000-0005-0000-0000-000082090000}"/>
    <cellStyle name="Comma 4 3 3 2 8" xfId="2781" xr:uid="{00000000-0005-0000-0000-000083090000}"/>
    <cellStyle name="Comma 4 3 3 2 8 2" xfId="7005" xr:uid="{00000000-0005-0000-0000-000084090000}"/>
    <cellStyle name="Comma 4 3 3 2 8 2 2" xfId="15447" xr:uid="{614B1040-7348-453C-AEE0-67D275B1426D}"/>
    <cellStyle name="Comma 4 3 3 2 8 2 3" xfId="23882" xr:uid="{80DA47E6-FED0-453A-927E-5F8703881EA3}"/>
    <cellStyle name="Comma 4 3 3 2 8 3" xfId="11229" xr:uid="{D0CFE309-6F5E-4518-8CF6-37B397B64693}"/>
    <cellStyle name="Comma 4 3 3 2 8 4" xfId="19665" xr:uid="{03937B40-F13A-447D-8FC8-506E18A848FD}"/>
    <cellStyle name="Comma 4 3 3 2 9" xfId="4622" xr:uid="{00000000-0005-0000-0000-000085090000}"/>
    <cellStyle name="Comma 4 3 3 2 9 2" xfId="13064" xr:uid="{FDF2C134-44C2-4D31-8674-32FF97E300F2}"/>
    <cellStyle name="Comma 4 3 3 2 9 3" xfId="21499" xr:uid="{FB9943B0-705A-47EC-A523-B50AD109E688}"/>
    <cellStyle name="Comma 4 3 3 3" xfId="686" xr:uid="{00000000-0005-0000-0000-000086090000}"/>
    <cellStyle name="Comma 4 3 3 3 2" xfId="2957" xr:uid="{00000000-0005-0000-0000-000087090000}"/>
    <cellStyle name="Comma 4 3 3 3 2 2" xfId="7180" xr:uid="{00000000-0005-0000-0000-000088090000}"/>
    <cellStyle name="Comma 4 3 3 3 2 2 2" xfId="15622" xr:uid="{E8F99102-8935-437A-9237-B14BD5772E34}"/>
    <cellStyle name="Comma 4 3 3 3 2 2 3" xfId="24057" xr:uid="{66113E23-6AAC-41E6-A4B6-DC54729BAE02}"/>
    <cellStyle name="Comma 4 3 3 3 2 3" xfId="11404" xr:uid="{F1D37D9C-F1CA-4D54-895D-C42A12C12EF2}"/>
    <cellStyle name="Comma 4 3 3 3 2 4" xfId="19840" xr:uid="{B868E1D2-AA9D-479D-A282-045DE7920787}"/>
    <cellStyle name="Comma 4 3 3 3 3" xfId="5035" xr:uid="{00000000-0005-0000-0000-000089090000}"/>
    <cellStyle name="Comma 4 3 3 3 3 2" xfId="13477" xr:uid="{FF0979B5-431B-425B-97CA-020D40AD5176}"/>
    <cellStyle name="Comma 4 3 3 3 3 3" xfId="21912" xr:uid="{C1B0F7D8-B85D-4C5F-9458-C022DDE3C796}"/>
    <cellStyle name="Comma 4 3 3 3 4" xfId="9259" xr:uid="{E208132B-23EA-4EF2-910C-36A9839D7775}"/>
    <cellStyle name="Comma 4 3 3 3 5" xfId="17695" xr:uid="{3C5F2BFB-C544-4521-9F76-FD5F24F8D30F}"/>
    <cellStyle name="Comma 4 3 3 4" xfId="1139" xr:uid="{00000000-0005-0000-0000-00008A090000}"/>
    <cellStyle name="Comma 4 3 3 4 2" xfId="3370" xr:uid="{00000000-0005-0000-0000-00008B090000}"/>
    <cellStyle name="Comma 4 3 3 4 2 2" xfId="7593" xr:uid="{00000000-0005-0000-0000-00008C090000}"/>
    <cellStyle name="Comma 4 3 3 4 2 2 2" xfId="16035" xr:uid="{82F55D26-0020-446E-B16F-3672E114C140}"/>
    <cellStyle name="Comma 4 3 3 4 2 2 3" xfId="24470" xr:uid="{6DA05529-DF01-41C0-A65B-7778C4C90928}"/>
    <cellStyle name="Comma 4 3 3 4 2 3" xfId="11817" xr:uid="{4FAAD757-3471-453D-843A-6DDF0351828B}"/>
    <cellStyle name="Comma 4 3 3 4 2 4" xfId="20253" xr:uid="{47B4E3E0-A10E-4AAF-BC68-39A6FD25546F}"/>
    <cellStyle name="Comma 4 3 3 4 3" xfId="5448" xr:uid="{00000000-0005-0000-0000-00008D090000}"/>
    <cellStyle name="Comma 4 3 3 4 3 2" xfId="13890" xr:uid="{48E64715-BCD6-408C-84A1-37B6D49DDDA8}"/>
    <cellStyle name="Comma 4 3 3 4 3 3" xfId="22325" xr:uid="{8C2E65F7-8E95-43B5-9076-EA0848144829}"/>
    <cellStyle name="Comma 4 3 3 4 4" xfId="9672" xr:uid="{6D53B5D9-456B-4703-81FA-50B7BEE9F588}"/>
    <cellStyle name="Comma 4 3 3 4 5" xfId="18108" xr:uid="{D8CA8DF9-25A4-4D12-933D-6A542C58AEF7}"/>
    <cellStyle name="Comma 4 3 3 5" xfId="1553" xr:uid="{00000000-0005-0000-0000-00008E090000}"/>
    <cellStyle name="Comma 4 3 3 5 2" xfId="3783" xr:uid="{00000000-0005-0000-0000-00008F090000}"/>
    <cellStyle name="Comma 4 3 3 5 2 2" xfId="8006" xr:uid="{00000000-0005-0000-0000-000090090000}"/>
    <cellStyle name="Comma 4 3 3 5 2 2 2" xfId="16448" xr:uid="{9CE5D2DE-BAA9-4FE7-80A9-1C6A4A07B3C0}"/>
    <cellStyle name="Comma 4 3 3 5 2 2 3" xfId="24883" xr:uid="{DEE887BF-EF8A-4B66-AAF9-BAD50F78319F}"/>
    <cellStyle name="Comma 4 3 3 5 2 3" xfId="12230" xr:uid="{6BEAAAA9-AE6B-4922-B4E4-A97F9391BD0F}"/>
    <cellStyle name="Comma 4 3 3 5 2 4" xfId="20666" xr:uid="{F70FB2EB-2C64-48B3-A006-2C16BE652F4E}"/>
    <cellStyle name="Comma 4 3 3 5 3" xfId="5861" xr:uid="{00000000-0005-0000-0000-000091090000}"/>
    <cellStyle name="Comma 4 3 3 5 3 2" xfId="14303" xr:uid="{E58D9737-0A03-4A0D-935C-4FC8BD1370E5}"/>
    <cellStyle name="Comma 4 3 3 5 3 3" xfId="22738" xr:uid="{305C0601-7841-488E-B2CE-469BAB4DD607}"/>
    <cellStyle name="Comma 4 3 3 5 4" xfId="10085" xr:uid="{22A0A44F-6742-4187-8597-DBD786299EF5}"/>
    <cellStyle name="Comma 4 3 3 5 5" xfId="18521" xr:uid="{4D77D83E-B3F6-45C3-8A96-4DB4BCA8D173}"/>
    <cellStyle name="Comma 4 3 3 6" xfId="1967" xr:uid="{00000000-0005-0000-0000-000092090000}"/>
    <cellStyle name="Comma 4 3 3 6 2" xfId="4196" xr:uid="{00000000-0005-0000-0000-000093090000}"/>
    <cellStyle name="Comma 4 3 3 6 2 2" xfId="8419" xr:uid="{00000000-0005-0000-0000-000094090000}"/>
    <cellStyle name="Comma 4 3 3 6 2 2 2" xfId="16861" xr:uid="{72F20D1E-48FA-4CE8-901D-B6D9113ED54F}"/>
    <cellStyle name="Comma 4 3 3 6 2 2 3" xfId="25296" xr:uid="{9CA2135B-89C6-41B6-AF5F-6E3E0138C318}"/>
    <cellStyle name="Comma 4 3 3 6 2 3" xfId="12643" xr:uid="{9BD2E138-2153-402F-A1B1-D9467CF02AC2}"/>
    <cellStyle name="Comma 4 3 3 6 2 4" xfId="21079" xr:uid="{5F9EFEC4-0E43-409D-98D2-A887E900601B}"/>
    <cellStyle name="Comma 4 3 3 6 3" xfId="6274" xr:uid="{00000000-0005-0000-0000-000095090000}"/>
    <cellStyle name="Comma 4 3 3 6 3 2" xfId="14716" xr:uid="{F786288F-2990-41B8-A7A5-F8A80EA36764}"/>
    <cellStyle name="Comma 4 3 3 6 3 3" xfId="23151" xr:uid="{2F8ECAD8-D5EC-4131-B14C-B8ABAA61DF8B}"/>
    <cellStyle name="Comma 4 3 3 6 4" xfId="10498" xr:uid="{8E80465F-229E-4950-BB73-6DBF03F6B5BD}"/>
    <cellStyle name="Comma 4 3 3 6 5" xfId="18934" xr:uid="{D9BADC99-EBB6-4E66-9D50-AACEA6ED0368}"/>
    <cellStyle name="Comma 4 3 3 7" xfId="2402" xr:uid="{00000000-0005-0000-0000-000096090000}"/>
    <cellStyle name="Comma 4 3 3 7 2" xfId="6687" xr:uid="{00000000-0005-0000-0000-000097090000}"/>
    <cellStyle name="Comma 4 3 3 7 2 2" xfId="15129" xr:uid="{266DFC36-547B-42A9-A929-44D34F8C2255}"/>
    <cellStyle name="Comma 4 3 3 7 2 3" xfId="23564" xr:uid="{A43CE4DE-16ED-40F6-89C7-EDC80BF30FCF}"/>
    <cellStyle name="Comma 4 3 3 7 3" xfId="10911" xr:uid="{68ECE72F-5D8A-436F-BB91-AB9E2D70FBB7}"/>
    <cellStyle name="Comma 4 3 3 7 4" xfId="19347" xr:uid="{C08C1DF8-2251-4432-9BFD-A46C7344DC21}"/>
    <cellStyle name="Comma 4 3 3 8" xfId="2361" xr:uid="{00000000-0005-0000-0000-000098090000}"/>
    <cellStyle name="Comma 4 3 3 9" xfId="2780" xr:uid="{00000000-0005-0000-0000-000099090000}"/>
    <cellStyle name="Comma 4 3 3 9 2" xfId="7004" xr:uid="{00000000-0005-0000-0000-00009A090000}"/>
    <cellStyle name="Comma 4 3 3 9 2 2" xfId="15446" xr:uid="{C9BE0EC1-8956-40E3-A8CF-EECB5BDAF4D6}"/>
    <cellStyle name="Comma 4 3 3 9 2 3" xfId="23881" xr:uid="{C7C68BC8-BE5D-42FB-A40E-A302FCA0FE68}"/>
    <cellStyle name="Comma 4 3 3 9 3" xfId="11228" xr:uid="{00664CDE-E82E-4A41-AD3B-65E56954EE5A}"/>
    <cellStyle name="Comma 4 3 3 9 4" xfId="19664" xr:uid="{7F7B87FD-93E2-4A11-8B00-7035FD7A52DF}"/>
    <cellStyle name="Comma 4 3 4" xfId="151" xr:uid="{00000000-0005-0000-0000-00009B090000}"/>
    <cellStyle name="Comma 4 3 4 10" xfId="8847" xr:uid="{AFF0D970-625F-493C-933C-10B2AD6590BB}"/>
    <cellStyle name="Comma 4 3 4 11" xfId="17283" xr:uid="{B8AF0110-6A38-4859-A452-27B2903F8A19}"/>
    <cellStyle name="Comma 4 3 4 2" xfId="688" xr:uid="{00000000-0005-0000-0000-00009C090000}"/>
    <cellStyle name="Comma 4 3 4 2 2" xfId="2959" xr:uid="{00000000-0005-0000-0000-00009D090000}"/>
    <cellStyle name="Comma 4 3 4 2 2 2" xfId="7182" xr:uid="{00000000-0005-0000-0000-00009E090000}"/>
    <cellStyle name="Comma 4 3 4 2 2 2 2" xfId="15624" xr:uid="{D0C46579-DC54-4286-9B07-A406AD6430D5}"/>
    <cellStyle name="Comma 4 3 4 2 2 2 3" xfId="24059" xr:uid="{24983836-1BEF-4242-9C87-891EE83BB064}"/>
    <cellStyle name="Comma 4 3 4 2 2 3" xfId="11406" xr:uid="{D40D5A67-B137-43B5-A04D-E25EAAA63351}"/>
    <cellStyle name="Comma 4 3 4 2 2 4" xfId="19842" xr:uid="{CE20B70E-9FB0-4946-A740-9710F0C5F2BD}"/>
    <cellStyle name="Comma 4 3 4 2 3" xfId="5037" xr:uid="{00000000-0005-0000-0000-00009F090000}"/>
    <cellStyle name="Comma 4 3 4 2 3 2" xfId="13479" xr:uid="{A7E8B211-A667-4EE0-B800-3B9CECCC3567}"/>
    <cellStyle name="Comma 4 3 4 2 3 3" xfId="21914" xr:uid="{D50BAD61-DD99-4D9A-8A43-E7004189DABB}"/>
    <cellStyle name="Comma 4 3 4 2 4" xfId="9261" xr:uid="{51BC4260-3455-433F-AE16-C041B54F3393}"/>
    <cellStyle name="Comma 4 3 4 2 5" xfId="17697" xr:uid="{1FC540B3-E48E-4513-B9C3-CB64004EA6E3}"/>
    <cellStyle name="Comma 4 3 4 3" xfId="1141" xr:uid="{00000000-0005-0000-0000-0000A0090000}"/>
    <cellStyle name="Comma 4 3 4 3 2" xfId="3372" xr:uid="{00000000-0005-0000-0000-0000A1090000}"/>
    <cellStyle name="Comma 4 3 4 3 2 2" xfId="7595" xr:uid="{00000000-0005-0000-0000-0000A2090000}"/>
    <cellStyle name="Comma 4 3 4 3 2 2 2" xfId="16037" xr:uid="{66483BA6-5FE9-45E2-B8ED-891279520AAC}"/>
    <cellStyle name="Comma 4 3 4 3 2 2 3" xfId="24472" xr:uid="{1A54DCB5-A844-4FB1-8204-7256A3F17C85}"/>
    <cellStyle name="Comma 4 3 4 3 2 3" xfId="11819" xr:uid="{D62D0F90-25B0-4B31-B8E5-D49891EABA35}"/>
    <cellStyle name="Comma 4 3 4 3 2 4" xfId="20255" xr:uid="{0F6497B9-FD0A-4944-9C91-3627973D9673}"/>
    <cellStyle name="Comma 4 3 4 3 3" xfId="5450" xr:uid="{00000000-0005-0000-0000-0000A3090000}"/>
    <cellStyle name="Comma 4 3 4 3 3 2" xfId="13892" xr:uid="{4C27EB27-EE14-4502-B18B-A1AC47350A54}"/>
    <cellStyle name="Comma 4 3 4 3 3 3" xfId="22327" xr:uid="{F901D171-6FC0-474A-A8DB-3B8874875152}"/>
    <cellStyle name="Comma 4 3 4 3 4" xfId="9674" xr:uid="{B147DF35-01F2-44D8-A7B3-68745FE5BC1C}"/>
    <cellStyle name="Comma 4 3 4 3 5" xfId="18110" xr:uid="{868F841D-BB1A-44DD-9BC6-CD163646C83D}"/>
    <cellStyle name="Comma 4 3 4 4" xfId="1555" xr:uid="{00000000-0005-0000-0000-0000A4090000}"/>
    <cellStyle name="Comma 4 3 4 4 2" xfId="3785" xr:uid="{00000000-0005-0000-0000-0000A5090000}"/>
    <cellStyle name="Comma 4 3 4 4 2 2" xfId="8008" xr:uid="{00000000-0005-0000-0000-0000A6090000}"/>
    <cellStyle name="Comma 4 3 4 4 2 2 2" xfId="16450" xr:uid="{60336CA3-96A6-475D-82A9-71B81415557D}"/>
    <cellStyle name="Comma 4 3 4 4 2 2 3" xfId="24885" xr:uid="{D2749E96-70A1-4B75-9549-BD7FA781DA85}"/>
    <cellStyle name="Comma 4 3 4 4 2 3" xfId="12232" xr:uid="{9D5DA0AE-1287-4491-A7B3-B16C3B887CA0}"/>
    <cellStyle name="Comma 4 3 4 4 2 4" xfId="20668" xr:uid="{73C46683-B303-497C-BFDE-670390551A0A}"/>
    <cellStyle name="Comma 4 3 4 4 3" xfId="5863" xr:uid="{00000000-0005-0000-0000-0000A7090000}"/>
    <cellStyle name="Comma 4 3 4 4 3 2" xfId="14305" xr:uid="{D5B81DDB-BACF-4376-9C20-772DEE5E3CFD}"/>
    <cellStyle name="Comma 4 3 4 4 3 3" xfId="22740" xr:uid="{BFD735ED-C10E-4AD9-976E-DE8CC758A9F7}"/>
    <cellStyle name="Comma 4 3 4 4 4" xfId="10087" xr:uid="{7A4D2775-7B5B-45D5-B1E5-B36050C16DF8}"/>
    <cellStyle name="Comma 4 3 4 4 5" xfId="18523" xr:uid="{35069E25-1837-4B86-9258-F8711592902C}"/>
    <cellStyle name="Comma 4 3 4 5" xfId="1969" xr:uid="{00000000-0005-0000-0000-0000A8090000}"/>
    <cellStyle name="Comma 4 3 4 5 2" xfId="4198" xr:uid="{00000000-0005-0000-0000-0000A9090000}"/>
    <cellStyle name="Comma 4 3 4 5 2 2" xfId="8421" xr:uid="{00000000-0005-0000-0000-0000AA090000}"/>
    <cellStyle name="Comma 4 3 4 5 2 2 2" xfId="16863" xr:uid="{E255D4A6-FDBA-454F-9E81-F428ABAFB6A5}"/>
    <cellStyle name="Comma 4 3 4 5 2 2 3" xfId="25298" xr:uid="{DFA63030-86FF-498E-B43F-CCFA03838097}"/>
    <cellStyle name="Comma 4 3 4 5 2 3" xfId="12645" xr:uid="{23147A13-7A70-4D42-AD03-5678E08DFDA8}"/>
    <cellStyle name="Comma 4 3 4 5 2 4" xfId="21081" xr:uid="{84F9C080-3B88-4EB0-AA1F-4AB217D54646}"/>
    <cellStyle name="Comma 4 3 4 5 3" xfId="6276" xr:uid="{00000000-0005-0000-0000-0000AB090000}"/>
    <cellStyle name="Comma 4 3 4 5 3 2" xfId="14718" xr:uid="{3C307024-8CD6-43A8-99CB-03555279249B}"/>
    <cellStyle name="Comma 4 3 4 5 3 3" xfId="23153" xr:uid="{F80C89BB-89CD-480D-8626-0E906A3455BF}"/>
    <cellStyle name="Comma 4 3 4 5 4" xfId="10500" xr:uid="{66E3F0C2-8166-492D-937D-9BE7895BE9A2}"/>
    <cellStyle name="Comma 4 3 4 5 5" xfId="18936" xr:uid="{93589E9C-DCDA-46A4-A3D6-A24828A7ECA8}"/>
    <cellStyle name="Comma 4 3 4 6" xfId="2404" xr:uid="{00000000-0005-0000-0000-0000AC090000}"/>
    <cellStyle name="Comma 4 3 4 6 2" xfId="6689" xr:uid="{00000000-0005-0000-0000-0000AD090000}"/>
    <cellStyle name="Comma 4 3 4 6 2 2" xfId="15131" xr:uid="{82CEEADB-9B8C-4F10-B504-4751062DC6E4}"/>
    <cellStyle name="Comma 4 3 4 6 2 3" xfId="23566" xr:uid="{A08B7F84-B997-4501-AEC1-0F0531DFD1DF}"/>
    <cellStyle name="Comma 4 3 4 6 3" xfId="10913" xr:uid="{1F224035-44A8-4919-8298-B3B9EF3DF1FD}"/>
    <cellStyle name="Comma 4 3 4 6 4" xfId="19349" xr:uid="{048AEEBA-0469-4AD6-869C-8B7BE3A89B61}"/>
    <cellStyle name="Comma 4 3 4 7" xfId="2700" xr:uid="{00000000-0005-0000-0000-0000AE090000}"/>
    <cellStyle name="Comma 4 3 4 8" xfId="2782" xr:uid="{00000000-0005-0000-0000-0000AF090000}"/>
    <cellStyle name="Comma 4 3 4 8 2" xfId="7006" xr:uid="{00000000-0005-0000-0000-0000B0090000}"/>
    <cellStyle name="Comma 4 3 4 8 2 2" xfId="15448" xr:uid="{C5AF1F72-BD56-40D4-AB1C-FC98A9BE4D44}"/>
    <cellStyle name="Comma 4 3 4 8 2 3" xfId="23883" xr:uid="{99651E06-93CB-4AC2-A5E9-8A457059B963}"/>
    <cellStyle name="Comma 4 3 4 8 3" xfId="11230" xr:uid="{38D0C3E0-27D1-4B77-A211-99258DAF789F}"/>
    <cellStyle name="Comma 4 3 4 8 4" xfId="19666" xr:uid="{C948176B-AF67-4EDF-AB0D-B6A7562DF175}"/>
    <cellStyle name="Comma 4 3 4 9" xfId="4623" xr:uid="{00000000-0005-0000-0000-0000B1090000}"/>
    <cellStyle name="Comma 4 3 4 9 2" xfId="13065" xr:uid="{CA143CC0-4913-4F6B-91A8-7B3ABD60872A}"/>
    <cellStyle name="Comma 4 3 4 9 3" xfId="21500" xr:uid="{E93523FB-4289-41E0-8AE5-FA8CD0F68FD4}"/>
    <cellStyle name="Comma 4 3 5" xfId="152" xr:uid="{00000000-0005-0000-0000-0000B2090000}"/>
    <cellStyle name="Comma 4 3 5 10" xfId="8848" xr:uid="{8F179E1E-6FB4-472C-9814-65CADF6AA390}"/>
    <cellStyle name="Comma 4 3 5 11" xfId="17284" xr:uid="{07880414-CBF1-4A47-A0AE-DBAD1590857A}"/>
    <cellStyle name="Comma 4 3 5 2" xfId="689" xr:uid="{00000000-0005-0000-0000-0000B3090000}"/>
    <cellStyle name="Comma 4 3 5 2 2" xfId="2960" xr:uid="{00000000-0005-0000-0000-0000B4090000}"/>
    <cellStyle name="Comma 4 3 5 2 2 2" xfId="7183" xr:uid="{00000000-0005-0000-0000-0000B5090000}"/>
    <cellStyle name="Comma 4 3 5 2 2 2 2" xfId="15625" xr:uid="{2DA6A8BC-639C-4DC5-8723-85A751E9FC2C}"/>
    <cellStyle name="Comma 4 3 5 2 2 2 3" xfId="24060" xr:uid="{313A9629-2235-42A0-A486-36707F56993C}"/>
    <cellStyle name="Comma 4 3 5 2 2 3" xfId="11407" xr:uid="{C9ED1015-49F2-4EA8-8FC2-7A0602B7768F}"/>
    <cellStyle name="Comma 4 3 5 2 2 4" xfId="19843" xr:uid="{15A312AB-3663-4A70-8F6D-FAADDA750E3C}"/>
    <cellStyle name="Comma 4 3 5 2 3" xfId="5038" xr:uid="{00000000-0005-0000-0000-0000B6090000}"/>
    <cellStyle name="Comma 4 3 5 2 3 2" xfId="13480" xr:uid="{9A278349-FE37-4F1A-901E-8DF678EFEBA7}"/>
    <cellStyle name="Comma 4 3 5 2 3 3" xfId="21915" xr:uid="{7672AD36-260E-4761-BE5E-252516174202}"/>
    <cellStyle name="Comma 4 3 5 2 4" xfId="9262" xr:uid="{C8EE7045-DC6C-4339-A6E0-9BA730EC9362}"/>
    <cellStyle name="Comma 4 3 5 2 5" xfId="17698" xr:uid="{A92ACA53-3D92-46EE-9F9B-006B9EAE3BB7}"/>
    <cellStyle name="Comma 4 3 5 3" xfId="1142" xr:uid="{00000000-0005-0000-0000-0000B7090000}"/>
    <cellStyle name="Comma 4 3 5 3 2" xfId="3373" xr:uid="{00000000-0005-0000-0000-0000B8090000}"/>
    <cellStyle name="Comma 4 3 5 3 2 2" xfId="7596" xr:uid="{00000000-0005-0000-0000-0000B9090000}"/>
    <cellStyle name="Comma 4 3 5 3 2 2 2" xfId="16038" xr:uid="{67B8FF07-68FC-4308-B9AD-5303C84A20CB}"/>
    <cellStyle name="Comma 4 3 5 3 2 2 3" xfId="24473" xr:uid="{E21C08AC-5895-45D6-A3DC-FB29CEEC785D}"/>
    <cellStyle name="Comma 4 3 5 3 2 3" xfId="11820" xr:uid="{3599CAD7-063F-48F1-A42E-633BDB20942E}"/>
    <cellStyle name="Comma 4 3 5 3 2 4" xfId="20256" xr:uid="{2A4ACA50-17FA-4F1A-8350-A1AEEAD22C43}"/>
    <cellStyle name="Comma 4 3 5 3 3" xfId="5451" xr:uid="{00000000-0005-0000-0000-0000BA090000}"/>
    <cellStyle name="Comma 4 3 5 3 3 2" xfId="13893" xr:uid="{BF009176-BEDD-4758-8B10-FD311B4B2A14}"/>
    <cellStyle name="Comma 4 3 5 3 3 3" xfId="22328" xr:uid="{5F3EA945-22E7-48D0-89A8-2FF197C4422C}"/>
    <cellStyle name="Comma 4 3 5 3 4" xfId="9675" xr:uid="{58360149-B172-4FC5-B716-0FD819D47EFB}"/>
    <cellStyle name="Comma 4 3 5 3 5" xfId="18111" xr:uid="{04ECDFA6-C49A-46EC-A98F-7250597B4952}"/>
    <cellStyle name="Comma 4 3 5 4" xfId="1556" xr:uid="{00000000-0005-0000-0000-0000BB090000}"/>
    <cellStyle name="Comma 4 3 5 4 2" xfId="3786" xr:uid="{00000000-0005-0000-0000-0000BC090000}"/>
    <cellStyle name="Comma 4 3 5 4 2 2" xfId="8009" xr:uid="{00000000-0005-0000-0000-0000BD090000}"/>
    <cellStyle name="Comma 4 3 5 4 2 2 2" xfId="16451" xr:uid="{937583A9-3F10-424D-8B1A-8653FB010D79}"/>
    <cellStyle name="Comma 4 3 5 4 2 2 3" xfId="24886" xr:uid="{E9ABC7B0-B7B9-4AF6-A321-0857807CE672}"/>
    <cellStyle name="Comma 4 3 5 4 2 3" xfId="12233" xr:uid="{159DF1BE-CB4C-44BD-8E86-B35539BCC139}"/>
    <cellStyle name="Comma 4 3 5 4 2 4" xfId="20669" xr:uid="{6F6645CA-349B-478D-9287-7C14F18CCE30}"/>
    <cellStyle name="Comma 4 3 5 4 3" xfId="5864" xr:uid="{00000000-0005-0000-0000-0000BE090000}"/>
    <cellStyle name="Comma 4 3 5 4 3 2" xfId="14306" xr:uid="{33EF9C2A-40D2-4605-83D8-69689CA62F14}"/>
    <cellStyle name="Comma 4 3 5 4 3 3" xfId="22741" xr:uid="{47C339BF-DA39-4E8D-8DB7-201388634E37}"/>
    <cellStyle name="Comma 4 3 5 4 4" xfId="10088" xr:uid="{D34FF8D1-9BE4-444C-AC80-AB254EE98952}"/>
    <cellStyle name="Comma 4 3 5 4 5" xfId="18524" xr:uid="{95EFA291-A84D-4E80-9BBF-1D37CF206897}"/>
    <cellStyle name="Comma 4 3 5 5" xfId="1970" xr:uid="{00000000-0005-0000-0000-0000BF090000}"/>
    <cellStyle name="Comma 4 3 5 5 2" xfId="4199" xr:uid="{00000000-0005-0000-0000-0000C0090000}"/>
    <cellStyle name="Comma 4 3 5 5 2 2" xfId="8422" xr:uid="{00000000-0005-0000-0000-0000C1090000}"/>
    <cellStyle name="Comma 4 3 5 5 2 2 2" xfId="16864" xr:uid="{4D97FACF-7760-491F-AFDA-6E979B026EB5}"/>
    <cellStyle name="Comma 4 3 5 5 2 2 3" xfId="25299" xr:uid="{B55F4242-682E-4870-AE1F-771089FF352E}"/>
    <cellStyle name="Comma 4 3 5 5 2 3" xfId="12646" xr:uid="{9AB1F2BE-47C5-4E41-903A-9B9D62833CA7}"/>
    <cellStyle name="Comma 4 3 5 5 2 4" xfId="21082" xr:uid="{2AC2882B-4620-465E-9F89-FACDCB469960}"/>
    <cellStyle name="Comma 4 3 5 5 3" xfId="6277" xr:uid="{00000000-0005-0000-0000-0000C2090000}"/>
    <cellStyle name="Comma 4 3 5 5 3 2" xfId="14719" xr:uid="{62E22ACF-EE02-4816-AB47-E259FB78143B}"/>
    <cellStyle name="Comma 4 3 5 5 3 3" xfId="23154" xr:uid="{7BE52121-34AE-4867-8D85-380C091A3E14}"/>
    <cellStyle name="Comma 4 3 5 5 4" xfId="10501" xr:uid="{CC01E4E3-C880-40F6-92AB-45AD364CA3EB}"/>
    <cellStyle name="Comma 4 3 5 5 5" xfId="18937" xr:uid="{09B2C0A3-D375-41D0-B2A2-B7197B004A17}"/>
    <cellStyle name="Comma 4 3 5 6" xfId="2405" xr:uid="{00000000-0005-0000-0000-0000C3090000}"/>
    <cellStyle name="Comma 4 3 5 6 2" xfId="6690" xr:uid="{00000000-0005-0000-0000-0000C4090000}"/>
    <cellStyle name="Comma 4 3 5 6 2 2" xfId="15132" xr:uid="{CDD549CD-D6D5-48A3-82A1-2B6A8355506B}"/>
    <cellStyle name="Comma 4 3 5 6 2 3" xfId="23567" xr:uid="{92362D5C-B6AE-436D-9A01-A20E83B26B45}"/>
    <cellStyle name="Comma 4 3 5 6 3" xfId="10914" xr:uid="{47C42B22-750F-483F-BAC8-EC56C4E5BF2A}"/>
    <cellStyle name="Comma 4 3 5 6 4" xfId="19350" xr:uid="{07CC6AA3-07BC-4BA6-BEBE-55CCF85CCDD8}"/>
    <cellStyle name="Comma 4 3 5 7" xfId="2701" xr:uid="{00000000-0005-0000-0000-0000C5090000}"/>
    <cellStyle name="Comma 4 3 5 8" xfId="2783" xr:uid="{00000000-0005-0000-0000-0000C6090000}"/>
    <cellStyle name="Comma 4 3 5 8 2" xfId="7007" xr:uid="{00000000-0005-0000-0000-0000C7090000}"/>
    <cellStyle name="Comma 4 3 5 8 2 2" xfId="15449" xr:uid="{B11867EF-1F58-46A1-BAC2-0E7C4C447FA6}"/>
    <cellStyle name="Comma 4 3 5 8 2 3" xfId="23884" xr:uid="{7E690159-7339-464C-8803-9A9CCFE4670D}"/>
    <cellStyle name="Comma 4 3 5 8 3" xfId="11231" xr:uid="{D89DE948-F330-40F5-80A7-EE23A72A82CD}"/>
    <cellStyle name="Comma 4 3 5 8 4" xfId="19667" xr:uid="{A08B81FB-CCDF-4637-9970-24F1700418F8}"/>
    <cellStyle name="Comma 4 3 5 9" xfId="4624" xr:uid="{00000000-0005-0000-0000-0000C8090000}"/>
    <cellStyle name="Comma 4 3 5 9 2" xfId="13066" xr:uid="{1C647B7C-1F95-4153-8F16-62FE22242149}"/>
    <cellStyle name="Comma 4 3 5 9 3" xfId="21501" xr:uid="{E1EB9A50-71F9-41C9-8206-E3E3BFF524D3}"/>
    <cellStyle name="Comma 4 4" xfId="153" xr:uid="{00000000-0005-0000-0000-0000C9090000}"/>
    <cellStyle name="Comma 4 4 10" xfId="2784" xr:uid="{00000000-0005-0000-0000-0000CA090000}"/>
    <cellStyle name="Comma 4 4 10 2" xfId="7008" xr:uid="{00000000-0005-0000-0000-0000CB090000}"/>
    <cellStyle name="Comma 4 4 10 2 2" xfId="15450" xr:uid="{99525867-EF8D-4DE8-9D0A-6AC0F00449E1}"/>
    <cellStyle name="Comma 4 4 10 2 3" xfId="23885" xr:uid="{E44B3B33-2E42-4067-87A1-27EB4089D9A0}"/>
    <cellStyle name="Comma 4 4 10 3" xfId="11232" xr:uid="{1A4ED99F-2396-498E-967D-C2E38B6388B4}"/>
    <cellStyle name="Comma 4 4 10 4" xfId="19668" xr:uid="{897F5B97-6817-4FF2-A816-C0ECFEA0233B}"/>
    <cellStyle name="Comma 4 4 11" xfId="4625" xr:uid="{00000000-0005-0000-0000-0000CC090000}"/>
    <cellStyle name="Comma 4 4 11 2" xfId="13067" xr:uid="{7A9858A6-9FCA-4373-A38B-4143785D098E}"/>
    <cellStyle name="Comma 4 4 11 3" xfId="21502" xr:uid="{931A8B54-9753-4632-A088-1405D4F1974C}"/>
    <cellStyle name="Comma 4 4 12" xfId="8849" xr:uid="{CDFA7579-AFFC-4109-B45F-0120B38022F9}"/>
    <cellStyle name="Comma 4 4 13" xfId="17285" xr:uid="{E8E352AC-5E9C-4BB9-8A8A-E0450958ED79}"/>
    <cellStyle name="Comma 4 4 2" xfId="154" xr:uid="{00000000-0005-0000-0000-0000CD090000}"/>
    <cellStyle name="Comma 4 4 2 10" xfId="4626" xr:uid="{00000000-0005-0000-0000-0000CE090000}"/>
    <cellStyle name="Comma 4 4 2 10 2" xfId="13068" xr:uid="{411597A1-EB3B-48F3-B22B-602D6E6F7484}"/>
    <cellStyle name="Comma 4 4 2 10 3" xfId="21503" xr:uid="{46644E99-54CB-45E1-8688-AD1DED7B9330}"/>
    <cellStyle name="Comma 4 4 2 11" xfId="8850" xr:uid="{C0C790F4-3DF6-4CF1-9BC3-B71984A55EA0}"/>
    <cellStyle name="Comma 4 4 2 12" xfId="17286" xr:uid="{C290F47D-7A3D-4514-B183-83216747B8F6}"/>
    <cellStyle name="Comma 4 4 2 2" xfId="155" xr:uid="{00000000-0005-0000-0000-0000CF090000}"/>
    <cellStyle name="Comma 4 4 2 2 10" xfId="8851" xr:uid="{16B5A16E-0793-4A17-89D4-EB3F5D4D75F9}"/>
    <cellStyle name="Comma 4 4 2 2 11" xfId="17287" xr:uid="{BC12919E-CF97-43CE-B0FB-6168D6995136}"/>
    <cellStyle name="Comma 4 4 2 2 2" xfId="692" xr:uid="{00000000-0005-0000-0000-0000D0090000}"/>
    <cellStyle name="Comma 4 4 2 2 2 2" xfId="2963" xr:uid="{00000000-0005-0000-0000-0000D1090000}"/>
    <cellStyle name="Comma 4 4 2 2 2 2 2" xfId="7186" xr:uid="{00000000-0005-0000-0000-0000D2090000}"/>
    <cellStyle name="Comma 4 4 2 2 2 2 2 2" xfId="15628" xr:uid="{B550DBC3-4487-4229-89EE-4B0A87587D14}"/>
    <cellStyle name="Comma 4 4 2 2 2 2 2 3" xfId="24063" xr:uid="{7B130885-B642-4353-89C3-29810075CE09}"/>
    <cellStyle name="Comma 4 4 2 2 2 2 3" xfId="11410" xr:uid="{C608CE47-1FF3-4B38-A4EA-86A33AACD75A}"/>
    <cellStyle name="Comma 4 4 2 2 2 2 4" xfId="19846" xr:uid="{D1614F02-7E8A-4C56-82AF-E397E76B1A40}"/>
    <cellStyle name="Comma 4 4 2 2 2 3" xfId="5041" xr:uid="{00000000-0005-0000-0000-0000D3090000}"/>
    <cellStyle name="Comma 4 4 2 2 2 3 2" xfId="13483" xr:uid="{6608E895-E3CB-4DFD-961E-5E54B60451AD}"/>
    <cellStyle name="Comma 4 4 2 2 2 3 3" xfId="21918" xr:uid="{1E6D6D20-1061-4AC7-8C91-5427FFA8EC7B}"/>
    <cellStyle name="Comma 4 4 2 2 2 4" xfId="9265" xr:uid="{0C9CCCE4-8EAF-4E52-B326-86DF0605DEE4}"/>
    <cellStyle name="Comma 4 4 2 2 2 5" xfId="17701" xr:uid="{2B921862-7AC7-4465-AF80-8AC92D3CC05D}"/>
    <cellStyle name="Comma 4 4 2 2 3" xfId="1145" xr:uid="{00000000-0005-0000-0000-0000D4090000}"/>
    <cellStyle name="Comma 4 4 2 2 3 2" xfId="3376" xr:uid="{00000000-0005-0000-0000-0000D5090000}"/>
    <cellStyle name="Comma 4 4 2 2 3 2 2" xfId="7599" xr:uid="{00000000-0005-0000-0000-0000D6090000}"/>
    <cellStyle name="Comma 4 4 2 2 3 2 2 2" xfId="16041" xr:uid="{E7D9758E-E729-4CE0-AECA-B07CE210D067}"/>
    <cellStyle name="Comma 4 4 2 2 3 2 2 3" xfId="24476" xr:uid="{8D033696-54E1-4524-A1CF-075182B651DA}"/>
    <cellStyle name="Comma 4 4 2 2 3 2 3" xfId="11823" xr:uid="{07DC9516-452A-42C3-A7D2-1E598AF15343}"/>
    <cellStyle name="Comma 4 4 2 2 3 2 4" xfId="20259" xr:uid="{BC7E24AA-F777-4C26-9F62-CA02E50A79D4}"/>
    <cellStyle name="Comma 4 4 2 2 3 3" xfId="5454" xr:uid="{00000000-0005-0000-0000-0000D7090000}"/>
    <cellStyle name="Comma 4 4 2 2 3 3 2" xfId="13896" xr:uid="{8472BAFA-3FEF-4E91-8F05-DED754E712FE}"/>
    <cellStyle name="Comma 4 4 2 2 3 3 3" xfId="22331" xr:uid="{E599DFFE-0265-4ACC-B919-866006DBD1A0}"/>
    <cellStyle name="Comma 4 4 2 2 3 4" xfId="9678" xr:uid="{5ECEAB65-0926-4E56-A6C1-A8713E43ED58}"/>
    <cellStyle name="Comma 4 4 2 2 3 5" xfId="18114" xr:uid="{4FBBCE7E-9A57-4796-8E02-110AC6D56E1C}"/>
    <cellStyle name="Comma 4 4 2 2 4" xfId="1559" xr:uid="{00000000-0005-0000-0000-0000D8090000}"/>
    <cellStyle name="Comma 4 4 2 2 4 2" xfId="3789" xr:uid="{00000000-0005-0000-0000-0000D9090000}"/>
    <cellStyle name="Comma 4 4 2 2 4 2 2" xfId="8012" xr:uid="{00000000-0005-0000-0000-0000DA090000}"/>
    <cellStyle name="Comma 4 4 2 2 4 2 2 2" xfId="16454" xr:uid="{0E1F65F7-ABB4-473E-BAA3-AE0222EA8E17}"/>
    <cellStyle name="Comma 4 4 2 2 4 2 2 3" xfId="24889" xr:uid="{71B965E4-7F98-4850-BE23-B8DDED8C53CA}"/>
    <cellStyle name="Comma 4 4 2 2 4 2 3" xfId="12236" xr:uid="{35482FDC-1734-4126-92E1-73D50C5A1358}"/>
    <cellStyle name="Comma 4 4 2 2 4 2 4" xfId="20672" xr:uid="{87FB8CFF-60F9-43B5-A67A-5379D15301F9}"/>
    <cellStyle name="Comma 4 4 2 2 4 3" xfId="5867" xr:uid="{00000000-0005-0000-0000-0000DB090000}"/>
    <cellStyle name="Comma 4 4 2 2 4 3 2" xfId="14309" xr:uid="{0ECEA4A1-61F2-4308-B88B-75910AE60209}"/>
    <cellStyle name="Comma 4 4 2 2 4 3 3" xfId="22744" xr:uid="{16AD9A35-0DB2-4442-B0E7-36DBB85CDD44}"/>
    <cellStyle name="Comma 4 4 2 2 4 4" xfId="10091" xr:uid="{CDD8843C-0B0A-485B-9628-40F032D4E588}"/>
    <cellStyle name="Comma 4 4 2 2 4 5" xfId="18527" xr:uid="{094CC863-F3B7-410B-87B0-171A9CE053DF}"/>
    <cellStyle name="Comma 4 4 2 2 5" xfId="1973" xr:uid="{00000000-0005-0000-0000-0000DC090000}"/>
    <cellStyle name="Comma 4 4 2 2 5 2" xfId="4202" xr:uid="{00000000-0005-0000-0000-0000DD090000}"/>
    <cellStyle name="Comma 4 4 2 2 5 2 2" xfId="8425" xr:uid="{00000000-0005-0000-0000-0000DE090000}"/>
    <cellStyle name="Comma 4 4 2 2 5 2 2 2" xfId="16867" xr:uid="{A578067E-D82A-491D-BD51-11C083110121}"/>
    <cellStyle name="Comma 4 4 2 2 5 2 2 3" xfId="25302" xr:uid="{7F1AFFD1-721A-4D6D-840A-9837D3CB248A}"/>
    <cellStyle name="Comma 4 4 2 2 5 2 3" xfId="12649" xr:uid="{BED2B188-7ED5-4CE5-8742-99E90B55952A}"/>
    <cellStyle name="Comma 4 4 2 2 5 2 4" xfId="21085" xr:uid="{4B2EE3F6-B8FF-4E75-AB8E-7ABFF2073580}"/>
    <cellStyle name="Comma 4 4 2 2 5 3" xfId="6280" xr:uid="{00000000-0005-0000-0000-0000DF090000}"/>
    <cellStyle name="Comma 4 4 2 2 5 3 2" xfId="14722" xr:uid="{272DB242-C0E8-44C6-9B50-C639105E5154}"/>
    <cellStyle name="Comma 4 4 2 2 5 3 3" xfId="23157" xr:uid="{CA1D05CF-CF29-4589-9C60-89076C3AE8AB}"/>
    <cellStyle name="Comma 4 4 2 2 5 4" xfId="10504" xr:uid="{74C4BBAB-4571-4B38-B40D-0BE00BBBB571}"/>
    <cellStyle name="Comma 4 4 2 2 5 5" xfId="18940" xr:uid="{BEA02D75-72A1-4636-9870-EFC258A1EB64}"/>
    <cellStyle name="Comma 4 4 2 2 6" xfId="2408" xr:uid="{00000000-0005-0000-0000-0000E0090000}"/>
    <cellStyle name="Comma 4 4 2 2 6 2" xfId="6693" xr:uid="{00000000-0005-0000-0000-0000E1090000}"/>
    <cellStyle name="Comma 4 4 2 2 6 2 2" xfId="15135" xr:uid="{9291E4E4-96FD-4CF4-B84A-D80EA0619786}"/>
    <cellStyle name="Comma 4 4 2 2 6 2 3" xfId="23570" xr:uid="{3483AC3D-4DF0-48D6-8040-57E2A1BBDAB4}"/>
    <cellStyle name="Comma 4 4 2 2 6 3" xfId="10917" xr:uid="{1625897E-B31C-4E77-AC22-84622F1DD76E}"/>
    <cellStyle name="Comma 4 4 2 2 6 4" xfId="19353" xr:uid="{873C4EBB-163E-4114-A024-EF680CBD759D}"/>
    <cellStyle name="Comma 4 4 2 2 7" xfId="2704" xr:uid="{00000000-0005-0000-0000-0000E2090000}"/>
    <cellStyle name="Comma 4 4 2 2 8" xfId="2786" xr:uid="{00000000-0005-0000-0000-0000E3090000}"/>
    <cellStyle name="Comma 4 4 2 2 8 2" xfId="7010" xr:uid="{00000000-0005-0000-0000-0000E4090000}"/>
    <cellStyle name="Comma 4 4 2 2 8 2 2" xfId="15452" xr:uid="{88323E25-99C2-4867-9B5A-CE138C5DC081}"/>
    <cellStyle name="Comma 4 4 2 2 8 2 3" xfId="23887" xr:uid="{A00F3BAE-B926-4480-977D-4612817BB728}"/>
    <cellStyle name="Comma 4 4 2 2 8 3" xfId="11234" xr:uid="{B8E17FC3-1693-4CC3-B5FF-990D5CF9380D}"/>
    <cellStyle name="Comma 4 4 2 2 8 4" xfId="19670" xr:uid="{C9D6D564-AB06-4592-B46C-59DBA9C4C9D1}"/>
    <cellStyle name="Comma 4 4 2 2 9" xfId="4627" xr:uid="{00000000-0005-0000-0000-0000E5090000}"/>
    <cellStyle name="Comma 4 4 2 2 9 2" xfId="13069" xr:uid="{BE0154FF-CF2B-4EAF-8293-86F40E6A0CC9}"/>
    <cellStyle name="Comma 4 4 2 2 9 3" xfId="21504" xr:uid="{AB290C4F-A308-4810-BE73-EF8D4B830A95}"/>
    <cellStyle name="Comma 4 4 2 3" xfId="691" xr:uid="{00000000-0005-0000-0000-0000E6090000}"/>
    <cellStyle name="Comma 4 4 2 3 2" xfId="2962" xr:uid="{00000000-0005-0000-0000-0000E7090000}"/>
    <cellStyle name="Comma 4 4 2 3 2 2" xfId="7185" xr:uid="{00000000-0005-0000-0000-0000E8090000}"/>
    <cellStyle name="Comma 4 4 2 3 2 2 2" xfId="15627" xr:uid="{C8C4F238-BAE6-46EB-ACB5-75C5E67CCB8C}"/>
    <cellStyle name="Comma 4 4 2 3 2 2 3" xfId="24062" xr:uid="{3C5336EB-564C-4EA6-8C18-FDD9F03F54D8}"/>
    <cellStyle name="Comma 4 4 2 3 2 3" xfId="11409" xr:uid="{17533B7D-15DD-4925-9B96-2DFDAF791A2D}"/>
    <cellStyle name="Comma 4 4 2 3 2 4" xfId="19845" xr:uid="{84F3C381-2E10-4AB4-8AE4-6F732533EC60}"/>
    <cellStyle name="Comma 4 4 2 3 3" xfId="5040" xr:uid="{00000000-0005-0000-0000-0000E9090000}"/>
    <cellStyle name="Comma 4 4 2 3 3 2" xfId="13482" xr:uid="{E538E0C3-BA26-43B1-B04A-8671E91A3932}"/>
    <cellStyle name="Comma 4 4 2 3 3 3" xfId="21917" xr:uid="{3FF46CA6-4458-446F-93E7-863731861954}"/>
    <cellStyle name="Comma 4 4 2 3 4" xfId="9264" xr:uid="{D65B8E58-E812-40FF-9199-568AD1AE6F03}"/>
    <cellStyle name="Comma 4 4 2 3 5" xfId="17700" xr:uid="{D6998CF5-6DFE-4E28-8AF1-FFFDB6359FF4}"/>
    <cellStyle name="Comma 4 4 2 4" xfId="1144" xr:uid="{00000000-0005-0000-0000-0000EA090000}"/>
    <cellStyle name="Comma 4 4 2 4 2" xfId="3375" xr:uid="{00000000-0005-0000-0000-0000EB090000}"/>
    <cellStyle name="Comma 4 4 2 4 2 2" xfId="7598" xr:uid="{00000000-0005-0000-0000-0000EC090000}"/>
    <cellStyle name="Comma 4 4 2 4 2 2 2" xfId="16040" xr:uid="{D58E3546-4877-459B-8404-AC570B55C7DD}"/>
    <cellStyle name="Comma 4 4 2 4 2 2 3" xfId="24475" xr:uid="{03B685C7-98BB-4E1C-A68E-CB400A90EDA4}"/>
    <cellStyle name="Comma 4 4 2 4 2 3" xfId="11822" xr:uid="{97EFF06D-D09C-41E5-8BF6-537B3A768302}"/>
    <cellStyle name="Comma 4 4 2 4 2 4" xfId="20258" xr:uid="{2323DCD0-F754-43DC-9CF3-F414E2DA376B}"/>
    <cellStyle name="Comma 4 4 2 4 3" xfId="5453" xr:uid="{00000000-0005-0000-0000-0000ED090000}"/>
    <cellStyle name="Comma 4 4 2 4 3 2" xfId="13895" xr:uid="{32BE1590-C2A5-4DA5-A623-D77ECAA0F4A4}"/>
    <cellStyle name="Comma 4 4 2 4 3 3" xfId="22330" xr:uid="{0D81E83C-68A4-4AFC-965D-4FB508E88C60}"/>
    <cellStyle name="Comma 4 4 2 4 4" xfId="9677" xr:uid="{C774E954-FE01-4984-A612-7914702F615D}"/>
    <cellStyle name="Comma 4 4 2 4 5" xfId="18113" xr:uid="{983D1170-2D54-4DF4-AED0-9065F2D51933}"/>
    <cellStyle name="Comma 4 4 2 5" xfId="1558" xr:uid="{00000000-0005-0000-0000-0000EE090000}"/>
    <cellStyle name="Comma 4 4 2 5 2" xfId="3788" xr:uid="{00000000-0005-0000-0000-0000EF090000}"/>
    <cellStyle name="Comma 4 4 2 5 2 2" xfId="8011" xr:uid="{00000000-0005-0000-0000-0000F0090000}"/>
    <cellStyle name="Comma 4 4 2 5 2 2 2" xfId="16453" xr:uid="{57BE7F7A-9D23-49F6-84CF-4BCDB23F9404}"/>
    <cellStyle name="Comma 4 4 2 5 2 2 3" xfId="24888" xr:uid="{B86A7EE1-ACA5-4513-AEC6-9854694D7A68}"/>
    <cellStyle name="Comma 4 4 2 5 2 3" xfId="12235" xr:uid="{1547C4D8-19EC-4143-946C-FAAD69956D67}"/>
    <cellStyle name="Comma 4 4 2 5 2 4" xfId="20671" xr:uid="{930D82B9-ACB0-4F8B-BC73-7FC3847F0C58}"/>
    <cellStyle name="Comma 4 4 2 5 3" xfId="5866" xr:uid="{00000000-0005-0000-0000-0000F1090000}"/>
    <cellStyle name="Comma 4 4 2 5 3 2" xfId="14308" xr:uid="{49EB4441-12A5-444C-BB00-9EC761F9147E}"/>
    <cellStyle name="Comma 4 4 2 5 3 3" xfId="22743" xr:uid="{D4CEC9B3-FA6C-4CF2-B3ED-3319D3BEC597}"/>
    <cellStyle name="Comma 4 4 2 5 4" xfId="10090" xr:uid="{43E5AE0A-F3A2-4621-BCA9-97ECB9618346}"/>
    <cellStyle name="Comma 4 4 2 5 5" xfId="18526" xr:uid="{5366B71E-A505-4437-99F1-AE62C8CAB84C}"/>
    <cellStyle name="Comma 4 4 2 6" xfId="1972" xr:uid="{00000000-0005-0000-0000-0000F2090000}"/>
    <cellStyle name="Comma 4 4 2 6 2" xfId="4201" xr:uid="{00000000-0005-0000-0000-0000F3090000}"/>
    <cellStyle name="Comma 4 4 2 6 2 2" xfId="8424" xr:uid="{00000000-0005-0000-0000-0000F4090000}"/>
    <cellStyle name="Comma 4 4 2 6 2 2 2" xfId="16866" xr:uid="{2DDAD66F-1C97-49F2-A9FC-D4B6047C5513}"/>
    <cellStyle name="Comma 4 4 2 6 2 2 3" xfId="25301" xr:uid="{33B37920-D24C-4CE8-AAD6-AF0C39BDA567}"/>
    <cellStyle name="Comma 4 4 2 6 2 3" xfId="12648" xr:uid="{7E8ED62E-5917-474B-AFE9-76C5BF98AE9E}"/>
    <cellStyle name="Comma 4 4 2 6 2 4" xfId="21084" xr:uid="{54244AD1-6740-415F-BA5E-71EEE7270396}"/>
    <cellStyle name="Comma 4 4 2 6 3" xfId="6279" xr:uid="{00000000-0005-0000-0000-0000F5090000}"/>
    <cellStyle name="Comma 4 4 2 6 3 2" xfId="14721" xr:uid="{75F73BF2-93EF-44B7-BE79-B4DBBFE3A5ED}"/>
    <cellStyle name="Comma 4 4 2 6 3 3" xfId="23156" xr:uid="{CC6B5C8E-6C15-4A3E-9475-6BE39835D005}"/>
    <cellStyle name="Comma 4 4 2 6 4" xfId="10503" xr:uid="{CD02D45F-C9E9-4C1F-9E69-4603509C79B1}"/>
    <cellStyle name="Comma 4 4 2 6 5" xfId="18939" xr:uid="{4EF076E5-0D9C-498F-AA65-4746562CED00}"/>
    <cellStyle name="Comma 4 4 2 7" xfId="2407" xr:uid="{00000000-0005-0000-0000-0000F6090000}"/>
    <cellStyle name="Comma 4 4 2 7 2" xfId="6692" xr:uid="{00000000-0005-0000-0000-0000F7090000}"/>
    <cellStyle name="Comma 4 4 2 7 2 2" xfId="15134" xr:uid="{89880D26-ADDC-4F74-8ECB-38843B03F1FC}"/>
    <cellStyle name="Comma 4 4 2 7 2 3" xfId="23569" xr:uid="{0BBB38F4-A7C3-4C1C-90F5-FC2D2286892F}"/>
    <cellStyle name="Comma 4 4 2 7 3" xfId="10916" xr:uid="{9A1F20DB-A122-4A53-8ACD-6FA4996F2FF8}"/>
    <cellStyle name="Comma 4 4 2 7 4" xfId="19352" xr:uid="{29D26E04-2F5F-4C87-B026-6A37B8373507}"/>
    <cellStyle name="Comma 4 4 2 8" xfId="2703" xr:uid="{00000000-0005-0000-0000-0000F8090000}"/>
    <cellStyle name="Comma 4 4 2 9" xfId="2785" xr:uid="{00000000-0005-0000-0000-0000F9090000}"/>
    <cellStyle name="Comma 4 4 2 9 2" xfId="7009" xr:uid="{00000000-0005-0000-0000-0000FA090000}"/>
    <cellStyle name="Comma 4 4 2 9 2 2" xfId="15451" xr:uid="{C453FA6D-513B-442F-BBB1-2F8C8853495E}"/>
    <cellStyle name="Comma 4 4 2 9 2 3" xfId="23886" xr:uid="{93A6C79D-26B8-4385-9335-3E5F6C594D22}"/>
    <cellStyle name="Comma 4 4 2 9 3" xfId="11233" xr:uid="{FAEF71B1-CAA2-4864-8673-55CF7E6E8B80}"/>
    <cellStyle name="Comma 4 4 2 9 4" xfId="19669" xr:uid="{AE32DCBE-1F3F-4605-B86A-96E079423F45}"/>
    <cellStyle name="Comma 4 4 3" xfId="156" xr:uid="{00000000-0005-0000-0000-0000FB090000}"/>
    <cellStyle name="Comma 4 4 3 10" xfId="8852" xr:uid="{96F774A1-5D2D-49C2-88D5-0569308B7C91}"/>
    <cellStyle name="Comma 4 4 3 11" xfId="17288" xr:uid="{556428AD-74AE-4C88-8BF8-09D7ACAD0BEF}"/>
    <cellStyle name="Comma 4 4 3 2" xfId="693" xr:uid="{00000000-0005-0000-0000-0000FC090000}"/>
    <cellStyle name="Comma 4 4 3 2 2" xfId="2964" xr:uid="{00000000-0005-0000-0000-0000FD090000}"/>
    <cellStyle name="Comma 4 4 3 2 2 2" xfId="7187" xr:uid="{00000000-0005-0000-0000-0000FE090000}"/>
    <cellStyle name="Comma 4 4 3 2 2 2 2" xfId="15629" xr:uid="{F5A73478-FC72-4B6E-BD43-CAE35FA5EA44}"/>
    <cellStyle name="Comma 4 4 3 2 2 2 3" xfId="24064" xr:uid="{93BE2F5D-6ECF-477B-A764-A60394FE43C5}"/>
    <cellStyle name="Comma 4 4 3 2 2 3" xfId="11411" xr:uid="{83B5592C-9558-4148-A45C-C59C83CD70C4}"/>
    <cellStyle name="Comma 4 4 3 2 2 4" xfId="19847" xr:uid="{7E164ED9-C3FF-4217-BDE5-AED751D512A2}"/>
    <cellStyle name="Comma 4 4 3 2 3" xfId="5042" xr:uid="{00000000-0005-0000-0000-0000FF090000}"/>
    <cellStyle name="Comma 4 4 3 2 3 2" xfId="13484" xr:uid="{16A2812E-78CD-40E3-94F5-C5C97AC3481F}"/>
    <cellStyle name="Comma 4 4 3 2 3 3" xfId="21919" xr:uid="{C2BCDC51-C1C1-4461-A844-A8CE8A692041}"/>
    <cellStyle name="Comma 4 4 3 2 4" xfId="9266" xr:uid="{D5343E29-E16C-40BF-A037-D99A8A2309F4}"/>
    <cellStyle name="Comma 4 4 3 2 5" xfId="17702" xr:uid="{312BA3E9-7B3C-4BF6-95FC-E8CBBB1685E4}"/>
    <cellStyle name="Comma 4 4 3 3" xfId="1146" xr:uid="{00000000-0005-0000-0000-0000000A0000}"/>
    <cellStyle name="Comma 4 4 3 3 2" xfId="3377" xr:uid="{00000000-0005-0000-0000-0000010A0000}"/>
    <cellStyle name="Comma 4 4 3 3 2 2" xfId="7600" xr:uid="{00000000-0005-0000-0000-0000020A0000}"/>
    <cellStyle name="Comma 4 4 3 3 2 2 2" xfId="16042" xr:uid="{58A22094-AFDB-49DD-9E87-72F2661AD296}"/>
    <cellStyle name="Comma 4 4 3 3 2 2 3" xfId="24477" xr:uid="{D1DA481C-7523-4DE3-942E-2BE7876E8C6F}"/>
    <cellStyle name="Comma 4 4 3 3 2 3" xfId="11824" xr:uid="{3E788F52-A455-4953-B885-647234FC1998}"/>
    <cellStyle name="Comma 4 4 3 3 2 4" xfId="20260" xr:uid="{E3B7B71C-D8EA-41D6-99D5-4B6CCAFB0884}"/>
    <cellStyle name="Comma 4 4 3 3 3" xfId="5455" xr:uid="{00000000-0005-0000-0000-0000030A0000}"/>
    <cellStyle name="Comma 4 4 3 3 3 2" xfId="13897" xr:uid="{775FC732-7CBC-402B-AB4C-380C1387CE8E}"/>
    <cellStyle name="Comma 4 4 3 3 3 3" xfId="22332" xr:uid="{B473A455-C9AE-47D5-9F84-7ECC4F0015ED}"/>
    <cellStyle name="Comma 4 4 3 3 4" xfId="9679" xr:uid="{2E37BE34-8872-4FD2-95B3-36827838850E}"/>
    <cellStyle name="Comma 4 4 3 3 5" xfId="18115" xr:uid="{70B97F66-C8CB-4CDD-8A0E-7C9832AA7384}"/>
    <cellStyle name="Comma 4 4 3 4" xfId="1560" xr:uid="{00000000-0005-0000-0000-0000040A0000}"/>
    <cellStyle name="Comma 4 4 3 4 2" xfId="3790" xr:uid="{00000000-0005-0000-0000-0000050A0000}"/>
    <cellStyle name="Comma 4 4 3 4 2 2" xfId="8013" xr:uid="{00000000-0005-0000-0000-0000060A0000}"/>
    <cellStyle name="Comma 4 4 3 4 2 2 2" xfId="16455" xr:uid="{42B18CEE-81EE-4C6D-9A7E-E42FA375267D}"/>
    <cellStyle name="Comma 4 4 3 4 2 2 3" xfId="24890" xr:uid="{F51E7D98-BBFD-41EF-BC12-A5EC1703A38F}"/>
    <cellStyle name="Comma 4 4 3 4 2 3" xfId="12237" xr:uid="{621AC1C5-6BD7-4479-BF12-DBE26E12EAEC}"/>
    <cellStyle name="Comma 4 4 3 4 2 4" xfId="20673" xr:uid="{DD006AE3-0234-4F85-B171-8F668834FAAB}"/>
    <cellStyle name="Comma 4 4 3 4 3" xfId="5868" xr:uid="{00000000-0005-0000-0000-0000070A0000}"/>
    <cellStyle name="Comma 4 4 3 4 3 2" xfId="14310" xr:uid="{42275E89-2E27-48F5-AB39-76E0E2843B5A}"/>
    <cellStyle name="Comma 4 4 3 4 3 3" xfId="22745" xr:uid="{86739853-6405-4127-A0B2-F092576D8A46}"/>
    <cellStyle name="Comma 4 4 3 4 4" xfId="10092" xr:uid="{131A4A92-A1DA-4471-BA42-6889C017CBC7}"/>
    <cellStyle name="Comma 4 4 3 4 5" xfId="18528" xr:uid="{04935F6E-721F-40D5-8B1E-C7B26FB808F8}"/>
    <cellStyle name="Comma 4 4 3 5" xfId="1974" xr:uid="{00000000-0005-0000-0000-0000080A0000}"/>
    <cellStyle name="Comma 4 4 3 5 2" xfId="4203" xr:uid="{00000000-0005-0000-0000-0000090A0000}"/>
    <cellStyle name="Comma 4 4 3 5 2 2" xfId="8426" xr:uid="{00000000-0005-0000-0000-00000A0A0000}"/>
    <cellStyle name="Comma 4 4 3 5 2 2 2" xfId="16868" xr:uid="{55E3762D-3850-44B0-AD2B-4F8AB4E4F8EE}"/>
    <cellStyle name="Comma 4 4 3 5 2 2 3" xfId="25303" xr:uid="{2E1940A5-9255-4D5D-8263-F1E78EE48E63}"/>
    <cellStyle name="Comma 4 4 3 5 2 3" xfId="12650" xr:uid="{2F13088C-420D-48AF-BCCE-7A2259743D7A}"/>
    <cellStyle name="Comma 4 4 3 5 2 4" xfId="21086" xr:uid="{53F8F659-81D7-4C9A-87DC-9E338F84121A}"/>
    <cellStyle name="Comma 4 4 3 5 3" xfId="6281" xr:uid="{00000000-0005-0000-0000-00000B0A0000}"/>
    <cellStyle name="Comma 4 4 3 5 3 2" xfId="14723" xr:uid="{E1CD908D-93AA-4B5A-AB9B-74F5F69DCE3A}"/>
    <cellStyle name="Comma 4 4 3 5 3 3" xfId="23158" xr:uid="{CCF06575-2942-4E2B-8C6F-17A7F20D0389}"/>
    <cellStyle name="Comma 4 4 3 5 4" xfId="10505" xr:uid="{D0F13293-894A-4335-BC1D-72D49D305315}"/>
    <cellStyle name="Comma 4 4 3 5 5" xfId="18941" xr:uid="{9A0358DB-252C-416C-8E18-FE9A276821DB}"/>
    <cellStyle name="Comma 4 4 3 6" xfId="2409" xr:uid="{00000000-0005-0000-0000-00000C0A0000}"/>
    <cellStyle name="Comma 4 4 3 6 2" xfId="6694" xr:uid="{00000000-0005-0000-0000-00000D0A0000}"/>
    <cellStyle name="Comma 4 4 3 6 2 2" xfId="15136" xr:uid="{029B9F9F-F13A-476B-9C92-B65C189F1700}"/>
    <cellStyle name="Comma 4 4 3 6 2 3" xfId="23571" xr:uid="{B644CFFA-4D3C-4348-8D0A-6CDE0F32B465}"/>
    <cellStyle name="Comma 4 4 3 6 3" xfId="10918" xr:uid="{CA4D299E-B8B2-4DA5-A87B-28488C0C4933}"/>
    <cellStyle name="Comma 4 4 3 6 4" xfId="19354" xr:uid="{97A8B47B-9B2D-4E40-B356-6F5489A0DF21}"/>
    <cellStyle name="Comma 4 4 3 7" xfId="2705" xr:uid="{00000000-0005-0000-0000-00000E0A0000}"/>
    <cellStyle name="Comma 4 4 3 8" xfId="2787" xr:uid="{00000000-0005-0000-0000-00000F0A0000}"/>
    <cellStyle name="Comma 4 4 3 8 2" xfId="7011" xr:uid="{00000000-0005-0000-0000-0000100A0000}"/>
    <cellStyle name="Comma 4 4 3 8 2 2" xfId="15453" xr:uid="{36C76A17-426B-4E6A-B026-E01B86ED474B}"/>
    <cellStyle name="Comma 4 4 3 8 2 3" xfId="23888" xr:uid="{5BFF09E4-38E3-4148-A4F1-BD03AB58FCAC}"/>
    <cellStyle name="Comma 4 4 3 8 3" xfId="11235" xr:uid="{218BBE42-6028-4CB0-9EB4-C0B180C5EC57}"/>
    <cellStyle name="Comma 4 4 3 8 4" xfId="19671" xr:uid="{A5FBD7D8-BA8F-4A83-B9EB-6754C246F860}"/>
    <cellStyle name="Comma 4 4 3 9" xfId="4628" xr:uid="{00000000-0005-0000-0000-0000110A0000}"/>
    <cellStyle name="Comma 4 4 3 9 2" xfId="13070" xr:uid="{9E964A91-321B-44CD-B3FB-BE70531FA0D7}"/>
    <cellStyle name="Comma 4 4 3 9 3" xfId="21505" xr:uid="{361DBBBB-BADE-42B0-A0F1-820FE3614AAA}"/>
    <cellStyle name="Comma 4 4 4" xfId="690" xr:uid="{00000000-0005-0000-0000-0000120A0000}"/>
    <cellStyle name="Comma 4 4 4 2" xfId="2961" xr:uid="{00000000-0005-0000-0000-0000130A0000}"/>
    <cellStyle name="Comma 4 4 4 2 2" xfId="7184" xr:uid="{00000000-0005-0000-0000-0000140A0000}"/>
    <cellStyle name="Comma 4 4 4 2 2 2" xfId="15626" xr:uid="{AFFD0ED3-5F64-4A0F-B840-221672348047}"/>
    <cellStyle name="Comma 4 4 4 2 2 3" xfId="24061" xr:uid="{A602264C-7F47-4D5A-B33A-BE9EF5F3E143}"/>
    <cellStyle name="Comma 4 4 4 2 3" xfId="11408" xr:uid="{F41E1565-00F2-4FF7-B552-24D63C21CD7C}"/>
    <cellStyle name="Comma 4 4 4 2 4" xfId="19844" xr:uid="{7B2614CC-7B2B-49AF-BF58-A090A00E10AE}"/>
    <cellStyle name="Comma 4 4 4 3" xfId="5039" xr:uid="{00000000-0005-0000-0000-0000150A0000}"/>
    <cellStyle name="Comma 4 4 4 3 2" xfId="13481" xr:uid="{A9B58E35-25CB-48C4-858E-5E00F48FC131}"/>
    <cellStyle name="Comma 4 4 4 3 3" xfId="21916" xr:uid="{08F8F887-E8A1-4449-A865-CB66DF37A58A}"/>
    <cellStyle name="Comma 4 4 4 4" xfId="9263" xr:uid="{478C3EF5-A743-4A63-B265-5766BAA0D039}"/>
    <cellStyle name="Comma 4 4 4 5" xfId="17699" xr:uid="{6E8C3F5F-1DBE-4264-A0EB-E3315BE0DAF2}"/>
    <cellStyle name="Comma 4 4 5" xfId="1143" xr:uid="{00000000-0005-0000-0000-0000160A0000}"/>
    <cellStyle name="Comma 4 4 5 2" xfId="3374" xr:uid="{00000000-0005-0000-0000-0000170A0000}"/>
    <cellStyle name="Comma 4 4 5 2 2" xfId="7597" xr:uid="{00000000-0005-0000-0000-0000180A0000}"/>
    <cellStyle name="Comma 4 4 5 2 2 2" xfId="16039" xr:uid="{A205B010-253A-4D7D-86F7-6AD2ED6CD884}"/>
    <cellStyle name="Comma 4 4 5 2 2 3" xfId="24474" xr:uid="{B66765AA-912B-41C5-A30B-EB068DF81CCE}"/>
    <cellStyle name="Comma 4 4 5 2 3" xfId="11821" xr:uid="{EB233CCF-4252-4611-A4C4-2D7B216DA1D3}"/>
    <cellStyle name="Comma 4 4 5 2 4" xfId="20257" xr:uid="{C167D546-002C-433C-92E0-F25CC5641694}"/>
    <cellStyle name="Comma 4 4 5 3" xfId="5452" xr:uid="{00000000-0005-0000-0000-0000190A0000}"/>
    <cellStyle name="Comma 4 4 5 3 2" xfId="13894" xr:uid="{E17AC940-C6CA-481F-BE55-42AC82764D27}"/>
    <cellStyle name="Comma 4 4 5 3 3" xfId="22329" xr:uid="{3A7399FD-857C-4C10-BA1A-E675209DD4F5}"/>
    <cellStyle name="Comma 4 4 5 4" xfId="9676" xr:uid="{29FD1A2A-236B-4676-8EE5-C20DCDF5C5AA}"/>
    <cellStyle name="Comma 4 4 5 5" xfId="18112" xr:uid="{437EF9C4-A217-46DE-9860-965FDBE71004}"/>
    <cellStyle name="Comma 4 4 6" xfId="1557" xr:uid="{00000000-0005-0000-0000-00001A0A0000}"/>
    <cellStyle name="Comma 4 4 6 2" xfId="3787" xr:uid="{00000000-0005-0000-0000-00001B0A0000}"/>
    <cellStyle name="Comma 4 4 6 2 2" xfId="8010" xr:uid="{00000000-0005-0000-0000-00001C0A0000}"/>
    <cellStyle name="Comma 4 4 6 2 2 2" xfId="16452" xr:uid="{FB284C17-A494-49B4-98BB-88463D75CC4D}"/>
    <cellStyle name="Comma 4 4 6 2 2 3" xfId="24887" xr:uid="{13F5FDC6-3E39-45EF-93DE-EAB98FA442FF}"/>
    <cellStyle name="Comma 4 4 6 2 3" xfId="12234" xr:uid="{EDA85CDE-70E2-425F-AC90-0B98440EDF83}"/>
    <cellStyle name="Comma 4 4 6 2 4" xfId="20670" xr:uid="{4E702E27-48D9-426A-BFFA-15D43D1A72AD}"/>
    <cellStyle name="Comma 4 4 6 3" xfId="5865" xr:uid="{00000000-0005-0000-0000-00001D0A0000}"/>
    <cellStyle name="Comma 4 4 6 3 2" xfId="14307" xr:uid="{248E4EEB-9BDE-499B-8B65-EA47E2516FA1}"/>
    <cellStyle name="Comma 4 4 6 3 3" xfId="22742" xr:uid="{9470C00B-40DD-49AF-9629-7A6B9A8A5FA6}"/>
    <cellStyle name="Comma 4 4 6 4" xfId="10089" xr:uid="{F9AD5E6C-36AB-40AB-A47F-696CFDDAB252}"/>
    <cellStyle name="Comma 4 4 6 5" xfId="18525" xr:uid="{D607ED3C-36BC-40ED-A01F-A0F5B13AF327}"/>
    <cellStyle name="Comma 4 4 7" xfId="1971" xr:uid="{00000000-0005-0000-0000-00001E0A0000}"/>
    <cellStyle name="Comma 4 4 7 2" xfId="4200" xr:uid="{00000000-0005-0000-0000-00001F0A0000}"/>
    <cellStyle name="Comma 4 4 7 2 2" xfId="8423" xr:uid="{00000000-0005-0000-0000-0000200A0000}"/>
    <cellStyle name="Comma 4 4 7 2 2 2" xfId="16865" xr:uid="{4BE36AF5-928D-4105-913F-5BC0CCCD8C6A}"/>
    <cellStyle name="Comma 4 4 7 2 2 3" xfId="25300" xr:uid="{049B6D7A-87A3-4C90-8DB7-5B9D449336CE}"/>
    <cellStyle name="Comma 4 4 7 2 3" xfId="12647" xr:uid="{F6E2DD43-CDC6-4544-8EBA-5DD9258C4924}"/>
    <cellStyle name="Comma 4 4 7 2 4" xfId="21083" xr:uid="{DA09741B-5E77-42AC-9D1A-B1E42AD073E2}"/>
    <cellStyle name="Comma 4 4 7 3" xfId="6278" xr:uid="{00000000-0005-0000-0000-0000210A0000}"/>
    <cellStyle name="Comma 4 4 7 3 2" xfId="14720" xr:uid="{88D325FB-F7DB-41DE-B904-8080C46B23A1}"/>
    <cellStyle name="Comma 4 4 7 3 3" xfId="23155" xr:uid="{EFA2E21F-EDF5-434C-A769-A27CCDF51AA3}"/>
    <cellStyle name="Comma 4 4 7 4" xfId="10502" xr:uid="{92FCF6CB-0D17-40CC-84D0-6B478BB6D9AA}"/>
    <cellStyle name="Comma 4 4 7 5" xfId="18938" xr:uid="{A33D7D14-DBA7-4719-8274-65D0C579CBA5}"/>
    <cellStyle name="Comma 4 4 8" xfId="2406" xr:uid="{00000000-0005-0000-0000-0000220A0000}"/>
    <cellStyle name="Comma 4 4 8 2" xfId="6691" xr:uid="{00000000-0005-0000-0000-0000230A0000}"/>
    <cellStyle name="Comma 4 4 8 2 2" xfId="15133" xr:uid="{716FA79D-1611-4C9D-AE06-823E6F207854}"/>
    <cellStyle name="Comma 4 4 8 2 3" xfId="23568" xr:uid="{B9660D61-17D8-4078-AB52-C87104B70131}"/>
    <cellStyle name="Comma 4 4 8 3" xfId="10915" xr:uid="{CFAFD4AA-955E-4FCC-8D48-1714588E8D34}"/>
    <cellStyle name="Comma 4 4 8 4" xfId="19351" xr:uid="{987D0AC1-FBDD-4147-8F28-CF8868D64D19}"/>
    <cellStyle name="Comma 4 4 9" xfId="2702" xr:uid="{00000000-0005-0000-0000-0000240A0000}"/>
    <cellStyle name="Comma 4 5" xfId="157" xr:uid="{00000000-0005-0000-0000-0000250A0000}"/>
    <cellStyle name="Comma 4 5 10" xfId="4629" xr:uid="{00000000-0005-0000-0000-0000260A0000}"/>
    <cellStyle name="Comma 4 5 10 2" xfId="13071" xr:uid="{08881ACE-B4D5-48C7-BA9F-B6274C20910F}"/>
    <cellStyle name="Comma 4 5 10 3" xfId="21506" xr:uid="{9015D67F-025C-44B0-800A-E34D00F3BA7D}"/>
    <cellStyle name="Comma 4 5 11" xfId="8853" xr:uid="{5EBE6609-427F-4A03-8A37-39A6A70F4DAB}"/>
    <cellStyle name="Comma 4 5 12" xfId="17289" xr:uid="{26EB0EBB-AE6E-41AD-B0CC-02FA64D4D18E}"/>
    <cellStyle name="Comma 4 5 2" xfId="158" xr:uid="{00000000-0005-0000-0000-0000270A0000}"/>
    <cellStyle name="Comma 4 5 2 10" xfId="8854" xr:uid="{3016BDB4-A780-49BD-96BC-3998C8BE8EE6}"/>
    <cellStyle name="Comma 4 5 2 11" xfId="17290" xr:uid="{1DC27B60-5A3B-4A7F-BE1E-9EC0D59C2FD0}"/>
    <cellStyle name="Comma 4 5 2 2" xfId="695" xr:uid="{00000000-0005-0000-0000-0000280A0000}"/>
    <cellStyle name="Comma 4 5 2 2 2" xfId="2966" xr:uid="{00000000-0005-0000-0000-0000290A0000}"/>
    <cellStyle name="Comma 4 5 2 2 2 2" xfId="7189" xr:uid="{00000000-0005-0000-0000-00002A0A0000}"/>
    <cellStyle name="Comma 4 5 2 2 2 2 2" xfId="15631" xr:uid="{D870C342-EEA8-4B59-B853-18A5C6B9D8A7}"/>
    <cellStyle name="Comma 4 5 2 2 2 2 3" xfId="24066" xr:uid="{FB8E5623-8F1A-43BF-92E0-63D86E54A336}"/>
    <cellStyle name="Comma 4 5 2 2 2 3" xfId="11413" xr:uid="{2A034C2C-74D8-4EEE-B91C-21D6962A8F23}"/>
    <cellStyle name="Comma 4 5 2 2 2 4" xfId="19849" xr:uid="{2C1BFF31-F0FE-4F4A-B72D-C6FBD7829B83}"/>
    <cellStyle name="Comma 4 5 2 2 3" xfId="5044" xr:uid="{00000000-0005-0000-0000-00002B0A0000}"/>
    <cellStyle name="Comma 4 5 2 2 3 2" xfId="13486" xr:uid="{2017DEA5-F19E-4FB2-BD4E-27823966E178}"/>
    <cellStyle name="Comma 4 5 2 2 3 3" xfId="21921" xr:uid="{A9D75031-2072-458A-B01C-96905B7EFF7D}"/>
    <cellStyle name="Comma 4 5 2 2 4" xfId="9268" xr:uid="{DE852260-2C20-4618-A8C8-757B6CB360A2}"/>
    <cellStyle name="Comma 4 5 2 2 5" xfId="17704" xr:uid="{23629223-F495-4C7B-8EAE-0DA78CE823D4}"/>
    <cellStyle name="Comma 4 5 2 3" xfId="1148" xr:uid="{00000000-0005-0000-0000-00002C0A0000}"/>
    <cellStyle name="Comma 4 5 2 3 2" xfId="3379" xr:uid="{00000000-0005-0000-0000-00002D0A0000}"/>
    <cellStyle name="Comma 4 5 2 3 2 2" xfId="7602" xr:uid="{00000000-0005-0000-0000-00002E0A0000}"/>
    <cellStyle name="Comma 4 5 2 3 2 2 2" xfId="16044" xr:uid="{6ADABEFF-435B-495A-8797-8040D06F26F4}"/>
    <cellStyle name="Comma 4 5 2 3 2 2 3" xfId="24479" xr:uid="{FA09DE4B-AE8B-4144-BA24-0206D61BABF5}"/>
    <cellStyle name="Comma 4 5 2 3 2 3" xfId="11826" xr:uid="{9238C4A9-725F-414E-AB0D-4BFE6C0B0EB5}"/>
    <cellStyle name="Comma 4 5 2 3 2 4" xfId="20262" xr:uid="{EED3F60F-1C27-4543-8270-07D813265844}"/>
    <cellStyle name="Comma 4 5 2 3 3" xfId="5457" xr:uid="{00000000-0005-0000-0000-00002F0A0000}"/>
    <cellStyle name="Comma 4 5 2 3 3 2" xfId="13899" xr:uid="{6A4B7CC6-2BB4-4180-9B55-25FF46755842}"/>
    <cellStyle name="Comma 4 5 2 3 3 3" xfId="22334" xr:uid="{F89E9140-36E3-4D50-8EC2-D880D31B6D79}"/>
    <cellStyle name="Comma 4 5 2 3 4" xfId="9681" xr:uid="{967D622C-A1AF-42F2-B73F-33862BAF28EF}"/>
    <cellStyle name="Comma 4 5 2 3 5" xfId="18117" xr:uid="{F194C703-617A-4C40-BFE8-03C83D76B574}"/>
    <cellStyle name="Comma 4 5 2 4" xfId="1562" xr:uid="{00000000-0005-0000-0000-0000300A0000}"/>
    <cellStyle name="Comma 4 5 2 4 2" xfId="3792" xr:uid="{00000000-0005-0000-0000-0000310A0000}"/>
    <cellStyle name="Comma 4 5 2 4 2 2" xfId="8015" xr:uid="{00000000-0005-0000-0000-0000320A0000}"/>
    <cellStyle name="Comma 4 5 2 4 2 2 2" xfId="16457" xr:uid="{FF178DAD-4733-46EC-AD9E-68825A17563A}"/>
    <cellStyle name="Comma 4 5 2 4 2 2 3" xfId="24892" xr:uid="{21418A12-8443-4BA9-A9E7-4789C30DD6D3}"/>
    <cellStyle name="Comma 4 5 2 4 2 3" xfId="12239" xr:uid="{6AEAD179-8DD7-4115-8271-A334982230D2}"/>
    <cellStyle name="Comma 4 5 2 4 2 4" xfId="20675" xr:uid="{A00EE930-0C09-4C54-B636-F2C6961B8E9B}"/>
    <cellStyle name="Comma 4 5 2 4 3" xfId="5870" xr:uid="{00000000-0005-0000-0000-0000330A0000}"/>
    <cellStyle name="Comma 4 5 2 4 3 2" xfId="14312" xr:uid="{89F880FE-23A6-435A-99CF-D0FE98704648}"/>
    <cellStyle name="Comma 4 5 2 4 3 3" xfId="22747" xr:uid="{B1581D59-6E20-4E38-B6F9-4F66EF8100F1}"/>
    <cellStyle name="Comma 4 5 2 4 4" xfId="10094" xr:uid="{2E9702FA-5605-4A41-A831-11B0BEC7B9DD}"/>
    <cellStyle name="Comma 4 5 2 4 5" xfId="18530" xr:uid="{49472B7E-3FAF-4634-9F50-704B842C1105}"/>
    <cellStyle name="Comma 4 5 2 5" xfId="1976" xr:uid="{00000000-0005-0000-0000-0000340A0000}"/>
    <cellStyle name="Comma 4 5 2 5 2" xfId="4205" xr:uid="{00000000-0005-0000-0000-0000350A0000}"/>
    <cellStyle name="Comma 4 5 2 5 2 2" xfId="8428" xr:uid="{00000000-0005-0000-0000-0000360A0000}"/>
    <cellStyle name="Comma 4 5 2 5 2 2 2" xfId="16870" xr:uid="{0206EA5A-198D-401C-AB64-5360C7E96F43}"/>
    <cellStyle name="Comma 4 5 2 5 2 2 3" xfId="25305" xr:uid="{0028174D-D73A-4EAF-A28A-7302971B80E5}"/>
    <cellStyle name="Comma 4 5 2 5 2 3" xfId="12652" xr:uid="{E4CBBB35-D8CD-48FE-9793-7E44BC7EEDAC}"/>
    <cellStyle name="Comma 4 5 2 5 2 4" xfId="21088" xr:uid="{F707C319-F095-409C-900A-329727C90263}"/>
    <cellStyle name="Comma 4 5 2 5 3" xfId="6283" xr:uid="{00000000-0005-0000-0000-0000370A0000}"/>
    <cellStyle name="Comma 4 5 2 5 3 2" xfId="14725" xr:uid="{8E946049-CF74-4EAA-AA88-571B058E04CC}"/>
    <cellStyle name="Comma 4 5 2 5 3 3" xfId="23160" xr:uid="{9CA04D25-B06D-4927-92F2-010810C0744D}"/>
    <cellStyle name="Comma 4 5 2 5 4" xfId="10507" xr:uid="{9C232E4F-5007-4A40-9EB2-8BF6DFC32100}"/>
    <cellStyle name="Comma 4 5 2 5 5" xfId="18943" xr:uid="{388D33DA-8F46-4531-AC8D-4C923590F756}"/>
    <cellStyle name="Comma 4 5 2 6" xfId="2411" xr:uid="{00000000-0005-0000-0000-0000380A0000}"/>
    <cellStyle name="Comma 4 5 2 6 2" xfId="6696" xr:uid="{00000000-0005-0000-0000-0000390A0000}"/>
    <cellStyle name="Comma 4 5 2 6 2 2" xfId="15138" xr:uid="{36E9EDB4-3995-4BA7-AA15-B3FFFCE63248}"/>
    <cellStyle name="Comma 4 5 2 6 2 3" xfId="23573" xr:uid="{4737C157-ED6D-4A1F-BF72-55D19D6C426D}"/>
    <cellStyle name="Comma 4 5 2 6 3" xfId="10920" xr:uid="{9B539ABE-1497-4944-8C03-30BA0CBC6E94}"/>
    <cellStyle name="Comma 4 5 2 6 4" xfId="19356" xr:uid="{5D0450B1-E861-45EA-91E5-6F847BC00A86}"/>
    <cellStyle name="Comma 4 5 2 7" xfId="2707" xr:uid="{00000000-0005-0000-0000-00003A0A0000}"/>
    <cellStyle name="Comma 4 5 2 8" xfId="2789" xr:uid="{00000000-0005-0000-0000-00003B0A0000}"/>
    <cellStyle name="Comma 4 5 2 8 2" xfId="7013" xr:uid="{00000000-0005-0000-0000-00003C0A0000}"/>
    <cellStyle name="Comma 4 5 2 8 2 2" xfId="15455" xr:uid="{23E18B1A-3F16-4363-A503-D6832CFEA726}"/>
    <cellStyle name="Comma 4 5 2 8 2 3" xfId="23890" xr:uid="{0BD9EBAE-1F54-4DDE-8420-4F101B9CA289}"/>
    <cellStyle name="Comma 4 5 2 8 3" xfId="11237" xr:uid="{D21E101E-7A7B-463D-846B-C8589979D7E2}"/>
    <cellStyle name="Comma 4 5 2 8 4" xfId="19673" xr:uid="{9CE32842-11EF-420C-B6DC-B06198BE9135}"/>
    <cellStyle name="Comma 4 5 2 9" xfId="4630" xr:uid="{00000000-0005-0000-0000-00003D0A0000}"/>
    <cellStyle name="Comma 4 5 2 9 2" xfId="13072" xr:uid="{87B3D506-2350-4C4F-A6DD-951D64895D5C}"/>
    <cellStyle name="Comma 4 5 2 9 3" xfId="21507" xr:uid="{2E74B568-F480-4BD2-B156-E679428DDC4F}"/>
    <cellStyle name="Comma 4 5 3" xfId="694" xr:uid="{00000000-0005-0000-0000-00003E0A0000}"/>
    <cellStyle name="Comma 4 5 3 2" xfId="2965" xr:uid="{00000000-0005-0000-0000-00003F0A0000}"/>
    <cellStyle name="Comma 4 5 3 2 2" xfId="7188" xr:uid="{00000000-0005-0000-0000-0000400A0000}"/>
    <cellStyle name="Comma 4 5 3 2 2 2" xfId="15630" xr:uid="{00B64097-E20C-495F-86B1-320DE2BB39DB}"/>
    <cellStyle name="Comma 4 5 3 2 2 3" xfId="24065" xr:uid="{CEDF76AE-BB9A-43F2-B0F7-4DF988420807}"/>
    <cellStyle name="Comma 4 5 3 2 3" xfId="11412" xr:uid="{913A4C0B-0D5D-49F4-9B40-B5E5186B18FB}"/>
    <cellStyle name="Comma 4 5 3 2 4" xfId="19848" xr:uid="{EFB27ED0-EE24-4A29-890E-0534250FEB7F}"/>
    <cellStyle name="Comma 4 5 3 3" xfId="5043" xr:uid="{00000000-0005-0000-0000-0000410A0000}"/>
    <cellStyle name="Comma 4 5 3 3 2" xfId="13485" xr:uid="{9CFC152D-2B47-45FF-9BF8-C2B87D532906}"/>
    <cellStyle name="Comma 4 5 3 3 3" xfId="21920" xr:uid="{9C0066D4-3989-4211-8646-5E9B4921F4CA}"/>
    <cellStyle name="Comma 4 5 3 4" xfId="9267" xr:uid="{4CCCE4BB-C7C8-4B2B-AAA4-AA4AE44C321D}"/>
    <cellStyle name="Comma 4 5 3 5" xfId="17703" xr:uid="{19937F1D-07A1-4CDA-97B5-A2C5E44CA292}"/>
    <cellStyle name="Comma 4 5 4" xfId="1147" xr:uid="{00000000-0005-0000-0000-0000420A0000}"/>
    <cellStyle name="Comma 4 5 4 2" xfId="3378" xr:uid="{00000000-0005-0000-0000-0000430A0000}"/>
    <cellStyle name="Comma 4 5 4 2 2" xfId="7601" xr:uid="{00000000-0005-0000-0000-0000440A0000}"/>
    <cellStyle name="Comma 4 5 4 2 2 2" xfId="16043" xr:uid="{DF6104A9-174E-40A5-AA3E-889D9A16D095}"/>
    <cellStyle name="Comma 4 5 4 2 2 3" xfId="24478" xr:uid="{4FFCACD5-977A-46A7-9D86-CD82CD23A8E5}"/>
    <cellStyle name="Comma 4 5 4 2 3" xfId="11825" xr:uid="{BCE7A339-018B-47B9-AD96-FFE359014956}"/>
    <cellStyle name="Comma 4 5 4 2 4" xfId="20261" xr:uid="{04CEB222-8BC8-4CF0-AD5A-90556E528DA1}"/>
    <cellStyle name="Comma 4 5 4 3" xfId="5456" xr:uid="{00000000-0005-0000-0000-0000450A0000}"/>
    <cellStyle name="Comma 4 5 4 3 2" xfId="13898" xr:uid="{FD3083CE-04E0-4C92-9C05-2D50370F3134}"/>
    <cellStyle name="Comma 4 5 4 3 3" xfId="22333" xr:uid="{BA2B0180-7D7F-402C-A008-FBCCCDD93407}"/>
    <cellStyle name="Comma 4 5 4 4" xfId="9680" xr:uid="{709548F8-1984-4C69-B89C-F420D63710CC}"/>
    <cellStyle name="Comma 4 5 4 5" xfId="18116" xr:uid="{5B176ADE-D32E-4BEC-ADCE-1EC70BCDBDA5}"/>
    <cellStyle name="Comma 4 5 5" xfId="1561" xr:uid="{00000000-0005-0000-0000-0000460A0000}"/>
    <cellStyle name="Comma 4 5 5 2" xfId="3791" xr:uid="{00000000-0005-0000-0000-0000470A0000}"/>
    <cellStyle name="Comma 4 5 5 2 2" xfId="8014" xr:uid="{00000000-0005-0000-0000-0000480A0000}"/>
    <cellStyle name="Comma 4 5 5 2 2 2" xfId="16456" xr:uid="{5D9AF62B-8D36-41EF-BB52-40224B11DFD2}"/>
    <cellStyle name="Comma 4 5 5 2 2 3" xfId="24891" xr:uid="{C8DBA69B-7DA3-454B-BBA1-A5A77EE3A9BF}"/>
    <cellStyle name="Comma 4 5 5 2 3" xfId="12238" xr:uid="{F55399A9-8E4F-4A0B-8A27-86F314525676}"/>
    <cellStyle name="Comma 4 5 5 2 4" xfId="20674" xr:uid="{B4C71F73-D40E-472F-B866-20CD04B109F3}"/>
    <cellStyle name="Comma 4 5 5 3" xfId="5869" xr:uid="{00000000-0005-0000-0000-0000490A0000}"/>
    <cellStyle name="Comma 4 5 5 3 2" xfId="14311" xr:uid="{C021A8EE-0965-4F3A-8A20-6E676207DEBB}"/>
    <cellStyle name="Comma 4 5 5 3 3" xfId="22746" xr:uid="{8EBD851C-2223-44BB-A31D-7B44493C1A99}"/>
    <cellStyle name="Comma 4 5 5 4" xfId="10093" xr:uid="{5F06F401-DAF3-482C-A0D9-F33433318D48}"/>
    <cellStyle name="Comma 4 5 5 5" xfId="18529" xr:uid="{954D8F8C-756E-418E-8E33-15570FD4FBDD}"/>
    <cellStyle name="Comma 4 5 6" xfId="1975" xr:uid="{00000000-0005-0000-0000-00004A0A0000}"/>
    <cellStyle name="Comma 4 5 6 2" xfId="4204" xr:uid="{00000000-0005-0000-0000-00004B0A0000}"/>
    <cellStyle name="Comma 4 5 6 2 2" xfId="8427" xr:uid="{00000000-0005-0000-0000-00004C0A0000}"/>
    <cellStyle name="Comma 4 5 6 2 2 2" xfId="16869" xr:uid="{7CCB6111-E83D-4DDD-9EB3-056424454EDA}"/>
    <cellStyle name="Comma 4 5 6 2 2 3" xfId="25304" xr:uid="{A1B5A89A-5AF3-46B6-B8DD-6E6AF8FB5F5E}"/>
    <cellStyle name="Comma 4 5 6 2 3" xfId="12651" xr:uid="{7FC302EB-1A7C-4584-8701-C2BB6B358518}"/>
    <cellStyle name="Comma 4 5 6 2 4" xfId="21087" xr:uid="{00991417-1E6A-41D7-98F4-246617106635}"/>
    <cellStyle name="Comma 4 5 6 3" xfId="6282" xr:uid="{00000000-0005-0000-0000-00004D0A0000}"/>
    <cellStyle name="Comma 4 5 6 3 2" xfId="14724" xr:uid="{81D0EAF1-9265-43F8-80F9-6F6F3B394A97}"/>
    <cellStyle name="Comma 4 5 6 3 3" xfId="23159" xr:uid="{56066D0B-92F1-4061-A25A-8ACD4F0ED371}"/>
    <cellStyle name="Comma 4 5 6 4" xfId="10506" xr:uid="{91A10B3E-DEB8-40E1-910C-86EFB18D5096}"/>
    <cellStyle name="Comma 4 5 6 5" xfId="18942" xr:uid="{17E425FD-A057-4AB2-ACA8-18ED18D2FA2A}"/>
    <cellStyle name="Comma 4 5 7" xfId="2410" xr:uid="{00000000-0005-0000-0000-00004E0A0000}"/>
    <cellStyle name="Comma 4 5 7 2" xfId="6695" xr:uid="{00000000-0005-0000-0000-00004F0A0000}"/>
    <cellStyle name="Comma 4 5 7 2 2" xfId="15137" xr:uid="{E8BD63A6-C4F2-4F0E-B6D8-A2D57E5465A8}"/>
    <cellStyle name="Comma 4 5 7 2 3" xfId="23572" xr:uid="{720837E6-80B2-4FDE-827F-C8956A42A487}"/>
    <cellStyle name="Comma 4 5 7 3" xfId="10919" xr:uid="{B5CFD7C1-8EDA-4249-A80C-C0890642A898}"/>
    <cellStyle name="Comma 4 5 7 4" xfId="19355" xr:uid="{7E3A2B8F-C549-4D4A-9A0A-0BDEF8FD1CB5}"/>
    <cellStyle name="Comma 4 5 8" xfId="2706" xr:uid="{00000000-0005-0000-0000-0000500A0000}"/>
    <cellStyle name="Comma 4 5 9" xfId="2788" xr:uid="{00000000-0005-0000-0000-0000510A0000}"/>
    <cellStyle name="Comma 4 5 9 2" xfId="7012" xr:uid="{00000000-0005-0000-0000-0000520A0000}"/>
    <cellStyle name="Comma 4 5 9 2 2" xfId="15454" xr:uid="{E1D62119-A666-4303-AD1A-3460AE00F7D9}"/>
    <cellStyle name="Comma 4 5 9 2 3" xfId="23889" xr:uid="{EF9E7392-A69E-44AA-8AAD-FA15BDF0CCA7}"/>
    <cellStyle name="Comma 4 5 9 3" xfId="11236" xr:uid="{383E531D-D6B0-4622-A5B1-6E0F9841C7C8}"/>
    <cellStyle name="Comma 4 5 9 4" xfId="19672" xr:uid="{73111BC5-046B-4923-9E1F-271D445BF8D5}"/>
    <cellStyle name="Comma 4 6" xfId="159" xr:uid="{00000000-0005-0000-0000-0000530A0000}"/>
    <cellStyle name="Comma 4 6 10" xfId="8855" xr:uid="{569144F5-BB47-4FEE-8271-ED48845B2827}"/>
    <cellStyle name="Comma 4 6 11" xfId="17291" xr:uid="{41221B0B-3B74-4343-9D4C-42BAB7D6B47E}"/>
    <cellStyle name="Comma 4 6 2" xfId="696" xr:uid="{00000000-0005-0000-0000-0000540A0000}"/>
    <cellStyle name="Comma 4 6 2 2" xfId="2967" xr:uid="{00000000-0005-0000-0000-0000550A0000}"/>
    <cellStyle name="Comma 4 6 2 2 2" xfId="7190" xr:uid="{00000000-0005-0000-0000-0000560A0000}"/>
    <cellStyle name="Comma 4 6 2 2 2 2" xfId="15632" xr:uid="{44535C45-0685-4C1C-93F3-4B07178C3BF7}"/>
    <cellStyle name="Comma 4 6 2 2 2 3" xfId="24067" xr:uid="{BCB03AA7-03DE-4A94-87B4-5D0B48E3914B}"/>
    <cellStyle name="Comma 4 6 2 2 3" xfId="11414" xr:uid="{31C39DF7-0417-4C96-9AE2-1C8175BC3758}"/>
    <cellStyle name="Comma 4 6 2 2 4" xfId="19850" xr:uid="{F5670B6B-6770-4C51-BB5C-C26A16D96A55}"/>
    <cellStyle name="Comma 4 6 2 3" xfId="5045" xr:uid="{00000000-0005-0000-0000-0000570A0000}"/>
    <cellStyle name="Comma 4 6 2 3 2" xfId="13487" xr:uid="{B302364B-E8D3-45DD-BDA1-9CB3476C61F3}"/>
    <cellStyle name="Comma 4 6 2 3 3" xfId="21922" xr:uid="{B3479C3A-2AE1-4EE1-AC71-DBE320252D08}"/>
    <cellStyle name="Comma 4 6 2 4" xfId="9269" xr:uid="{81718C0B-96B8-4151-A91E-DD652E0516E8}"/>
    <cellStyle name="Comma 4 6 2 5" xfId="17705" xr:uid="{B0DAF27D-519F-4915-A1F5-195CA45EA58B}"/>
    <cellStyle name="Comma 4 6 3" xfId="1149" xr:uid="{00000000-0005-0000-0000-0000580A0000}"/>
    <cellStyle name="Comma 4 6 3 2" xfId="3380" xr:uid="{00000000-0005-0000-0000-0000590A0000}"/>
    <cellStyle name="Comma 4 6 3 2 2" xfId="7603" xr:uid="{00000000-0005-0000-0000-00005A0A0000}"/>
    <cellStyle name="Comma 4 6 3 2 2 2" xfId="16045" xr:uid="{9FF39A7B-3032-462A-828E-5285118D1D86}"/>
    <cellStyle name="Comma 4 6 3 2 2 3" xfId="24480" xr:uid="{E61118CE-B493-447E-BDA8-F4C236BC4C93}"/>
    <cellStyle name="Comma 4 6 3 2 3" xfId="11827" xr:uid="{792ED5A8-2257-4059-BDB8-1FF08EFD4161}"/>
    <cellStyle name="Comma 4 6 3 2 4" xfId="20263" xr:uid="{7490B1B2-6EE0-4E86-B7A5-423979024DC7}"/>
    <cellStyle name="Comma 4 6 3 3" xfId="5458" xr:uid="{00000000-0005-0000-0000-00005B0A0000}"/>
    <cellStyle name="Comma 4 6 3 3 2" xfId="13900" xr:uid="{A2EDA595-EE45-448D-93FB-101FF1BA3BBA}"/>
    <cellStyle name="Comma 4 6 3 3 3" xfId="22335" xr:uid="{45C0062A-5CA3-4FD7-B667-3990A9690F70}"/>
    <cellStyle name="Comma 4 6 3 4" xfId="9682" xr:uid="{6D45D363-B12C-40E0-8F3A-5C4C99D08300}"/>
    <cellStyle name="Comma 4 6 3 5" xfId="18118" xr:uid="{C4BDBDD3-9E8C-4516-9F17-044D73E28162}"/>
    <cellStyle name="Comma 4 6 4" xfId="1563" xr:uid="{00000000-0005-0000-0000-00005C0A0000}"/>
    <cellStyle name="Comma 4 6 4 2" xfId="3793" xr:uid="{00000000-0005-0000-0000-00005D0A0000}"/>
    <cellStyle name="Comma 4 6 4 2 2" xfId="8016" xr:uid="{00000000-0005-0000-0000-00005E0A0000}"/>
    <cellStyle name="Comma 4 6 4 2 2 2" xfId="16458" xr:uid="{21849DCE-C27A-4303-809D-614CEFCFB573}"/>
    <cellStyle name="Comma 4 6 4 2 2 3" xfId="24893" xr:uid="{EC4C6534-2D85-4699-807E-E32D8C897DA1}"/>
    <cellStyle name="Comma 4 6 4 2 3" xfId="12240" xr:uid="{8CF5142B-88EE-475C-B3FF-C517F3B063FD}"/>
    <cellStyle name="Comma 4 6 4 2 4" xfId="20676" xr:uid="{B8DE1850-095C-408F-A19F-131B56E2D44C}"/>
    <cellStyle name="Comma 4 6 4 3" xfId="5871" xr:uid="{00000000-0005-0000-0000-00005F0A0000}"/>
    <cellStyle name="Comma 4 6 4 3 2" xfId="14313" xr:uid="{5C0FD4E8-920F-4527-B7B1-F055F47B51EB}"/>
    <cellStyle name="Comma 4 6 4 3 3" xfId="22748" xr:uid="{96C4EB14-BA50-41C4-AFBA-ECE13838169A}"/>
    <cellStyle name="Comma 4 6 4 4" xfId="10095" xr:uid="{5CA6438D-86DB-4F4E-ADCB-43F540EB3F13}"/>
    <cellStyle name="Comma 4 6 4 5" xfId="18531" xr:uid="{2C65589C-2901-4870-878D-2A444F83A19C}"/>
    <cellStyle name="Comma 4 6 5" xfId="1977" xr:uid="{00000000-0005-0000-0000-0000600A0000}"/>
    <cellStyle name="Comma 4 6 5 2" xfId="4206" xr:uid="{00000000-0005-0000-0000-0000610A0000}"/>
    <cellStyle name="Comma 4 6 5 2 2" xfId="8429" xr:uid="{00000000-0005-0000-0000-0000620A0000}"/>
    <cellStyle name="Comma 4 6 5 2 2 2" xfId="16871" xr:uid="{E0857881-B5FC-4809-A96B-CE60BA0B5536}"/>
    <cellStyle name="Comma 4 6 5 2 2 3" xfId="25306" xr:uid="{BF38AAE6-0B85-4E20-9988-8E05C76B718F}"/>
    <cellStyle name="Comma 4 6 5 2 3" xfId="12653" xr:uid="{B32DFA43-4924-45FA-9179-2E7BF9B471BE}"/>
    <cellStyle name="Comma 4 6 5 2 4" xfId="21089" xr:uid="{EEC16A6F-2C23-42EA-9854-4AF430AC6C7C}"/>
    <cellStyle name="Comma 4 6 5 3" xfId="6284" xr:uid="{00000000-0005-0000-0000-0000630A0000}"/>
    <cellStyle name="Comma 4 6 5 3 2" xfId="14726" xr:uid="{41FB69C2-00CF-48C4-A1B0-D2E9812330B8}"/>
    <cellStyle name="Comma 4 6 5 3 3" xfId="23161" xr:uid="{A9132B2B-E1A7-49D8-928E-DD5B9BF41504}"/>
    <cellStyle name="Comma 4 6 5 4" xfId="10508" xr:uid="{1ADFBB14-BCE9-4526-AEFA-A057BD5DD84F}"/>
    <cellStyle name="Comma 4 6 5 5" xfId="18944" xr:uid="{ADCC806C-3A04-48DD-BC6F-F5BA0E9E366A}"/>
    <cellStyle name="Comma 4 6 6" xfId="2412" xr:uid="{00000000-0005-0000-0000-0000640A0000}"/>
    <cellStyle name="Comma 4 6 6 2" xfId="6697" xr:uid="{00000000-0005-0000-0000-0000650A0000}"/>
    <cellStyle name="Comma 4 6 6 2 2" xfId="15139" xr:uid="{4713EF3F-F818-4175-8834-7944C96EC08D}"/>
    <cellStyle name="Comma 4 6 6 2 3" xfId="23574" xr:uid="{4E9EB4D4-4CD8-4861-A678-EAA96FF8C4C9}"/>
    <cellStyle name="Comma 4 6 6 3" xfId="10921" xr:uid="{DB82C1CF-06A8-4241-94F0-F8FA0641813D}"/>
    <cellStyle name="Comma 4 6 6 4" xfId="19357" xr:uid="{B05DEE0C-0C79-47B3-8709-73FDC1E562CC}"/>
    <cellStyle name="Comma 4 6 7" xfId="2708" xr:uid="{00000000-0005-0000-0000-0000660A0000}"/>
    <cellStyle name="Comma 4 6 8" xfId="2790" xr:uid="{00000000-0005-0000-0000-0000670A0000}"/>
    <cellStyle name="Comma 4 6 8 2" xfId="7014" xr:uid="{00000000-0005-0000-0000-0000680A0000}"/>
    <cellStyle name="Comma 4 6 8 2 2" xfId="15456" xr:uid="{368F5242-2A7D-4940-8623-9C2211FE102D}"/>
    <cellStyle name="Comma 4 6 8 2 3" xfId="23891" xr:uid="{959D3279-EE90-4727-ABF9-91C00AFF4E39}"/>
    <cellStyle name="Comma 4 6 8 3" xfId="11238" xr:uid="{B3A9BB7A-0F67-4FD0-9D5D-1FDE29AFA405}"/>
    <cellStyle name="Comma 4 6 8 4" xfId="19674" xr:uid="{30F908C3-0CF1-4301-8793-A7F7DC5234B0}"/>
    <cellStyle name="Comma 4 6 9" xfId="4631" xr:uid="{00000000-0005-0000-0000-0000690A0000}"/>
    <cellStyle name="Comma 4 6 9 2" xfId="13073" xr:uid="{2ED5F946-58C7-4AFB-9505-01514E3F72D3}"/>
    <cellStyle name="Comma 4 6 9 3" xfId="21508" xr:uid="{BA412972-7055-4F05-9F61-0E1214E4BFBB}"/>
    <cellStyle name="Comma 4 7" xfId="160" xr:uid="{00000000-0005-0000-0000-00006A0A0000}"/>
    <cellStyle name="Comma 4 7 10" xfId="8856" xr:uid="{DE69BD36-7E8F-4782-9878-B85A801A204F}"/>
    <cellStyle name="Comma 4 7 11" xfId="17292" xr:uid="{DC134CB3-4ACE-4005-9BCF-AD8574F2C099}"/>
    <cellStyle name="Comma 4 7 2" xfId="697" xr:uid="{00000000-0005-0000-0000-00006B0A0000}"/>
    <cellStyle name="Comma 4 7 2 2" xfId="2968" xr:uid="{00000000-0005-0000-0000-00006C0A0000}"/>
    <cellStyle name="Comma 4 7 2 2 2" xfId="7191" xr:uid="{00000000-0005-0000-0000-00006D0A0000}"/>
    <cellStyle name="Comma 4 7 2 2 2 2" xfId="15633" xr:uid="{85D8667B-AF2B-4371-AED2-A40D85F69C4D}"/>
    <cellStyle name="Comma 4 7 2 2 2 3" xfId="24068" xr:uid="{C4D862A3-B831-4EF6-AEC2-89C9DF6AFC02}"/>
    <cellStyle name="Comma 4 7 2 2 3" xfId="11415" xr:uid="{840471DD-0BB7-4045-B908-E728C5E31C9E}"/>
    <cellStyle name="Comma 4 7 2 2 4" xfId="19851" xr:uid="{C7D3F62D-A3BA-494E-BE62-C9B6022667AA}"/>
    <cellStyle name="Comma 4 7 2 3" xfId="5046" xr:uid="{00000000-0005-0000-0000-00006E0A0000}"/>
    <cellStyle name="Comma 4 7 2 3 2" xfId="13488" xr:uid="{BC738C11-B491-4055-8C8C-F0AFA81F7350}"/>
    <cellStyle name="Comma 4 7 2 3 3" xfId="21923" xr:uid="{540DE883-F629-4C37-AA8C-2AEA124EC2E2}"/>
    <cellStyle name="Comma 4 7 2 4" xfId="9270" xr:uid="{6C5F3573-B162-410F-AD19-8263355CC069}"/>
    <cellStyle name="Comma 4 7 2 5" xfId="17706" xr:uid="{6305DC6A-02AC-4FC5-95B5-9FCED4CBEAE7}"/>
    <cellStyle name="Comma 4 7 3" xfId="1150" xr:uid="{00000000-0005-0000-0000-00006F0A0000}"/>
    <cellStyle name="Comma 4 7 3 2" xfId="3381" xr:uid="{00000000-0005-0000-0000-0000700A0000}"/>
    <cellStyle name="Comma 4 7 3 2 2" xfId="7604" xr:uid="{00000000-0005-0000-0000-0000710A0000}"/>
    <cellStyle name="Comma 4 7 3 2 2 2" xfId="16046" xr:uid="{93F83C8E-CD4F-4597-922D-B65722E7AA7A}"/>
    <cellStyle name="Comma 4 7 3 2 2 3" xfId="24481" xr:uid="{578C18B4-EDDA-434D-8161-0EB1E52CC132}"/>
    <cellStyle name="Comma 4 7 3 2 3" xfId="11828" xr:uid="{90F83ED7-24D5-43A7-867C-4AEC9583FD98}"/>
    <cellStyle name="Comma 4 7 3 2 4" xfId="20264" xr:uid="{B28B0279-B8F5-4943-AE78-87B3763EA8D3}"/>
    <cellStyle name="Comma 4 7 3 3" xfId="5459" xr:uid="{00000000-0005-0000-0000-0000720A0000}"/>
    <cellStyle name="Comma 4 7 3 3 2" xfId="13901" xr:uid="{E7F89CE8-1CED-4AA7-8CE2-D4D92CFE135E}"/>
    <cellStyle name="Comma 4 7 3 3 3" xfId="22336" xr:uid="{7CEF6C38-66F2-457E-B277-88AAA616468B}"/>
    <cellStyle name="Comma 4 7 3 4" xfId="9683" xr:uid="{7BB50E78-67BA-4952-B6C8-C405886D2204}"/>
    <cellStyle name="Comma 4 7 3 5" xfId="18119" xr:uid="{1C9C7A2A-48BD-47D2-B98E-ED5A60D26BCC}"/>
    <cellStyle name="Comma 4 7 4" xfId="1564" xr:uid="{00000000-0005-0000-0000-0000730A0000}"/>
    <cellStyle name="Comma 4 7 4 2" xfId="3794" xr:uid="{00000000-0005-0000-0000-0000740A0000}"/>
    <cellStyle name="Comma 4 7 4 2 2" xfId="8017" xr:uid="{00000000-0005-0000-0000-0000750A0000}"/>
    <cellStyle name="Comma 4 7 4 2 2 2" xfId="16459" xr:uid="{689DC620-E068-4810-9F0F-48593A8D08CB}"/>
    <cellStyle name="Comma 4 7 4 2 2 3" xfId="24894" xr:uid="{8969B2B4-C8E2-4589-968C-A64078F6E908}"/>
    <cellStyle name="Comma 4 7 4 2 3" xfId="12241" xr:uid="{6B1CAE15-E4F5-498A-B4D1-300F98CC38D8}"/>
    <cellStyle name="Comma 4 7 4 2 4" xfId="20677" xr:uid="{40EB9700-B7F1-4D27-BF9B-2B7E06AD4420}"/>
    <cellStyle name="Comma 4 7 4 3" xfId="5872" xr:uid="{00000000-0005-0000-0000-0000760A0000}"/>
    <cellStyle name="Comma 4 7 4 3 2" xfId="14314" xr:uid="{9383C55B-8723-4110-8156-00890A2C331F}"/>
    <cellStyle name="Comma 4 7 4 3 3" xfId="22749" xr:uid="{928A4CD3-6794-483F-A4D7-5A30754DAE7F}"/>
    <cellStyle name="Comma 4 7 4 4" xfId="10096" xr:uid="{9FC73C2A-CA1B-4BC5-8543-00A5D28A6B3E}"/>
    <cellStyle name="Comma 4 7 4 5" xfId="18532" xr:uid="{61022D0F-EE96-4258-A28E-326D339BF52F}"/>
    <cellStyle name="Comma 4 7 5" xfId="1978" xr:uid="{00000000-0005-0000-0000-0000770A0000}"/>
    <cellStyle name="Comma 4 7 5 2" xfId="4207" xr:uid="{00000000-0005-0000-0000-0000780A0000}"/>
    <cellStyle name="Comma 4 7 5 2 2" xfId="8430" xr:uid="{00000000-0005-0000-0000-0000790A0000}"/>
    <cellStyle name="Comma 4 7 5 2 2 2" xfId="16872" xr:uid="{EEA81CA2-8EAD-448E-A8D5-598575573A78}"/>
    <cellStyle name="Comma 4 7 5 2 2 3" xfId="25307" xr:uid="{969C0BF3-185F-4790-9C84-6E7DD591CE13}"/>
    <cellStyle name="Comma 4 7 5 2 3" xfId="12654" xr:uid="{A7FB1260-D501-48E7-A404-4A56F2AB6A87}"/>
    <cellStyle name="Comma 4 7 5 2 4" xfId="21090" xr:uid="{49962E47-968A-4CD7-8253-B8CBD814D859}"/>
    <cellStyle name="Comma 4 7 5 3" xfId="6285" xr:uid="{00000000-0005-0000-0000-00007A0A0000}"/>
    <cellStyle name="Comma 4 7 5 3 2" xfId="14727" xr:uid="{77456A44-8617-4482-90EB-F4025DB0FA2C}"/>
    <cellStyle name="Comma 4 7 5 3 3" xfId="23162" xr:uid="{F780BF78-FD97-4CDE-AE42-3BC73FB4E6AA}"/>
    <cellStyle name="Comma 4 7 5 4" xfId="10509" xr:uid="{B45D21C8-98DA-4945-B8B7-54462B74B0C3}"/>
    <cellStyle name="Comma 4 7 5 5" xfId="18945" xr:uid="{89DC217B-41DE-40E3-9F53-86C105EE0F1D}"/>
    <cellStyle name="Comma 4 7 6" xfId="2413" xr:uid="{00000000-0005-0000-0000-00007B0A0000}"/>
    <cellStyle name="Comma 4 7 6 2" xfId="6698" xr:uid="{00000000-0005-0000-0000-00007C0A0000}"/>
    <cellStyle name="Comma 4 7 6 2 2" xfId="15140" xr:uid="{E8F00A6A-7136-46C3-901C-7228F722208F}"/>
    <cellStyle name="Comma 4 7 6 2 3" xfId="23575" xr:uid="{0A7F492F-084A-4A96-966A-C3D72DE858FC}"/>
    <cellStyle name="Comma 4 7 6 3" xfId="10922" xr:uid="{0139AF7D-6C6D-4950-BF78-4CDD68FD98D3}"/>
    <cellStyle name="Comma 4 7 6 4" xfId="19358" xr:uid="{8AFB05D8-7AA3-4CE9-860D-5CCA539272BC}"/>
    <cellStyle name="Comma 4 7 7" xfId="2709" xr:uid="{00000000-0005-0000-0000-00007D0A0000}"/>
    <cellStyle name="Comma 4 7 8" xfId="2791" xr:uid="{00000000-0005-0000-0000-00007E0A0000}"/>
    <cellStyle name="Comma 4 7 8 2" xfId="7015" xr:uid="{00000000-0005-0000-0000-00007F0A0000}"/>
    <cellStyle name="Comma 4 7 8 2 2" xfId="15457" xr:uid="{F3ED1FD6-A13C-40DB-B071-F52B63708F81}"/>
    <cellStyle name="Comma 4 7 8 2 3" xfId="23892" xr:uid="{29A0E02B-3342-4237-A295-41FC26895C5E}"/>
    <cellStyle name="Comma 4 7 8 3" xfId="11239" xr:uid="{03D5FC55-9E3B-4533-ACB0-74D683FC25B4}"/>
    <cellStyle name="Comma 4 7 8 4" xfId="19675" xr:uid="{7797D521-170C-4774-B9A5-CEC10D6EC446}"/>
    <cellStyle name="Comma 4 7 9" xfId="4632" xr:uid="{00000000-0005-0000-0000-0000800A0000}"/>
    <cellStyle name="Comma 4 7 9 2" xfId="13074" xr:uid="{42C0E1AF-2FBF-4B88-BE54-3117B922162D}"/>
    <cellStyle name="Comma 4 7 9 3" xfId="21509" xr:uid="{C5A75091-061A-4572-8814-0F19B54A7145}"/>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12942" xr:uid="{0839ECD1-03AD-45C7-A54E-844ED579DDE7}"/>
    <cellStyle name="Comma 7 3" xfId="21377" xr:uid="{A3E24E87-6CBA-4E21-9702-E8F33F0F3FBD}"/>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2 2" xfId="17159" xr:uid="{1A7B760A-F954-45FA-88A5-B7D815CC6D69}"/>
    <cellStyle name="Currency 14 2 3" xfId="25594" xr:uid="{027987E5-F579-452F-B019-9515362A5E72}"/>
    <cellStyle name="Currency 14 3" xfId="8720" xr:uid="{729B09A7-2394-4D7C-912C-1471FB3455A3}"/>
    <cellStyle name="Currency 14 3 2" xfId="8724" xr:uid="{1945FB0F-31EC-4D98-B64C-BAFBADA341A1}"/>
    <cellStyle name="Currency 14 3 2 2" xfId="8727" xr:uid="{03BA8DEE-11D2-406B-B26D-8EE163916FB0}"/>
    <cellStyle name="Currency 14 3 3" xfId="17162" xr:uid="{8D8529C9-A001-421E-AC18-4D2D72B97FB4}"/>
    <cellStyle name="Currency 14 3 4" xfId="25597" xr:uid="{658DCA50-E88E-4CD5-A7FE-29AA80A9F7EA}"/>
    <cellStyle name="Currency 14 4" xfId="12945" xr:uid="{C2A93C67-0BDD-4164-A796-C278A32C95AF}"/>
    <cellStyle name="Currency 14 5" xfId="21380" xr:uid="{97F9FE30-0B0B-457F-83D4-2D33E6D0C03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0 2 2" xfId="15458" xr:uid="{B302632D-83B2-4332-B124-5EFE1B08C617}"/>
    <cellStyle name="Currency 3 2 2 10 2 3" xfId="23893" xr:uid="{C9AC40B8-3787-4C48-BD01-6B6E62259F46}"/>
    <cellStyle name="Currency 3 2 2 10 3" xfId="11240" xr:uid="{3B88893E-2E12-4B8B-B07A-CE6C015976EE}"/>
    <cellStyle name="Currency 3 2 2 10 4" xfId="19676" xr:uid="{E573B78A-5B9B-45AF-88B3-FF6F62F98DDE}"/>
    <cellStyle name="Currency 3 2 2 11" xfId="4633" xr:uid="{00000000-0005-0000-0000-0000A50A0000}"/>
    <cellStyle name="Currency 3 2 2 11 2" xfId="13075" xr:uid="{50D69370-A004-4CD7-B6E1-664CE270EFBA}"/>
    <cellStyle name="Currency 3 2 2 11 3" xfId="21510" xr:uid="{792C614B-3AA8-43A9-B63D-B6B863254E44}"/>
    <cellStyle name="Currency 3 2 2 12" xfId="8857" xr:uid="{7FBB7B89-8FF4-4E88-AF81-702DE1E96E27}"/>
    <cellStyle name="Currency 3 2 2 13" xfId="17293" xr:uid="{C556C10B-BE73-43E0-89B9-093A7EF246D4}"/>
    <cellStyle name="Currency 3 2 2 2" xfId="179" xr:uid="{00000000-0005-0000-0000-0000A60A0000}"/>
    <cellStyle name="Currency 3 2 2 2 10" xfId="4634" xr:uid="{00000000-0005-0000-0000-0000A70A0000}"/>
    <cellStyle name="Currency 3 2 2 2 10 2" xfId="13076" xr:uid="{417DE4FB-6C65-441D-9EE9-833CEDDFAC84}"/>
    <cellStyle name="Currency 3 2 2 2 10 3" xfId="21511" xr:uid="{3E7CCD00-7DB7-43E7-9175-8B670A2D0487}"/>
    <cellStyle name="Currency 3 2 2 2 11" xfId="8858" xr:uid="{70B0EC8B-C083-442D-9388-99141E8D4F6F}"/>
    <cellStyle name="Currency 3 2 2 2 12" xfId="17294" xr:uid="{A73B10BB-90C6-4375-9944-9E70C725BD50}"/>
    <cellStyle name="Currency 3 2 2 2 2" xfId="180" xr:uid="{00000000-0005-0000-0000-0000A80A0000}"/>
    <cellStyle name="Currency 3 2 2 2 2 10" xfId="8859" xr:uid="{2F22EBF0-323F-4EFB-A345-AF3AE4A7C2AA}"/>
    <cellStyle name="Currency 3 2 2 2 2 11" xfId="17295" xr:uid="{061E634D-CB78-4A94-BF82-E95E229B053B}"/>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2 2 2" xfId="15636" xr:uid="{BF205C2C-A87E-4234-8097-C1B21F90D66F}"/>
    <cellStyle name="Currency 3 2 2 2 2 2 2 2 3" xfId="24071" xr:uid="{1B079C35-828E-4716-AC76-171D7119C07E}"/>
    <cellStyle name="Currency 3 2 2 2 2 2 2 3" xfId="11418" xr:uid="{B59BF480-6BAD-4151-BECA-6EDB378DAC09}"/>
    <cellStyle name="Currency 3 2 2 2 2 2 2 4" xfId="19854" xr:uid="{0B0769BD-DE8F-4605-BC70-5F93C507F49C}"/>
    <cellStyle name="Currency 3 2 2 2 2 2 3" xfId="5049" xr:uid="{00000000-0005-0000-0000-0000AC0A0000}"/>
    <cellStyle name="Currency 3 2 2 2 2 2 3 2" xfId="13491" xr:uid="{4DE9F6E5-46F8-4F7E-B7D7-1E5F8B456CAD}"/>
    <cellStyle name="Currency 3 2 2 2 2 2 3 3" xfId="21926" xr:uid="{4CCF0317-0933-4673-83D8-5AEAF614B0C9}"/>
    <cellStyle name="Currency 3 2 2 2 2 2 4" xfId="9273" xr:uid="{3160BE90-D6C1-44DD-99D8-9247FDB8E2AB}"/>
    <cellStyle name="Currency 3 2 2 2 2 2 5" xfId="17709" xr:uid="{35441449-6A1F-430C-8C09-29461114C92F}"/>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2 2 2" xfId="16049" xr:uid="{1B852050-DEF4-4C34-BEF9-2B18804357C7}"/>
    <cellStyle name="Currency 3 2 2 2 2 3 2 2 3" xfId="24484" xr:uid="{B5764316-11C2-4067-B138-F139CB4A3655}"/>
    <cellStyle name="Currency 3 2 2 2 2 3 2 3" xfId="11831" xr:uid="{6C3909C3-F09C-49B3-B3BF-BED7AE6B0C44}"/>
    <cellStyle name="Currency 3 2 2 2 2 3 2 4" xfId="20267" xr:uid="{289BBDD1-1FB4-4185-A870-17C6F9669D11}"/>
    <cellStyle name="Currency 3 2 2 2 2 3 3" xfId="5462" xr:uid="{00000000-0005-0000-0000-0000B00A0000}"/>
    <cellStyle name="Currency 3 2 2 2 2 3 3 2" xfId="13904" xr:uid="{8381D6CC-0025-4644-9E25-059860275F76}"/>
    <cellStyle name="Currency 3 2 2 2 2 3 3 3" xfId="22339" xr:uid="{B03FA82E-762B-4659-B9A9-50471D7A5013}"/>
    <cellStyle name="Currency 3 2 2 2 2 3 4" xfId="9686" xr:uid="{B3C7F049-5804-4572-9245-FE226516EFF8}"/>
    <cellStyle name="Currency 3 2 2 2 2 3 5" xfId="18122" xr:uid="{7CA1BBD5-F76F-48B1-8DCE-30BCFCC32FC5}"/>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2 2 2" xfId="16462" xr:uid="{47C21AE7-7BDB-4209-A31A-E5046F502788}"/>
    <cellStyle name="Currency 3 2 2 2 2 4 2 2 3" xfId="24897" xr:uid="{AE8AE6FC-A9B3-4407-8E5F-A283EF21733B}"/>
    <cellStyle name="Currency 3 2 2 2 2 4 2 3" xfId="12244" xr:uid="{3994F632-81A8-4902-8D0D-907B06C7747A}"/>
    <cellStyle name="Currency 3 2 2 2 2 4 2 4" xfId="20680" xr:uid="{184D795A-4C49-482E-A6A3-7718DE5869B7}"/>
    <cellStyle name="Currency 3 2 2 2 2 4 3" xfId="5875" xr:uid="{00000000-0005-0000-0000-0000B40A0000}"/>
    <cellStyle name="Currency 3 2 2 2 2 4 3 2" xfId="14317" xr:uid="{D7B58FC7-043D-48AF-B90F-44C97694AEF7}"/>
    <cellStyle name="Currency 3 2 2 2 2 4 3 3" xfId="22752" xr:uid="{8F0A851C-5FED-4A5F-8277-3F547F01F44E}"/>
    <cellStyle name="Currency 3 2 2 2 2 4 4" xfId="10099" xr:uid="{99D7ABCF-EE46-416D-A107-CC8570EA1199}"/>
    <cellStyle name="Currency 3 2 2 2 2 4 5" xfId="18535" xr:uid="{7ABC2A8E-B88D-4956-9290-ACE78A24B40D}"/>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2 2 2" xfId="16875" xr:uid="{547DAF4A-1469-4F8D-BDAD-26C777A2F290}"/>
    <cellStyle name="Currency 3 2 2 2 2 5 2 2 3" xfId="25310" xr:uid="{963F6F70-C5D8-4C48-9462-972C270A8AF2}"/>
    <cellStyle name="Currency 3 2 2 2 2 5 2 3" xfId="12657" xr:uid="{2E73FA4E-E695-4E1C-9003-399A2BE8954F}"/>
    <cellStyle name="Currency 3 2 2 2 2 5 2 4" xfId="21093" xr:uid="{B5DA2AE8-9545-4638-9FBF-F44A4113E5D2}"/>
    <cellStyle name="Currency 3 2 2 2 2 5 3" xfId="6288" xr:uid="{00000000-0005-0000-0000-0000B80A0000}"/>
    <cellStyle name="Currency 3 2 2 2 2 5 3 2" xfId="14730" xr:uid="{ED7FA3B6-9B8D-4610-953C-CDE2E2E9D75A}"/>
    <cellStyle name="Currency 3 2 2 2 2 5 3 3" xfId="23165" xr:uid="{AFB415E6-EE73-49C6-9FF4-8AEB3655E1A0}"/>
    <cellStyle name="Currency 3 2 2 2 2 5 4" xfId="10512" xr:uid="{44179D12-6E89-4BE0-BE29-46B43ABCD5E1}"/>
    <cellStyle name="Currency 3 2 2 2 2 5 5" xfId="18948" xr:uid="{C2F7C14E-9482-4F41-A137-738B3ED9EF57}"/>
    <cellStyle name="Currency 3 2 2 2 2 6" xfId="2416" xr:uid="{00000000-0005-0000-0000-0000B90A0000}"/>
    <cellStyle name="Currency 3 2 2 2 2 6 2" xfId="6701" xr:uid="{00000000-0005-0000-0000-0000BA0A0000}"/>
    <cellStyle name="Currency 3 2 2 2 2 6 2 2" xfId="15143" xr:uid="{000BFA5F-33C5-49C6-835E-A826AF7DC833}"/>
    <cellStyle name="Currency 3 2 2 2 2 6 2 3" xfId="23578" xr:uid="{864B6EB3-E1FF-401A-A24B-A344B00A01F4}"/>
    <cellStyle name="Currency 3 2 2 2 2 6 3" xfId="10925" xr:uid="{4FED2640-35F1-4978-A9B9-F97506F7FE1F}"/>
    <cellStyle name="Currency 3 2 2 2 2 6 4" xfId="19361" xr:uid="{CC4FFF8E-21CD-45D3-B891-B68E878A0804}"/>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8 2 2" xfId="15460" xr:uid="{7D987E48-1760-46D1-9EB3-130196702622}"/>
    <cellStyle name="Currency 3 2 2 2 2 8 2 3" xfId="23895" xr:uid="{E008AA19-58EE-453C-8671-DEEB98916398}"/>
    <cellStyle name="Currency 3 2 2 2 2 8 3" xfId="11242" xr:uid="{AD8C3416-2CF8-4555-81C8-FA352F9F502C}"/>
    <cellStyle name="Currency 3 2 2 2 2 8 4" xfId="19678" xr:uid="{2AE58641-4B1F-42E3-88B1-7DD03E656EBD}"/>
    <cellStyle name="Currency 3 2 2 2 2 9" xfId="4635" xr:uid="{00000000-0005-0000-0000-0000BE0A0000}"/>
    <cellStyle name="Currency 3 2 2 2 2 9 2" xfId="13077" xr:uid="{8837C83F-E61E-4B5E-A734-4C4363091932}"/>
    <cellStyle name="Currency 3 2 2 2 2 9 3" xfId="21512" xr:uid="{6FBE6CF2-EB1D-4661-9158-747497FB1B03}"/>
    <cellStyle name="Currency 3 2 2 2 3" xfId="709" xr:uid="{00000000-0005-0000-0000-0000BF0A0000}"/>
    <cellStyle name="Currency 3 2 2 2 3 2" xfId="2970" xr:uid="{00000000-0005-0000-0000-0000C00A0000}"/>
    <cellStyle name="Currency 3 2 2 2 3 2 2" xfId="7193" xr:uid="{00000000-0005-0000-0000-0000C10A0000}"/>
    <cellStyle name="Currency 3 2 2 2 3 2 2 2" xfId="15635" xr:uid="{4B8DFBA6-DB55-4BE0-856E-AA698B15FD73}"/>
    <cellStyle name="Currency 3 2 2 2 3 2 2 3" xfId="24070" xr:uid="{5D32480E-A8AF-46D7-9C09-41A02B64F55B}"/>
    <cellStyle name="Currency 3 2 2 2 3 2 3" xfId="11417" xr:uid="{D15751E4-3485-4F69-A7D5-FEE34A7BFD96}"/>
    <cellStyle name="Currency 3 2 2 2 3 2 4" xfId="19853" xr:uid="{2DF4726D-A6A3-4635-8F3F-D1C53FB2046B}"/>
    <cellStyle name="Currency 3 2 2 2 3 3" xfId="5048" xr:uid="{00000000-0005-0000-0000-0000C20A0000}"/>
    <cellStyle name="Currency 3 2 2 2 3 3 2" xfId="13490" xr:uid="{E4784A66-B6E6-41A0-949E-C59B6B99D55D}"/>
    <cellStyle name="Currency 3 2 2 2 3 3 3" xfId="21925" xr:uid="{D6C7DFF7-E6AE-4208-AE12-E6B45F079DB9}"/>
    <cellStyle name="Currency 3 2 2 2 3 4" xfId="9272" xr:uid="{DC25DE31-9287-4444-BC6E-53CFA4C3D3EC}"/>
    <cellStyle name="Currency 3 2 2 2 3 5" xfId="17708" xr:uid="{8F7F036C-6AFC-4F59-8891-26D8246B11F6}"/>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2 2 2" xfId="16048" xr:uid="{A5B7D6F8-A443-49D2-A323-485CF43D3229}"/>
    <cellStyle name="Currency 3 2 2 2 4 2 2 3" xfId="24483" xr:uid="{450AB7A1-BB5B-4EB7-9BCA-09FBAB94796B}"/>
    <cellStyle name="Currency 3 2 2 2 4 2 3" xfId="11830" xr:uid="{6CB94D57-70D2-4571-A7AE-18D803343F5A}"/>
    <cellStyle name="Currency 3 2 2 2 4 2 4" xfId="20266" xr:uid="{5915EBF3-2B8D-40A6-AF86-D673D617BA92}"/>
    <cellStyle name="Currency 3 2 2 2 4 3" xfId="5461" xr:uid="{00000000-0005-0000-0000-0000C60A0000}"/>
    <cellStyle name="Currency 3 2 2 2 4 3 2" xfId="13903" xr:uid="{E9F7F035-6C1F-4431-9F2F-925EBEE56D50}"/>
    <cellStyle name="Currency 3 2 2 2 4 3 3" xfId="22338" xr:uid="{BD80EBD8-EDCC-4882-A97B-095480D0C9BD}"/>
    <cellStyle name="Currency 3 2 2 2 4 4" xfId="9685" xr:uid="{0621C7EE-6846-4636-9D3B-996F021EDDAA}"/>
    <cellStyle name="Currency 3 2 2 2 4 5" xfId="18121" xr:uid="{A82F1B93-3676-49FC-A0D0-D372EDFA20BB}"/>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2 2 2" xfId="16461" xr:uid="{5391745C-6646-498B-BDEA-42E20474DB56}"/>
    <cellStyle name="Currency 3 2 2 2 5 2 2 3" xfId="24896" xr:uid="{DC9BE617-8FE8-47AE-A637-3648A84B37DC}"/>
    <cellStyle name="Currency 3 2 2 2 5 2 3" xfId="12243" xr:uid="{3B6EDAC1-EE39-46D2-AC5E-95846AAFED22}"/>
    <cellStyle name="Currency 3 2 2 2 5 2 4" xfId="20679" xr:uid="{8E96DC64-8E7E-4669-A303-C692BE78997C}"/>
    <cellStyle name="Currency 3 2 2 2 5 3" xfId="5874" xr:uid="{00000000-0005-0000-0000-0000CA0A0000}"/>
    <cellStyle name="Currency 3 2 2 2 5 3 2" xfId="14316" xr:uid="{30D71487-01A9-448F-9228-CF3150EA90F7}"/>
    <cellStyle name="Currency 3 2 2 2 5 3 3" xfId="22751" xr:uid="{0E4A9611-F14F-4EE9-A771-17409FD8E751}"/>
    <cellStyle name="Currency 3 2 2 2 5 4" xfId="10098" xr:uid="{F3E4834E-1FF8-4BBC-823B-E61829E74F01}"/>
    <cellStyle name="Currency 3 2 2 2 5 5" xfId="18534" xr:uid="{D439D3FC-59E7-4B55-82F9-9BC8A57F88C2}"/>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2 2 2" xfId="16874" xr:uid="{DB341014-F762-4644-BE88-42E69456990F}"/>
    <cellStyle name="Currency 3 2 2 2 6 2 2 3" xfId="25309" xr:uid="{3419772C-0ED6-415A-99CA-BF43566BA717}"/>
    <cellStyle name="Currency 3 2 2 2 6 2 3" xfId="12656" xr:uid="{FC78F8E0-A41C-4A14-8F24-B9766D3A7F3D}"/>
    <cellStyle name="Currency 3 2 2 2 6 2 4" xfId="21092" xr:uid="{05E41364-87A2-4B4D-BE44-4E85054FE8D0}"/>
    <cellStyle name="Currency 3 2 2 2 6 3" xfId="6287" xr:uid="{00000000-0005-0000-0000-0000CE0A0000}"/>
    <cellStyle name="Currency 3 2 2 2 6 3 2" xfId="14729" xr:uid="{85A219B3-6449-46C2-B105-9E912599E476}"/>
    <cellStyle name="Currency 3 2 2 2 6 3 3" xfId="23164" xr:uid="{83DDB60C-B5C6-4948-8047-D5EFD058BA0F}"/>
    <cellStyle name="Currency 3 2 2 2 6 4" xfId="10511" xr:uid="{FB062115-1BF1-4EDF-BFE8-A768B4DB3886}"/>
    <cellStyle name="Currency 3 2 2 2 6 5" xfId="18947" xr:uid="{C9514C42-6B3A-4FE0-A672-AFCBC4DB7EF2}"/>
    <cellStyle name="Currency 3 2 2 2 7" xfId="2415" xr:uid="{00000000-0005-0000-0000-0000CF0A0000}"/>
    <cellStyle name="Currency 3 2 2 2 7 2" xfId="6700" xr:uid="{00000000-0005-0000-0000-0000D00A0000}"/>
    <cellStyle name="Currency 3 2 2 2 7 2 2" xfId="15142" xr:uid="{6B4E07F9-E2E2-4660-B9F6-212E047AE535}"/>
    <cellStyle name="Currency 3 2 2 2 7 2 3" xfId="23577" xr:uid="{E700245D-E8F0-41D4-BA41-E179D6E7293E}"/>
    <cellStyle name="Currency 3 2 2 2 7 3" xfId="10924" xr:uid="{D6C3EBA0-39B9-4313-B828-371477578E33}"/>
    <cellStyle name="Currency 3 2 2 2 7 4" xfId="19360" xr:uid="{49F52C7B-09CB-4C8A-8327-0E90766D207B}"/>
    <cellStyle name="Currency 3 2 2 2 8" xfId="2712" xr:uid="{00000000-0005-0000-0000-0000D10A0000}"/>
    <cellStyle name="Currency 3 2 2 2 9" xfId="2793" xr:uid="{00000000-0005-0000-0000-0000D20A0000}"/>
    <cellStyle name="Currency 3 2 2 2 9 2" xfId="7017" xr:uid="{00000000-0005-0000-0000-0000D30A0000}"/>
    <cellStyle name="Currency 3 2 2 2 9 2 2" xfId="15459" xr:uid="{39F9E1D7-24F2-43F7-9BEE-758C4FB2B114}"/>
    <cellStyle name="Currency 3 2 2 2 9 2 3" xfId="23894" xr:uid="{4234FADE-17E4-46C3-BFC3-7799B599E808}"/>
    <cellStyle name="Currency 3 2 2 2 9 3" xfId="11241" xr:uid="{32127509-466D-46E4-B1F4-D204A0E595DF}"/>
    <cellStyle name="Currency 3 2 2 2 9 4" xfId="19677" xr:uid="{29A50C58-8B9B-4D18-8D64-1D73CDB0DD16}"/>
    <cellStyle name="Currency 3 2 2 3" xfId="181" xr:uid="{00000000-0005-0000-0000-0000D40A0000}"/>
    <cellStyle name="Currency 3 2 2 3 10" xfId="8860" xr:uid="{13F3D2AB-E219-4EB1-B234-44192DAC8511}"/>
    <cellStyle name="Currency 3 2 2 3 11" xfId="17296" xr:uid="{35F5F363-6503-4567-82A8-AC95C148A549}"/>
    <cellStyle name="Currency 3 2 2 3 2" xfId="711" xr:uid="{00000000-0005-0000-0000-0000D50A0000}"/>
    <cellStyle name="Currency 3 2 2 3 2 2" xfId="2972" xr:uid="{00000000-0005-0000-0000-0000D60A0000}"/>
    <cellStyle name="Currency 3 2 2 3 2 2 2" xfId="7195" xr:uid="{00000000-0005-0000-0000-0000D70A0000}"/>
    <cellStyle name="Currency 3 2 2 3 2 2 2 2" xfId="15637" xr:uid="{9A974E46-4B60-4C76-A7F9-00D9EEE1FE40}"/>
    <cellStyle name="Currency 3 2 2 3 2 2 2 3" xfId="24072" xr:uid="{A0C759F3-4EB0-48B3-BAE5-6CEA5AFE66CD}"/>
    <cellStyle name="Currency 3 2 2 3 2 2 3" xfId="11419" xr:uid="{C94AB90D-14C6-4A01-B415-B1391B822980}"/>
    <cellStyle name="Currency 3 2 2 3 2 2 4" xfId="19855" xr:uid="{A180AFBF-AE5E-4AA2-B224-8D1CCF5C48AE}"/>
    <cellStyle name="Currency 3 2 2 3 2 3" xfId="5050" xr:uid="{00000000-0005-0000-0000-0000D80A0000}"/>
    <cellStyle name="Currency 3 2 2 3 2 3 2" xfId="13492" xr:uid="{55C98DF8-99FE-40B1-A782-6E44B0D0BA84}"/>
    <cellStyle name="Currency 3 2 2 3 2 3 3" xfId="21927" xr:uid="{5D9CED49-3799-4507-B65C-B7DDF6DAFD98}"/>
    <cellStyle name="Currency 3 2 2 3 2 4" xfId="9274" xr:uid="{EC634526-B3B0-47A6-B819-F3C664ABD6DE}"/>
    <cellStyle name="Currency 3 2 2 3 2 5" xfId="17710" xr:uid="{2C200E6E-2E85-44CC-9951-39619EAB8407}"/>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2 2 2" xfId="16050" xr:uid="{95E4BE8D-BFB0-4204-AA63-A8ABEB6A5D61}"/>
    <cellStyle name="Currency 3 2 2 3 3 2 2 3" xfId="24485" xr:uid="{537386DD-4C5E-4EBB-98D1-7F8F9E3221F8}"/>
    <cellStyle name="Currency 3 2 2 3 3 2 3" xfId="11832" xr:uid="{23E6F95E-5B9A-4289-8DA7-0D518471670B}"/>
    <cellStyle name="Currency 3 2 2 3 3 2 4" xfId="20268" xr:uid="{D73F2F82-E8A9-4A31-961B-4AF59AFD13E9}"/>
    <cellStyle name="Currency 3 2 2 3 3 3" xfId="5463" xr:uid="{00000000-0005-0000-0000-0000DC0A0000}"/>
    <cellStyle name="Currency 3 2 2 3 3 3 2" xfId="13905" xr:uid="{B2E35C5A-D1FC-496D-9FCA-0CA0C16AE44F}"/>
    <cellStyle name="Currency 3 2 2 3 3 3 3" xfId="22340" xr:uid="{DC32FFAB-98A4-4A58-BFE3-04B4AF9BE248}"/>
    <cellStyle name="Currency 3 2 2 3 3 4" xfId="9687" xr:uid="{86C5FBCD-9DB7-41F1-8878-97C995DF3DBA}"/>
    <cellStyle name="Currency 3 2 2 3 3 5" xfId="18123" xr:uid="{36D68C5E-29F3-435C-888B-A4ACAB25E923}"/>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2 2 2" xfId="16463" xr:uid="{D4D38D2E-705E-4B19-9021-0D16C77828C7}"/>
    <cellStyle name="Currency 3 2 2 3 4 2 2 3" xfId="24898" xr:uid="{F78283FC-00DE-413C-9849-5DB3DD961583}"/>
    <cellStyle name="Currency 3 2 2 3 4 2 3" xfId="12245" xr:uid="{9D648FB6-5455-49D7-A5B4-830C887F5666}"/>
    <cellStyle name="Currency 3 2 2 3 4 2 4" xfId="20681" xr:uid="{48FA67F4-3B55-4C21-A9F7-4E8DD4286969}"/>
    <cellStyle name="Currency 3 2 2 3 4 3" xfId="5876" xr:uid="{00000000-0005-0000-0000-0000E00A0000}"/>
    <cellStyle name="Currency 3 2 2 3 4 3 2" xfId="14318" xr:uid="{D148E7A1-50F6-4ACD-AC18-3B24B646582A}"/>
    <cellStyle name="Currency 3 2 2 3 4 3 3" xfId="22753" xr:uid="{467C981C-4716-4749-9E8E-B3CD72AF7300}"/>
    <cellStyle name="Currency 3 2 2 3 4 4" xfId="10100" xr:uid="{05681A86-C82B-4F6E-9087-8145532ADCE2}"/>
    <cellStyle name="Currency 3 2 2 3 4 5" xfId="18536" xr:uid="{EA9D286E-EDCA-4318-80B2-05CB080F93DD}"/>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2 2 2" xfId="16876" xr:uid="{21871D35-E83F-4AD2-8484-2E1CFD0410EA}"/>
    <cellStyle name="Currency 3 2 2 3 5 2 2 3" xfId="25311" xr:uid="{D426E1A4-F0F7-4811-BF0E-F49D86A046A2}"/>
    <cellStyle name="Currency 3 2 2 3 5 2 3" xfId="12658" xr:uid="{B2604E9A-2D4F-42CE-BC1F-3E8797C92838}"/>
    <cellStyle name="Currency 3 2 2 3 5 2 4" xfId="21094" xr:uid="{52AAB2BF-182C-4AF4-818D-7EA44E757F11}"/>
    <cellStyle name="Currency 3 2 2 3 5 3" xfId="6289" xr:uid="{00000000-0005-0000-0000-0000E40A0000}"/>
    <cellStyle name="Currency 3 2 2 3 5 3 2" xfId="14731" xr:uid="{4C5859B7-C3BE-4695-96B7-AE0C255B35A4}"/>
    <cellStyle name="Currency 3 2 2 3 5 3 3" xfId="23166" xr:uid="{0F1B9379-ECB4-4BF5-9A3D-9E7D8B0B1B93}"/>
    <cellStyle name="Currency 3 2 2 3 5 4" xfId="10513" xr:uid="{6215F387-A4F7-4FDF-A5BE-BA018F32BC55}"/>
    <cellStyle name="Currency 3 2 2 3 5 5" xfId="18949" xr:uid="{E4A908EE-6E34-4E5A-8253-606277D7C8FD}"/>
    <cellStyle name="Currency 3 2 2 3 6" xfId="2417" xr:uid="{00000000-0005-0000-0000-0000E50A0000}"/>
    <cellStyle name="Currency 3 2 2 3 6 2" xfId="6702" xr:uid="{00000000-0005-0000-0000-0000E60A0000}"/>
    <cellStyle name="Currency 3 2 2 3 6 2 2" xfId="15144" xr:uid="{DDFB116B-E2B7-4B8B-BE54-BC698358C92A}"/>
    <cellStyle name="Currency 3 2 2 3 6 2 3" xfId="23579" xr:uid="{5AFDF1DC-FACA-40A7-BFDC-1759677469C7}"/>
    <cellStyle name="Currency 3 2 2 3 6 3" xfId="10926" xr:uid="{D5D3A938-64E3-4D3B-A61B-40D6C1F049B4}"/>
    <cellStyle name="Currency 3 2 2 3 6 4" xfId="19362" xr:uid="{2FDB4CD4-28A2-4AEC-B509-E95F8D2A2A47}"/>
    <cellStyle name="Currency 3 2 2 3 7" xfId="2714" xr:uid="{00000000-0005-0000-0000-0000E70A0000}"/>
    <cellStyle name="Currency 3 2 2 3 8" xfId="2795" xr:uid="{00000000-0005-0000-0000-0000E80A0000}"/>
    <cellStyle name="Currency 3 2 2 3 8 2" xfId="7019" xr:uid="{00000000-0005-0000-0000-0000E90A0000}"/>
    <cellStyle name="Currency 3 2 2 3 8 2 2" xfId="15461" xr:uid="{51A90267-4064-4BCB-9570-ADA7552CE583}"/>
    <cellStyle name="Currency 3 2 2 3 8 2 3" xfId="23896" xr:uid="{DE151795-70EA-4D22-B34D-A832FC6EC554}"/>
    <cellStyle name="Currency 3 2 2 3 8 3" xfId="11243" xr:uid="{02EDA75E-AAA7-4FAC-89F8-11CCFCCF0647}"/>
    <cellStyle name="Currency 3 2 2 3 8 4" xfId="19679" xr:uid="{DCA2F51C-ED70-482B-898F-285024FCBA6C}"/>
    <cellStyle name="Currency 3 2 2 3 9" xfId="4636" xr:uid="{00000000-0005-0000-0000-0000EA0A0000}"/>
    <cellStyle name="Currency 3 2 2 3 9 2" xfId="13078" xr:uid="{4AF06FA7-4BA5-4731-BD6D-07A01B0E9E45}"/>
    <cellStyle name="Currency 3 2 2 3 9 3" xfId="21513" xr:uid="{D385DEBF-167E-43A8-A62D-4781DDE315D6}"/>
    <cellStyle name="Currency 3 2 2 4" xfId="708" xr:uid="{00000000-0005-0000-0000-0000EB0A0000}"/>
    <cellStyle name="Currency 3 2 2 4 2" xfId="2969" xr:uid="{00000000-0005-0000-0000-0000EC0A0000}"/>
    <cellStyle name="Currency 3 2 2 4 2 2" xfId="7192" xr:uid="{00000000-0005-0000-0000-0000ED0A0000}"/>
    <cellStyle name="Currency 3 2 2 4 2 2 2" xfId="15634" xr:uid="{3D0C1314-9714-4B68-B36B-5A13DA32F9DC}"/>
    <cellStyle name="Currency 3 2 2 4 2 2 3" xfId="24069" xr:uid="{7B2B2A00-35A6-414A-84E6-52A611330639}"/>
    <cellStyle name="Currency 3 2 2 4 2 3" xfId="11416" xr:uid="{3FC02141-683E-49C2-8B8E-01CF85F99901}"/>
    <cellStyle name="Currency 3 2 2 4 2 4" xfId="19852" xr:uid="{170DD2EA-86DF-41AF-AF45-B490E3CB5D8A}"/>
    <cellStyle name="Currency 3 2 2 4 3" xfId="5047" xr:uid="{00000000-0005-0000-0000-0000EE0A0000}"/>
    <cellStyle name="Currency 3 2 2 4 3 2" xfId="13489" xr:uid="{941FE62E-26FA-4F91-BC31-15378A514A82}"/>
    <cellStyle name="Currency 3 2 2 4 3 3" xfId="21924" xr:uid="{5A88D789-27B5-45CC-90E9-994BF8FD752A}"/>
    <cellStyle name="Currency 3 2 2 4 4" xfId="9271" xr:uid="{FD7E272E-F0EC-448B-861A-09BDC2D205B0}"/>
    <cellStyle name="Currency 3 2 2 4 5" xfId="17707" xr:uid="{A73C3AA4-BA0A-452A-8750-D135EA621DBB}"/>
    <cellStyle name="Currency 3 2 2 5" xfId="1151" xr:uid="{00000000-0005-0000-0000-0000EF0A0000}"/>
    <cellStyle name="Currency 3 2 2 5 2" xfId="3382" xr:uid="{00000000-0005-0000-0000-0000F00A0000}"/>
    <cellStyle name="Currency 3 2 2 5 2 2" xfId="7605" xr:uid="{00000000-0005-0000-0000-0000F10A0000}"/>
    <cellStyle name="Currency 3 2 2 5 2 2 2" xfId="16047" xr:uid="{C0CAE260-A69F-49F5-859B-B91351BA95CC}"/>
    <cellStyle name="Currency 3 2 2 5 2 2 3" xfId="24482" xr:uid="{3AFCB074-3A84-43F8-A41A-04BD4D8E3B78}"/>
    <cellStyle name="Currency 3 2 2 5 2 3" xfId="11829" xr:uid="{4C209335-C1FC-4AB2-87F3-7A93AF5D1FA4}"/>
    <cellStyle name="Currency 3 2 2 5 2 4" xfId="20265" xr:uid="{D821082C-70C2-4186-89FF-4DBE0B2A8694}"/>
    <cellStyle name="Currency 3 2 2 5 3" xfId="5460" xr:uid="{00000000-0005-0000-0000-0000F20A0000}"/>
    <cellStyle name="Currency 3 2 2 5 3 2" xfId="13902" xr:uid="{A7794EA8-426B-4F40-BCA8-D8125DE8AB69}"/>
    <cellStyle name="Currency 3 2 2 5 3 3" xfId="22337" xr:uid="{EF4AE0B5-B712-42BD-8FEF-2BA501EC3786}"/>
    <cellStyle name="Currency 3 2 2 5 4" xfId="9684" xr:uid="{8F88D64A-9E15-4401-8E53-F2B5FB33A74F}"/>
    <cellStyle name="Currency 3 2 2 5 5" xfId="18120" xr:uid="{483AAADA-34DF-4C69-8A7E-68289955F1E7}"/>
    <cellStyle name="Currency 3 2 2 6" xfId="1565" xr:uid="{00000000-0005-0000-0000-0000F30A0000}"/>
    <cellStyle name="Currency 3 2 2 6 2" xfId="3795" xr:uid="{00000000-0005-0000-0000-0000F40A0000}"/>
    <cellStyle name="Currency 3 2 2 6 2 2" xfId="8018" xr:uid="{00000000-0005-0000-0000-0000F50A0000}"/>
    <cellStyle name="Currency 3 2 2 6 2 2 2" xfId="16460" xr:uid="{A99312E0-34F4-4992-9D25-2E1449938025}"/>
    <cellStyle name="Currency 3 2 2 6 2 2 3" xfId="24895" xr:uid="{C09C2930-5E21-4B3D-84A9-2FE867FB1A58}"/>
    <cellStyle name="Currency 3 2 2 6 2 3" xfId="12242" xr:uid="{0CD55110-2561-4DA7-8873-D9D7240C4BF8}"/>
    <cellStyle name="Currency 3 2 2 6 2 4" xfId="20678" xr:uid="{1E50F39E-AAEF-401D-9B9B-B8BD3FA8A5A5}"/>
    <cellStyle name="Currency 3 2 2 6 3" xfId="5873" xr:uid="{00000000-0005-0000-0000-0000F60A0000}"/>
    <cellStyle name="Currency 3 2 2 6 3 2" xfId="14315" xr:uid="{DAB31708-1EC5-4783-BC6F-970F2C8D370E}"/>
    <cellStyle name="Currency 3 2 2 6 3 3" xfId="22750" xr:uid="{8C2DA550-F8D2-42F9-A187-87A36ADAA43A}"/>
    <cellStyle name="Currency 3 2 2 6 4" xfId="10097" xr:uid="{45055066-2FBF-4835-98C6-3AEA033612A7}"/>
    <cellStyle name="Currency 3 2 2 6 5" xfId="18533" xr:uid="{CA1C987F-B875-461E-8A2F-53EE5F2D0D0E}"/>
    <cellStyle name="Currency 3 2 2 7" xfId="1979" xr:uid="{00000000-0005-0000-0000-0000F70A0000}"/>
    <cellStyle name="Currency 3 2 2 7 2" xfId="4208" xr:uid="{00000000-0005-0000-0000-0000F80A0000}"/>
    <cellStyle name="Currency 3 2 2 7 2 2" xfId="8431" xr:uid="{00000000-0005-0000-0000-0000F90A0000}"/>
    <cellStyle name="Currency 3 2 2 7 2 2 2" xfId="16873" xr:uid="{ABD2288C-E9B6-4B1D-B0BA-0F9EB5A23B0D}"/>
    <cellStyle name="Currency 3 2 2 7 2 2 3" xfId="25308" xr:uid="{CA1B747D-DCA9-458F-B0F9-CD7E91B400B1}"/>
    <cellStyle name="Currency 3 2 2 7 2 3" xfId="12655" xr:uid="{7FC54A12-F2BF-4C42-9BE7-A0294A058778}"/>
    <cellStyle name="Currency 3 2 2 7 2 4" xfId="21091" xr:uid="{BA45FF54-B7BD-4347-9C74-7F1BE443A235}"/>
    <cellStyle name="Currency 3 2 2 7 3" xfId="6286" xr:uid="{00000000-0005-0000-0000-0000FA0A0000}"/>
    <cellStyle name="Currency 3 2 2 7 3 2" xfId="14728" xr:uid="{5CD8FD1A-A8D7-4230-9CBA-FE159F41BF0B}"/>
    <cellStyle name="Currency 3 2 2 7 3 3" xfId="23163" xr:uid="{EE43C134-60AC-42B6-8B36-27D3C8E324DA}"/>
    <cellStyle name="Currency 3 2 2 7 4" xfId="10510" xr:uid="{DF5E563F-AC06-483B-8439-50E09B36062D}"/>
    <cellStyle name="Currency 3 2 2 7 5" xfId="18946" xr:uid="{8EA9B6D3-5F33-4241-80AD-0E268D40282C}"/>
    <cellStyle name="Currency 3 2 2 8" xfId="2414" xr:uid="{00000000-0005-0000-0000-0000FB0A0000}"/>
    <cellStyle name="Currency 3 2 2 8 2" xfId="6699" xr:uid="{00000000-0005-0000-0000-0000FC0A0000}"/>
    <cellStyle name="Currency 3 2 2 8 2 2" xfId="15141" xr:uid="{AAB34154-62AD-4F81-8A5A-427B40A4A343}"/>
    <cellStyle name="Currency 3 2 2 8 2 3" xfId="23576" xr:uid="{159A41B8-EA13-4685-94E9-3F91AF8CE722}"/>
    <cellStyle name="Currency 3 2 2 8 3" xfId="10923" xr:uid="{7C42D270-87C3-42F3-931C-28380C87C709}"/>
    <cellStyle name="Currency 3 2 2 8 4" xfId="19359" xr:uid="{99832861-C392-47E6-B945-6777B147E1A6}"/>
    <cellStyle name="Currency 3 2 2 9" xfId="2711" xr:uid="{00000000-0005-0000-0000-0000FD0A0000}"/>
    <cellStyle name="Currency 3 2 3" xfId="182" xr:uid="{00000000-0005-0000-0000-0000FE0A0000}"/>
    <cellStyle name="Currency 3 2 3 10" xfId="4637" xr:uid="{00000000-0005-0000-0000-0000FF0A0000}"/>
    <cellStyle name="Currency 3 2 3 10 2" xfId="13079" xr:uid="{30A554ED-C124-4A19-BB39-D80B0D4EA7E7}"/>
    <cellStyle name="Currency 3 2 3 10 3" xfId="21514" xr:uid="{15D5336C-11B9-4E9C-AE4E-9581C3A125AA}"/>
    <cellStyle name="Currency 3 2 3 11" xfId="8861" xr:uid="{65E76535-B64E-4B92-A203-1B65D22A84F3}"/>
    <cellStyle name="Currency 3 2 3 12" xfId="17297" xr:uid="{224EFA64-56F7-4ED4-AE01-F148D7FC5EA1}"/>
    <cellStyle name="Currency 3 2 3 2" xfId="183" xr:uid="{00000000-0005-0000-0000-0000000B0000}"/>
    <cellStyle name="Currency 3 2 3 2 10" xfId="8862" xr:uid="{10AD82D3-9934-4889-99F1-FAD39DA3B9E9}"/>
    <cellStyle name="Currency 3 2 3 2 11" xfId="17298" xr:uid="{AEDCEC31-9388-40B2-82F6-91EB17AFD411}"/>
    <cellStyle name="Currency 3 2 3 2 2" xfId="713" xr:uid="{00000000-0005-0000-0000-0000010B0000}"/>
    <cellStyle name="Currency 3 2 3 2 2 2" xfId="2974" xr:uid="{00000000-0005-0000-0000-0000020B0000}"/>
    <cellStyle name="Currency 3 2 3 2 2 2 2" xfId="7197" xr:uid="{00000000-0005-0000-0000-0000030B0000}"/>
    <cellStyle name="Currency 3 2 3 2 2 2 2 2" xfId="15639" xr:uid="{2F0B9FC5-DFDA-483C-BA3D-171499F3C802}"/>
    <cellStyle name="Currency 3 2 3 2 2 2 2 3" xfId="24074" xr:uid="{5FD5923C-5E7A-46BE-8BEE-56C4E11E5A6A}"/>
    <cellStyle name="Currency 3 2 3 2 2 2 3" xfId="11421" xr:uid="{12768430-3265-4724-9321-69441771E9E1}"/>
    <cellStyle name="Currency 3 2 3 2 2 2 4" xfId="19857" xr:uid="{5FA19255-240D-46FB-AA0B-6061865821E7}"/>
    <cellStyle name="Currency 3 2 3 2 2 3" xfId="5052" xr:uid="{00000000-0005-0000-0000-0000040B0000}"/>
    <cellStyle name="Currency 3 2 3 2 2 3 2" xfId="13494" xr:uid="{E7ABB0D9-E63A-497B-95E4-DD400D2D56D1}"/>
    <cellStyle name="Currency 3 2 3 2 2 3 3" xfId="21929" xr:uid="{75B79453-FBFE-4EB4-9CCC-8E48A49EE47A}"/>
    <cellStyle name="Currency 3 2 3 2 2 4" xfId="9276" xr:uid="{891B0147-AD5B-452C-BBA2-BFA6B6AF054D}"/>
    <cellStyle name="Currency 3 2 3 2 2 5" xfId="17712" xr:uid="{9249E423-DC39-40B8-A3D9-B605EC348185}"/>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2 2 2" xfId="16052" xr:uid="{DE884471-4659-4164-B085-2303D08C69F1}"/>
    <cellStyle name="Currency 3 2 3 2 3 2 2 3" xfId="24487" xr:uid="{F55A2790-A354-431F-8760-53145B5FA812}"/>
    <cellStyle name="Currency 3 2 3 2 3 2 3" xfId="11834" xr:uid="{E0EDA7D9-ADB6-4A9E-96F7-712733831061}"/>
    <cellStyle name="Currency 3 2 3 2 3 2 4" xfId="20270" xr:uid="{BCEA6525-F19A-4B27-A2FB-6CCCA8088203}"/>
    <cellStyle name="Currency 3 2 3 2 3 3" xfId="5465" xr:uid="{00000000-0005-0000-0000-0000080B0000}"/>
    <cellStyle name="Currency 3 2 3 2 3 3 2" xfId="13907" xr:uid="{E375374C-DCC3-44E7-97A4-3C82CBB286AF}"/>
    <cellStyle name="Currency 3 2 3 2 3 3 3" xfId="22342" xr:uid="{C0D5B144-4294-470D-B053-67006900A872}"/>
    <cellStyle name="Currency 3 2 3 2 3 4" xfId="9689" xr:uid="{A523FAC9-2AE5-4F8D-9EFD-FF2DF69D1751}"/>
    <cellStyle name="Currency 3 2 3 2 3 5" xfId="18125" xr:uid="{E046AE10-11BC-4D08-8913-69AF7F2BCCC5}"/>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2 2 2" xfId="16465" xr:uid="{2AF0B1D6-9A5F-4D2E-9F77-B3CE2BC1714D}"/>
    <cellStyle name="Currency 3 2 3 2 4 2 2 3" xfId="24900" xr:uid="{B0961C80-52C4-4839-AFC4-91A6526CC1ED}"/>
    <cellStyle name="Currency 3 2 3 2 4 2 3" xfId="12247" xr:uid="{1FF5ED55-8469-4592-A45E-3E25652F27AD}"/>
    <cellStyle name="Currency 3 2 3 2 4 2 4" xfId="20683" xr:uid="{7F37E848-8D92-4C5E-AC81-150AC087532B}"/>
    <cellStyle name="Currency 3 2 3 2 4 3" xfId="5878" xr:uid="{00000000-0005-0000-0000-00000C0B0000}"/>
    <cellStyle name="Currency 3 2 3 2 4 3 2" xfId="14320" xr:uid="{4E4BD282-27CB-40DB-BA92-B2EE1F5BD7DD}"/>
    <cellStyle name="Currency 3 2 3 2 4 3 3" xfId="22755" xr:uid="{97D60202-F472-4C56-B47D-848E9783A407}"/>
    <cellStyle name="Currency 3 2 3 2 4 4" xfId="10102" xr:uid="{0EE722A9-FB20-4413-B8CB-7208F4BDBAF3}"/>
    <cellStyle name="Currency 3 2 3 2 4 5" xfId="18538" xr:uid="{B5FC1A57-7C7F-4EA8-A3C5-4E95D0449152}"/>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2 2 2" xfId="16878" xr:uid="{A10BB600-9F68-4919-AC9D-43A961DF46C2}"/>
    <cellStyle name="Currency 3 2 3 2 5 2 2 3" xfId="25313" xr:uid="{C4E8EB37-6F3E-4BB9-92EF-1D1AE2A8B15D}"/>
    <cellStyle name="Currency 3 2 3 2 5 2 3" xfId="12660" xr:uid="{340C8E5F-0D19-4B27-B36C-86CDF0310F68}"/>
    <cellStyle name="Currency 3 2 3 2 5 2 4" xfId="21096" xr:uid="{ED97B727-CB88-4832-9483-48E6DDAB06AF}"/>
    <cellStyle name="Currency 3 2 3 2 5 3" xfId="6291" xr:uid="{00000000-0005-0000-0000-0000100B0000}"/>
    <cellStyle name="Currency 3 2 3 2 5 3 2" xfId="14733" xr:uid="{CC2C5EBD-D10A-44B9-AB80-1D1569D38B16}"/>
    <cellStyle name="Currency 3 2 3 2 5 3 3" xfId="23168" xr:uid="{924F8598-C495-4B75-BF8C-20D5AAF9CA0A}"/>
    <cellStyle name="Currency 3 2 3 2 5 4" xfId="10515" xr:uid="{40022B38-DF64-46FD-A1ED-F0999E8008E4}"/>
    <cellStyle name="Currency 3 2 3 2 5 5" xfId="18951" xr:uid="{F2522469-76DE-4D0B-B1CC-FD7DDB9FE7AA}"/>
    <cellStyle name="Currency 3 2 3 2 6" xfId="2419" xr:uid="{00000000-0005-0000-0000-0000110B0000}"/>
    <cellStyle name="Currency 3 2 3 2 6 2" xfId="6704" xr:uid="{00000000-0005-0000-0000-0000120B0000}"/>
    <cellStyle name="Currency 3 2 3 2 6 2 2" xfId="15146" xr:uid="{6F4D0B6D-511E-41CD-B988-7CAA1F6F1882}"/>
    <cellStyle name="Currency 3 2 3 2 6 2 3" xfId="23581" xr:uid="{BD83D364-D1EC-42F9-B325-60A70D279921}"/>
    <cellStyle name="Currency 3 2 3 2 6 3" xfId="10928" xr:uid="{094323E5-FF60-47B6-9C39-8500890A932C}"/>
    <cellStyle name="Currency 3 2 3 2 6 4" xfId="19364" xr:uid="{6443C525-D89A-4611-8181-5B1225DE5B15}"/>
    <cellStyle name="Currency 3 2 3 2 7" xfId="2716" xr:uid="{00000000-0005-0000-0000-0000130B0000}"/>
    <cellStyle name="Currency 3 2 3 2 8" xfId="2797" xr:uid="{00000000-0005-0000-0000-0000140B0000}"/>
    <cellStyle name="Currency 3 2 3 2 8 2" xfId="7021" xr:uid="{00000000-0005-0000-0000-0000150B0000}"/>
    <cellStyle name="Currency 3 2 3 2 8 2 2" xfId="15463" xr:uid="{749EFEB5-E34B-4FAB-8E51-3459AAA3B7BF}"/>
    <cellStyle name="Currency 3 2 3 2 8 2 3" xfId="23898" xr:uid="{88F4687A-767C-44D9-93C5-55A966EAA8DF}"/>
    <cellStyle name="Currency 3 2 3 2 8 3" xfId="11245" xr:uid="{D30568D9-D770-4A59-BC0E-E1406D5D6F05}"/>
    <cellStyle name="Currency 3 2 3 2 8 4" xfId="19681" xr:uid="{BC6F8203-C154-4C39-B27E-16D39BC35037}"/>
    <cellStyle name="Currency 3 2 3 2 9" xfId="4638" xr:uid="{00000000-0005-0000-0000-0000160B0000}"/>
    <cellStyle name="Currency 3 2 3 2 9 2" xfId="13080" xr:uid="{971682BE-88A4-4EA4-83B0-2D3C51644A0A}"/>
    <cellStyle name="Currency 3 2 3 2 9 3" xfId="21515" xr:uid="{F901552B-3A20-4418-9835-BA31B4762FA5}"/>
    <cellStyle name="Currency 3 2 3 3" xfId="712" xr:uid="{00000000-0005-0000-0000-0000170B0000}"/>
    <cellStyle name="Currency 3 2 3 3 2" xfId="2973" xr:uid="{00000000-0005-0000-0000-0000180B0000}"/>
    <cellStyle name="Currency 3 2 3 3 2 2" xfId="7196" xr:uid="{00000000-0005-0000-0000-0000190B0000}"/>
    <cellStyle name="Currency 3 2 3 3 2 2 2" xfId="15638" xr:uid="{AE29F1E0-B1F7-4B74-80BB-29F9E42E3D73}"/>
    <cellStyle name="Currency 3 2 3 3 2 2 3" xfId="24073" xr:uid="{9507A50F-989F-4A1E-B104-32DD0538AA40}"/>
    <cellStyle name="Currency 3 2 3 3 2 3" xfId="11420" xr:uid="{B68FB5FB-5DD6-4734-9EE3-32B88EB61D67}"/>
    <cellStyle name="Currency 3 2 3 3 2 4" xfId="19856" xr:uid="{115EF75E-B8C5-4CEA-823C-C4E52930F820}"/>
    <cellStyle name="Currency 3 2 3 3 3" xfId="5051" xr:uid="{00000000-0005-0000-0000-00001A0B0000}"/>
    <cellStyle name="Currency 3 2 3 3 3 2" xfId="13493" xr:uid="{88D45624-1DA5-41B6-84B4-0F5AD087BCC3}"/>
    <cellStyle name="Currency 3 2 3 3 3 3" xfId="21928" xr:uid="{32889724-5C0D-4DC2-8E66-781FC8BFF2A8}"/>
    <cellStyle name="Currency 3 2 3 3 4" xfId="9275" xr:uid="{33065FCF-AEEB-4C2F-8682-1A010A952A2E}"/>
    <cellStyle name="Currency 3 2 3 3 5" xfId="17711" xr:uid="{4C3FE42D-3E76-4A3D-8509-A1D82488BB75}"/>
    <cellStyle name="Currency 3 2 3 4" xfId="1155" xr:uid="{00000000-0005-0000-0000-00001B0B0000}"/>
    <cellStyle name="Currency 3 2 3 4 2" xfId="3386" xr:uid="{00000000-0005-0000-0000-00001C0B0000}"/>
    <cellStyle name="Currency 3 2 3 4 2 2" xfId="7609" xr:uid="{00000000-0005-0000-0000-00001D0B0000}"/>
    <cellStyle name="Currency 3 2 3 4 2 2 2" xfId="16051" xr:uid="{AA0802B3-8F5C-4D0E-849F-17617A039D39}"/>
    <cellStyle name="Currency 3 2 3 4 2 2 3" xfId="24486" xr:uid="{315F92AC-403F-4DE9-925C-D9AB3BF4DCFA}"/>
    <cellStyle name="Currency 3 2 3 4 2 3" xfId="11833" xr:uid="{C679E4AE-07B8-48B2-859E-1ED181168EA2}"/>
    <cellStyle name="Currency 3 2 3 4 2 4" xfId="20269" xr:uid="{A3106A1B-9A91-4C32-A17F-1BB80BCFADC5}"/>
    <cellStyle name="Currency 3 2 3 4 3" xfId="5464" xr:uid="{00000000-0005-0000-0000-00001E0B0000}"/>
    <cellStyle name="Currency 3 2 3 4 3 2" xfId="13906" xr:uid="{CB6538B2-272A-434E-B1C7-04E826D90260}"/>
    <cellStyle name="Currency 3 2 3 4 3 3" xfId="22341" xr:uid="{5D11F173-8B90-407C-9352-94CF0A97096D}"/>
    <cellStyle name="Currency 3 2 3 4 4" xfId="9688" xr:uid="{2391E8EF-A4E4-4335-B24A-CF04C180831C}"/>
    <cellStyle name="Currency 3 2 3 4 5" xfId="18124" xr:uid="{16FB8DF6-7660-480D-85EB-1BF1885C6278}"/>
    <cellStyle name="Currency 3 2 3 5" xfId="1569" xr:uid="{00000000-0005-0000-0000-00001F0B0000}"/>
    <cellStyle name="Currency 3 2 3 5 2" xfId="3799" xr:uid="{00000000-0005-0000-0000-0000200B0000}"/>
    <cellStyle name="Currency 3 2 3 5 2 2" xfId="8022" xr:uid="{00000000-0005-0000-0000-0000210B0000}"/>
    <cellStyle name="Currency 3 2 3 5 2 2 2" xfId="16464" xr:uid="{2C177B8F-8A63-408E-84C7-4E5EC8EDE753}"/>
    <cellStyle name="Currency 3 2 3 5 2 2 3" xfId="24899" xr:uid="{F1D4602F-2708-4CDC-9EA9-DA6F7EF981F5}"/>
    <cellStyle name="Currency 3 2 3 5 2 3" xfId="12246" xr:uid="{FBB256C2-A3B9-48C2-A879-F5C84388DFB1}"/>
    <cellStyle name="Currency 3 2 3 5 2 4" xfId="20682" xr:uid="{5CEB2B91-0F15-4C1C-873E-9A5ADB0F71D8}"/>
    <cellStyle name="Currency 3 2 3 5 3" xfId="5877" xr:uid="{00000000-0005-0000-0000-0000220B0000}"/>
    <cellStyle name="Currency 3 2 3 5 3 2" xfId="14319" xr:uid="{48157B9D-F138-47FA-AD4D-041AD3D20798}"/>
    <cellStyle name="Currency 3 2 3 5 3 3" xfId="22754" xr:uid="{F8AAB58D-94FF-4A55-AA99-414A45C4D51A}"/>
    <cellStyle name="Currency 3 2 3 5 4" xfId="10101" xr:uid="{BB62EB1F-D175-4740-8BCC-09D87028D35E}"/>
    <cellStyle name="Currency 3 2 3 5 5" xfId="18537" xr:uid="{03CD9B2F-7E71-4617-941F-F8115D33D2B5}"/>
    <cellStyle name="Currency 3 2 3 6" xfId="1983" xr:uid="{00000000-0005-0000-0000-0000230B0000}"/>
    <cellStyle name="Currency 3 2 3 6 2" xfId="4212" xr:uid="{00000000-0005-0000-0000-0000240B0000}"/>
    <cellStyle name="Currency 3 2 3 6 2 2" xfId="8435" xr:uid="{00000000-0005-0000-0000-0000250B0000}"/>
    <cellStyle name="Currency 3 2 3 6 2 2 2" xfId="16877" xr:uid="{6AC5247F-8C1F-4508-95B5-8DC25E59DFF7}"/>
    <cellStyle name="Currency 3 2 3 6 2 2 3" xfId="25312" xr:uid="{61D64F4A-4369-4FBC-BD29-314359A81B23}"/>
    <cellStyle name="Currency 3 2 3 6 2 3" xfId="12659" xr:uid="{FB39F3D6-E993-4F28-8CC2-C5C4FF766B48}"/>
    <cellStyle name="Currency 3 2 3 6 2 4" xfId="21095" xr:uid="{CC35D568-91DB-4ADB-9298-07CDF05ECDD1}"/>
    <cellStyle name="Currency 3 2 3 6 3" xfId="6290" xr:uid="{00000000-0005-0000-0000-0000260B0000}"/>
    <cellStyle name="Currency 3 2 3 6 3 2" xfId="14732" xr:uid="{A8AA16FC-DB7A-41C0-9DDA-73E4EF01B182}"/>
    <cellStyle name="Currency 3 2 3 6 3 3" xfId="23167" xr:uid="{4054F7B6-B119-47D1-B88A-77A7E47AF0BD}"/>
    <cellStyle name="Currency 3 2 3 6 4" xfId="10514" xr:uid="{FE9872AE-BCC4-4B07-AEB8-C64129756C0E}"/>
    <cellStyle name="Currency 3 2 3 6 5" xfId="18950" xr:uid="{359FF9DC-178F-428A-B00B-50D2C05146BE}"/>
    <cellStyle name="Currency 3 2 3 7" xfId="2418" xr:uid="{00000000-0005-0000-0000-0000270B0000}"/>
    <cellStyle name="Currency 3 2 3 7 2" xfId="6703" xr:uid="{00000000-0005-0000-0000-0000280B0000}"/>
    <cellStyle name="Currency 3 2 3 7 2 2" xfId="15145" xr:uid="{97482C28-C5A9-4A06-B0ED-7BC9027275C4}"/>
    <cellStyle name="Currency 3 2 3 7 2 3" xfId="23580" xr:uid="{2923DF37-50D3-44E0-8997-E152C6513631}"/>
    <cellStyle name="Currency 3 2 3 7 3" xfId="10927" xr:uid="{050CAA6C-4425-41D9-8899-29C06DBB8772}"/>
    <cellStyle name="Currency 3 2 3 7 4" xfId="19363" xr:uid="{F84E0A21-DE47-47DE-A701-4C0F06123006}"/>
    <cellStyle name="Currency 3 2 3 8" xfId="2715" xr:uid="{00000000-0005-0000-0000-0000290B0000}"/>
    <cellStyle name="Currency 3 2 3 9" xfId="2796" xr:uid="{00000000-0005-0000-0000-00002A0B0000}"/>
    <cellStyle name="Currency 3 2 3 9 2" xfId="7020" xr:uid="{00000000-0005-0000-0000-00002B0B0000}"/>
    <cellStyle name="Currency 3 2 3 9 2 2" xfId="15462" xr:uid="{F5FDD365-044F-4E7E-8EFF-33AE587E4562}"/>
    <cellStyle name="Currency 3 2 3 9 2 3" xfId="23897" xr:uid="{68833192-6AAA-405F-AF06-F0A506BEA48E}"/>
    <cellStyle name="Currency 3 2 3 9 3" xfId="11244" xr:uid="{85B941A0-DF10-415F-98BC-8E19EE4FF0AB}"/>
    <cellStyle name="Currency 3 2 3 9 4" xfId="19680" xr:uid="{612E6B8D-74C4-4001-A112-78882C451FF9}"/>
    <cellStyle name="Currency 3 2 4" xfId="184" xr:uid="{00000000-0005-0000-0000-00002C0B0000}"/>
    <cellStyle name="Currency 3 2 4 10" xfId="8863" xr:uid="{2441E393-9D34-45AD-8AC7-6703694CFF66}"/>
    <cellStyle name="Currency 3 2 4 11" xfId="17299" xr:uid="{0F4EF20B-B09F-4EEE-B0AB-E4CDB1F97205}"/>
    <cellStyle name="Currency 3 2 4 2" xfId="714" xr:uid="{00000000-0005-0000-0000-00002D0B0000}"/>
    <cellStyle name="Currency 3 2 4 2 2" xfId="2975" xr:uid="{00000000-0005-0000-0000-00002E0B0000}"/>
    <cellStyle name="Currency 3 2 4 2 2 2" xfId="7198" xr:uid="{00000000-0005-0000-0000-00002F0B0000}"/>
    <cellStyle name="Currency 3 2 4 2 2 2 2" xfId="15640" xr:uid="{62D8F3CE-A6D2-4997-8430-F8E9952780B8}"/>
    <cellStyle name="Currency 3 2 4 2 2 2 3" xfId="24075" xr:uid="{CA834948-A1DF-42DD-A750-83EC440C967F}"/>
    <cellStyle name="Currency 3 2 4 2 2 3" xfId="11422" xr:uid="{70DD4DC4-AA4E-4C33-88DC-99AE84503E6F}"/>
    <cellStyle name="Currency 3 2 4 2 2 4" xfId="19858" xr:uid="{0D7F032E-70D6-452B-A81E-9F2CBB2D3446}"/>
    <cellStyle name="Currency 3 2 4 2 3" xfId="5053" xr:uid="{00000000-0005-0000-0000-0000300B0000}"/>
    <cellStyle name="Currency 3 2 4 2 3 2" xfId="13495" xr:uid="{08025F68-DA1A-403D-8984-F9ECA668BCEC}"/>
    <cellStyle name="Currency 3 2 4 2 3 3" xfId="21930" xr:uid="{3B8EFF85-9EE1-4734-A165-EB4AB5BC33F8}"/>
    <cellStyle name="Currency 3 2 4 2 4" xfId="9277" xr:uid="{E3A781CF-AD71-453E-B6D6-6F3B92A71449}"/>
    <cellStyle name="Currency 3 2 4 2 5" xfId="17713" xr:uid="{C7063BA5-8325-4A17-956A-AE95B2EDF1FF}"/>
    <cellStyle name="Currency 3 2 4 3" xfId="1157" xr:uid="{00000000-0005-0000-0000-0000310B0000}"/>
    <cellStyle name="Currency 3 2 4 3 2" xfId="3388" xr:uid="{00000000-0005-0000-0000-0000320B0000}"/>
    <cellStyle name="Currency 3 2 4 3 2 2" xfId="7611" xr:uid="{00000000-0005-0000-0000-0000330B0000}"/>
    <cellStyle name="Currency 3 2 4 3 2 2 2" xfId="16053" xr:uid="{C9AD71D1-8AAA-4259-8A3D-51DBF550F2CD}"/>
    <cellStyle name="Currency 3 2 4 3 2 2 3" xfId="24488" xr:uid="{094D944D-7564-4546-AF12-497DCAF04926}"/>
    <cellStyle name="Currency 3 2 4 3 2 3" xfId="11835" xr:uid="{168F3508-4DE8-417E-870C-5C902DE6B9BF}"/>
    <cellStyle name="Currency 3 2 4 3 2 4" xfId="20271" xr:uid="{A433C4C9-A001-4AB8-8B8B-F535DD553FA9}"/>
    <cellStyle name="Currency 3 2 4 3 3" xfId="5466" xr:uid="{00000000-0005-0000-0000-0000340B0000}"/>
    <cellStyle name="Currency 3 2 4 3 3 2" xfId="13908" xr:uid="{A06C5607-3EA6-4401-9C3E-26C0A1356680}"/>
    <cellStyle name="Currency 3 2 4 3 3 3" xfId="22343" xr:uid="{8D43382D-74B6-43BB-932F-3EEF2EAEC4DD}"/>
    <cellStyle name="Currency 3 2 4 3 4" xfId="9690" xr:uid="{421D3C86-E701-4379-B483-77F75634D765}"/>
    <cellStyle name="Currency 3 2 4 3 5" xfId="18126" xr:uid="{EC3B6618-F2A3-4384-B7FB-9C3A364B706A}"/>
    <cellStyle name="Currency 3 2 4 4" xfId="1571" xr:uid="{00000000-0005-0000-0000-0000350B0000}"/>
    <cellStyle name="Currency 3 2 4 4 2" xfId="3801" xr:uid="{00000000-0005-0000-0000-0000360B0000}"/>
    <cellStyle name="Currency 3 2 4 4 2 2" xfId="8024" xr:uid="{00000000-0005-0000-0000-0000370B0000}"/>
    <cellStyle name="Currency 3 2 4 4 2 2 2" xfId="16466" xr:uid="{B454080D-F573-4DE3-B11F-4DEFDDA5FC16}"/>
    <cellStyle name="Currency 3 2 4 4 2 2 3" xfId="24901" xr:uid="{D059E144-746E-4671-9796-72B5DF163C24}"/>
    <cellStyle name="Currency 3 2 4 4 2 3" xfId="12248" xr:uid="{E507BDCD-DFDF-4E2D-BF17-669BA88ECC5A}"/>
    <cellStyle name="Currency 3 2 4 4 2 4" xfId="20684" xr:uid="{D62FC5A0-0434-40A3-84E9-2CCE57124A73}"/>
    <cellStyle name="Currency 3 2 4 4 3" xfId="5879" xr:uid="{00000000-0005-0000-0000-0000380B0000}"/>
    <cellStyle name="Currency 3 2 4 4 3 2" xfId="14321" xr:uid="{84CB7701-00F0-4321-B890-2F2A846322A3}"/>
    <cellStyle name="Currency 3 2 4 4 3 3" xfId="22756" xr:uid="{502E0C48-27D4-4A76-8AFB-66EEEE0A2DB8}"/>
    <cellStyle name="Currency 3 2 4 4 4" xfId="10103" xr:uid="{7EE05F75-ABBD-41E7-A46D-42F806F6854A}"/>
    <cellStyle name="Currency 3 2 4 4 5" xfId="18539" xr:uid="{2AC4A799-76BA-444D-9C52-CE4ACF32A4EB}"/>
    <cellStyle name="Currency 3 2 4 5" xfId="1985" xr:uid="{00000000-0005-0000-0000-0000390B0000}"/>
    <cellStyle name="Currency 3 2 4 5 2" xfId="4214" xr:uid="{00000000-0005-0000-0000-00003A0B0000}"/>
    <cellStyle name="Currency 3 2 4 5 2 2" xfId="8437" xr:uid="{00000000-0005-0000-0000-00003B0B0000}"/>
    <cellStyle name="Currency 3 2 4 5 2 2 2" xfId="16879" xr:uid="{8B7D403C-C819-4F8A-A5F9-DBA1058A05EF}"/>
    <cellStyle name="Currency 3 2 4 5 2 2 3" xfId="25314" xr:uid="{A8102D7E-3494-449E-870D-EF50D43E2173}"/>
    <cellStyle name="Currency 3 2 4 5 2 3" xfId="12661" xr:uid="{1E080297-17A1-4A35-BFBA-2B8A110C7A29}"/>
    <cellStyle name="Currency 3 2 4 5 2 4" xfId="21097" xr:uid="{A307B4B5-0FA2-4D10-9A06-3EDEA64BDEEE}"/>
    <cellStyle name="Currency 3 2 4 5 3" xfId="6292" xr:uid="{00000000-0005-0000-0000-00003C0B0000}"/>
    <cellStyle name="Currency 3 2 4 5 3 2" xfId="14734" xr:uid="{9B2CEDBF-4077-404D-A600-2AA8A93FCF3F}"/>
    <cellStyle name="Currency 3 2 4 5 3 3" xfId="23169" xr:uid="{7503DC2A-F3E3-49ED-8ED8-940A5B7108B5}"/>
    <cellStyle name="Currency 3 2 4 5 4" xfId="10516" xr:uid="{688A6F93-C8BD-4457-B65D-18486992459D}"/>
    <cellStyle name="Currency 3 2 4 5 5" xfId="18952" xr:uid="{0858AECC-DFF3-444E-AF47-0D1C09116175}"/>
    <cellStyle name="Currency 3 2 4 6" xfId="2420" xr:uid="{00000000-0005-0000-0000-00003D0B0000}"/>
    <cellStyle name="Currency 3 2 4 6 2" xfId="6705" xr:uid="{00000000-0005-0000-0000-00003E0B0000}"/>
    <cellStyle name="Currency 3 2 4 6 2 2" xfId="15147" xr:uid="{A72DE25A-094F-47A8-A83C-B506DEAB202A}"/>
    <cellStyle name="Currency 3 2 4 6 2 3" xfId="23582" xr:uid="{1D17B8A9-CA4D-4314-A889-F368AE2CBF9F}"/>
    <cellStyle name="Currency 3 2 4 6 3" xfId="10929" xr:uid="{9F4CF6F5-AC6C-4B30-A190-D6D432F9AF92}"/>
    <cellStyle name="Currency 3 2 4 6 4" xfId="19365" xr:uid="{DCAA6246-2CFF-478B-9E53-F5A8748FE252}"/>
    <cellStyle name="Currency 3 2 4 7" xfId="2717" xr:uid="{00000000-0005-0000-0000-00003F0B0000}"/>
    <cellStyle name="Currency 3 2 4 8" xfId="2798" xr:uid="{00000000-0005-0000-0000-0000400B0000}"/>
    <cellStyle name="Currency 3 2 4 8 2" xfId="7022" xr:uid="{00000000-0005-0000-0000-0000410B0000}"/>
    <cellStyle name="Currency 3 2 4 8 2 2" xfId="15464" xr:uid="{48AF51C9-BC31-465E-B7B3-57AB5BA2E2D1}"/>
    <cellStyle name="Currency 3 2 4 8 2 3" xfId="23899" xr:uid="{DB06DC91-5A8A-427E-B9F5-0B72E6FA1750}"/>
    <cellStyle name="Currency 3 2 4 8 3" xfId="11246" xr:uid="{519AD828-5504-4840-A256-25A3E7F91BB8}"/>
    <cellStyle name="Currency 3 2 4 8 4" xfId="19682" xr:uid="{0D578239-562D-44F7-A5A4-F187604E9B82}"/>
    <cellStyle name="Currency 3 2 4 9" xfId="4639" xr:uid="{00000000-0005-0000-0000-0000420B0000}"/>
    <cellStyle name="Currency 3 2 4 9 2" xfId="13081" xr:uid="{C546D41B-640D-451F-930C-5EA3B76D13A6}"/>
    <cellStyle name="Currency 3 2 4 9 3" xfId="21516" xr:uid="{6C5A37F6-3431-45ED-83A7-2E15C6641FC5}"/>
    <cellStyle name="Currency 3 2 5" xfId="185" xr:uid="{00000000-0005-0000-0000-0000430B0000}"/>
    <cellStyle name="Currency 3 2 5 10" xfId="8864" xr:uid="{687E4974-303F-46BC-AB32-7568D85AE17E}"/>
    <cellStyle name="Currency 3 2 5 11" xfId="17300" xr:uid="{6A6BCAC8-9CE5-4C8D-BF60-F1ED15EF4082}"/>
    <cellStyle name="Currency 3 2 5 2" xfId="715" xr:uid="{00000000-0005-0000-0000-0000440B0000}"/>
    <cellStyle name="Currency 3 2 5 2 2" xfId="2976" xr:uid="{00000000-0005-0000-0000-0000450B0000}"/>
    <cellStyle name="Currency 3 2 5 2 2 2" xfId="7199" xr:uid="{00000000-0005-0000-0000-0000460B0000}"/>
    <cellStyle name="Currency 3 2 5 2 2 2 2" xfId="15641" xr:uid="{1F2BE314-9EA9-4B4C-AD1C-A1CBD57158B6}"/>
    <cellStyle name="Currency 3 2 5 2 2 2 3" xfId="24076" xr:uid="{5B2E3637-2FF9-44FB-86BE-A4148909D245}"/>
    <cellStyle name="Currency 3 2 5 2 2 3" xfId="11423" xr:uid="{7CC6E037-34C0-4C5B-8079-2490C2BF31AF}"/>
    <cellStyle name="Currency 3 2 5 2 2 4" xfId="19859" xr:uid="{6940619A-BA75-46FA-845C-17B63E3BBC15}"/>
    <cellStyle name="Currency 3 2 5 2 3" xfId="5054" xr:uid="{00000000-0005-0000-0000-0000470B0000}"/>
    <cellStyle name="Currency 3 2 5 2 3 2" xfId="13496" xr:uid="{1C96CA12-011B-4FD3-978F-31D8D6F399C4}"/>
    <cellStyle name="Currency 3 2 5 2 3 3" xfId="21931" xr:uid="{FF1F6D90-83C9-456A-A589-3C6B78EE57D3}"/>
    <cellStyle name="Currency 3 2 5 2 4" xfId="9278" xr:uid="{9047FE58-DD18-4163-8A23-3F5CCADD8CC5}"/>
    <cellStyle name="Currency 3 2 5 2 5" xfId="17714" xr:uid="{1ED83923-F3E4-4A8B-9746-DDEE9CCD9D7E}"/>
    <cellStyle name="Currency 3 2 5 3" xfId="1158" xr:uid="{00000000-0005-0000-0000-0000480B0000}"/>
    <cellStyle name="Currency 3 2 5 3 2" xfId="3389" xr:uid="{00000000-0005-0000-0000-0000490B0000}"/>
    <cellStyle name="Currency 3 2 5 3 2 2" xfId="7612" xr:uid="{00000000-0005-0000-0000-00004A0B0000}"/>
    <cellStyle name="Currency 3 2 5 3 2 2 2" xfId="16054" xr:uid="{AE286E49-121A-489A-8CE5-0CA2CD19B140}"/>
    <cellStyle name="Currency 3 2 5 3 2 2 3" xfId="24489" xr:uid="{2E2049CC-B9BD-4E1A-93EF-90739D7DFCC4}"/>
    <cellStyle name="Currency 3 2 5 3 2 3" xfId="11836" xr:uid="{05341B16-E536-4ECA-A5E3-20C27EA6D82D}"/>
    <cellStyle name="Currency 3 2 5 3 2 4" xfId="20272" xr:uid="{64E24E95-AC69-4CB4-AFB2-AEFE2887A6D9}"/>
    <cellStyle name="Currency 3 2 5 3 3" xfId="5467" xr:uid="{00000000-0005-0000-0000-00004B0B0000}"/>
    <cellStyle name="Currency 3 2 5 3 3 2" xfId="13909" xr:uid="{9EF8E8C0-2E17-45A7-BD8D-4E9660A325A7}"/>
    <cellStyle name="Currency 3 2 5 3 3 3" xfId="22344" xr:uid="{890671D9-D6A2-489C-A20A-56F8473E30F6}"/>
    <cellStyle name="Currency 3 2 5 3 4" xfId="9691" xr:uid="{B5B9B6BB-7100-4092-9985-F5120415E927}"/>
    <cellStyle name="Currency 3 2 5 3 5" xfId="18127" xr:uid="{A1E9FD56-7539-4336-8C3B-4F3357556384}"/>
    <cellStyle name="Currency 3 2 5 4" xfId="1572" xr:uid="{00000000-0005-0000-0000-00004C0B0000}"/>
    <cellStyle name="Currency 3 2 5 4 2" xfId="3802" xr:uid="{00000000-0005-0000-0000-00004D0B0000}"/>
    <cellStyle name="Currency 3 2 5 4 2 2" xfId="8025" xr:uid="{00000000-0005-0000-0000-00004E0B0000}"/>
    <cellStyle name="Currency 3 2 5 4 2 2 2" xfId="16467" xr:uid="{3D28EAD6-32B2-4365-A788-A4450E05794E}"/>
    <cellStyle name="Currency 3 2 5 4 2 2 3" xfId="24902" xr:uid="{B7AB3AC7-0287-4BBE-AB9C-50847C35DD4C}"/>
    <cellStyle name="Currency 3 2 5 4 2 3" xfId="12249" xr:uid="{5065B0B8-1A06-4514-A423-9AB9FE66B420}"/>
    <cellStyle name="Currency 3 2 5 4 2 4" xfId="20685" xr:uid="{91BB6F78-B412-4700-946D-00BEADA2FCB5}"/>
    <cellStyle name="Currency 3 2 5 4 3" xfId="5880" xr:uid="{00000000-0005-0000-0000-00004F0B0000}"/>
    <cellStyle name="Currency 3 2 5 4 3 2" xfId="14322" xr:uid="{48F74AAA-ECD8-4A15-90E3-393DB0647E3C}"/>
    <cellStyle name="Currency 3 2 5 4 3 3" xfId="22757" xr:uid="{645D1288-6075-442F-82DC-01C2F942E8BE}"/>
    <cellStyle name="Currency 3 2 5 4 4" xfId="10104" xr:uid="{340DF148-F661-4EDF-8A89-E12881F07364}"/>
    <cellStyle name="Currency 3 2 5 4 5" xfId="18540" xr:uid="{C81944D7-AF36-407D-ABBD-EED16D9FC9A5}"/>
    <cellStyle name="Currency 3 2 5 5" xfId="1986" xr:uid="{00000000-0005-0000-0000-0000500B0000}"/>
    <cellStyle name="Currency 3 2 5 5 2" xfId="4215" xr:uid="{00000000-0005-0000-0000-0000510B0000}"/>
    <cellStyle name="Currency 3 2 5 5 2 2" xfId="8438" xr:uid="{00000000-0005-0000-0000-0000520B0000}"/>
    <cellStyle name="Currency 3 2 5 5 2 2 2" xfId="16880" xr:uid="{15857C3D-07DE-4A42-8713-C842631FC91B}"/>
    <cellStyle name="Currency 3 2 5 5 2 2 3" xfId="25315" xr:uid="{13C28245-CAEE-42CD-9459-B1E0709EC3CB}"/>
    <cellStyle name="Currency 3 2 5 5 2 3" xfId="12662" xr:uid="{53672ECE-3DA8-4EBA-95F5-32EF73D8C85C}"/>
    <cellStyle name="Currency 3 2 5 5 2 4" xfId="21098" xr:uid="{B7FE7A98-BA99-4374-9E71-785EE22CCFED}"/>
    <cellStyle name="Currency 3 2 5 5 3" xfId="6293" xr:uid="{00000000-0005-0000-0000-0000530B0000}"/>
    <cellStyle name="Currency 3 2 5 5 3 2" xfId="14735" xr:uid="{EC1CA01A-C165-4FA1-8E26-B98DBE3CE43D}"/>
    <cellStyle name="Currency 3 2 5 5 3 3" xfId="23170" xr:uid="{FA69E935-D267-4D1C-8712-035C1CB22207}"/>
    <cellStyle name="Currency 3 2 5 5 4" xfId="10517" xr:uid="{DFA5AD49-BF8D-4C2C-96EE-260B6EFCDD0F}"/>
    <cellStyle name="Currency 3 2 5 5 5" xfId="18953" xr:uid="{C9B05B30-74A9-44E7-BB50-C70AC015E5DC}"/>
    <cellStyle name="Currency 3 2 5 6" xfId="2421" xr:uid="{00000000-0005-0000-0000-0000540B0000}"/>
    <cellStyle name="Currency 3 2 5 6 2" xfId="6706" xr:uid="{00000000-0005-0000-0000-0000550B0000}"/>
    <cellStyle name="Currency 3 2 5 6 2 2" xfId="15148" xr:uid="{4B54B7E0-A9DD-4E6E-9E8A-37C4A02C817B}"/>
    <cellStyle name="Currency 3 2 5 6 2 3" xfId="23583" xr:uid="{AF0A669E-9776-435E-87E6-EDB51C7846C1}"/>
    <cellStyle name="Currency 3 2 5 6 3" xfId="10930" xr:uid="{7E1360D2-8FF4-4B17-9257-5CE6D9655DC8}"/>
    <cellStyle name="Currency 3 2 5 6 4" xfId="19366" xr:uid="{48AF2AD5-5C94-461B-96AA-CCEEC882EDE3}"/>
    <cellStyle name="Currency 3 2 5 7" xfId="2718" xr:uid="{00000000-0005-0000-0000-0000560B0000}"/>
    <cellStyle name="Currency 3 2 5 8" xfId="2799" xr:uid="{00000000-0005-0000-0000-0000570B0000}"/>
    <cellStyle name="Currency 3 2 5 8 2" xfId="7023" xr:uid="{00000000-0005-0000-0000-0000580B0000}"/>
    <cellStyle name="Currency 3 2 5 8 2 2" xfId="15465" xr:uid="{F34293EC-632B-49A8-BE3F-2EE9B3824414}"/>
    <cellStyle name="Currency 3 2 5 8 2 3" xfId="23900" xr:uid="{1C1382F0-84C1-4AC2-975F-76CDA260CA46}"/>
    <cellStyle name="Currency 3 2 5 8 3" xfId="11247" xr:uid="{A1BFB709-B38D-4F57-B63F-599C990175B5}"/>
    <cellStyle name="Currency 3 2 5 8 4" xfId="19683" xr:uid="{204D45EF-C515-4EE8-BDA3-C36B3F74979D}"/>
    <cellStyle name="Currency 3 2 5 9" xfId="4640" xr:uid="{00000000-0005-0000-0000-0000590B0000}"/>
    <cellStyle name="Currency 3 2 5 9 2" xfId="13082" xr:uid="{A20392D9-2A30-4B0E-9F52-8385BDE78868}"/>
    <cellStyle name="Currency 3 2 5 9 3" xfId="21517" xr:uid="{2A561C14-DAB4-4F71-A8E5-D25C5B76CCC7}"/>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0 2 2" xfId="15466" xr:uid="{482E43BC-C097-49DD-A906-3AE67B3EA14B}"/>
    <cellStyle name="Currency 5 2 2 2 10 2 3" xfId="23901" xr:uid="{A6D28C68-399E-48E2-AA22-AE8686ADC271}"/>
    <cellStyle name="Currency 5 2 2 2 10 3" xfId="11248" xr:uid="{3A4EAB61-80BB-4097-8B25-54B7FD7F6F90}"/>
    <cellStyle name="Currency 5 2 2 2 10 4" xfId="19684" xr:uid="{4A3D3A0A-B413-4648-8C9E-E73EDE1F16F0}"/>
    <cellStyle name="Currency 5 2 2 2 11" xfId="4641" xr:uid="{00000000-0005-0000-0000-00006C0B0000}"/>
    <cellStyle name="Currency 5 2 2 2 11 2" xfId="13083" xr:uid="{5CBEA1BE-3FA1-4CD0-B526-A50E31AAF739}"/>
    <cellStyle name="Currency 5 2 2 2 11 3" xfId="21518" xr:uid="{8843C448-CE2B-4A0B-BE80-76E4A600C4CF}"/>
    <cellStyle name="Currency 5 2 2 2 12" xfId="8865" xr:uid="{BD2A1047-F107-4911-B27C-CDAFE5263075}"/>
    <cellStyle name="Currency 5 2 2 2 13" xfId="17301" xr:uid="{E07F4518-8BB6-4E00-9A75-26B48EFFC832}"/>
    <cellStyle name="Currency 5 2 2 2 2" xfId="197" xr:uid="{00000000-0005-0000-0000-00006D0B0000}"/>
    <cellStyle name="Currency 5 2 2 2 2 10" xfId="4642" xr:uid="{00000000-0005-0000-0000-00006E0B0000}"/>
    <cellStyle name="Currency 5 2 2 2 2 10 2" xfId="13084" xr:uid="{113E6857-3C98-46F0-AC20-14F57B2C52E0}"/>
    <cellStyle name="Currency 5 2 2 2 2 10 3" xfId="21519" xr:uid="{9D6678E7-3FBA-4135-B294-7F4C6C0E31C3}"/>
    <cellStyle name="Currency 5 2 2 2 2 11" xfId="8866" xr:uid="{142A1D6B-F8DF-4F1D-BD21-1B766B9F3F1F}"/>
    <cellStyle name="Currency 5 2 2 2 2 12" xfId="17302" xr:uid="{81BF6097-8577-409E-B150-DD819CA277D8}"/>
    <cellStyle name="Currency 5 2 2 2 2 2" xfId="198" xr:uid="{00000000-0005-0000-0000-00006F0B0000}"/>
    <cellStyle name="Currency 5 2 2 2 2 2 10" xfId="8867" xr:uid="{599CA5B5-34D9-42B8-B0AC-2E8360C8F2D2}"/>
    <cellStyle name="Currency 5 2 2 2 2 2 11" xfId="17303" xr:uid="{3EC3E858-83E3-4CDA-8BAF-71106ADE4882}"/>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2 2 2" xfId="15644" xr:uid="{675F6819-9315-4BEF-B4B0-D8D832C6188F}"/>
    <cellStyle name="Currency 5 2 2 2 2 2 2 2 2 3" xfId="24079" xr:uid="{08799E0F-2DD1-4B55-B367-741AD5A22EEA}"/>
    <cellStyle name="Currency 5 2 2 2 2 2 2 2 3" xfId="11426" xr:uid="{7B7DC765-46CA-4651-AAC5-C5D8B9C6B129}"/>
    <cellStyle name="Currency 5 2 2 2 2 2 2 2 4" xfId="19862" xr:uid="{8F70E9AA-4C97-4B1E-97A6-7B343F39F211}"/>
    <cellStyle name="Currency 5 2 2 2 2 2 2 3" xfId="5057" xr:uid="{00000000-0005-0000-0000-0000730B0000}"/>
    <cellStyle name="Currency 5 2 2 2 2 2 2 3 2" xfId="13499" xr:uid="{015A3930-6505-48BD-8172-24DEFF27D00E}"/>
    <cellStyle name="Currency 5 2 2 2 2 2 2 3 3" xfId="21934" xr:uid="{49B965B1-A139-4C6A-8F5D-BB1A915ED7FB}"/>
    <cellStyle name="Currency 5 2 2 2 2 2 2 4" xfId="9281" xr:uid="{CB61A51D-75FD-47FF-B21D-C5F23A604C9C}"/>
    <cellStyle name="Currency 5 2 2 2 2 2 2 5" xfId="17717" xr:uid="{6CEA272A-A2A1-494B-96E0-B39C6EAEC1F4}"/>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2 2 2" xfId="16057" xr:uid="{E85D0DDD-B76C-412C-AE26-8FF87A28A905}"/>
    <cellStyle name="Currency 5 2 2 2 2 2 3 2 2 3" xfId="24492" xr:uid="{A456DAE9-266B-4C1C-8653-2FCD5772D5FD}"/>
    <cellStyle name="Currency 5 2 2 2 2 2 3 2 3" xfId="11839" xr:uid="{357F1DFC-7932-4687-9468-DDA66C54ED79}"/>
    <cellStyle name="Currency 5 2 2 2 2 2 3 2 4" xfId="20275" xr:uid="{20C5A97A-A0DD-43CE-B5CE-BC1CC038EE1F}"/>
    <cellStyle name="Currency 5 2 2 2 2 2 3 3" xfId="5470" xr:uid="{00000000-0005-0000-0000-0000770B0000}"/>
    <cellStyle name="Currency 5 2 2 2 2 2 3 3 2" xfId="13912" xr:uid="{63EE1D44-27D7-46B9-9A74-ADEC6A2556A1}"/>
    <cellStyle name="Currency 5 2 2 2 2 2 3 3 3" xfId="22347" xr:uid="{CD561DF8-2504-4482-A32F-70D1ED0286EF}"/>
    <cellStyle name="Currency 5 2 2 2 2 2 3 4" xfId="9694" xr:uid="{C0AD7ACE-0197-4B8B-B061-95919A66A59A}"/>
    <cellStyle name="Currency 5 2 2 2 2 2 3 5" xfId="18130" xr:uid="{BA9E7E37-18F2-466D-A626-82145C6FDA24}"/>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2 2 2" xfId="16470" xr:uid="{1A0A28ED-D022-4C9D-A3DA-65295B26D970}"/>
    <cellStyle name="Currency 5 2 2 2 2 2 4 2 2 3" xfId="24905" xr:uid="{EA75482C-4F2C-46A6-8C8D-438B1E37FB5B}"/>
    <cellStyle name="Currency 5 2 2 2 2 2 4 2 3" xfId="12252" xr:uid="{190E9019-80AD-4F63-A9FA-F1EBC4DF9D02}"/>
    <cellStyle name="Currency 5 2 2 2 2 2 4 2 4" xfId="20688" xr:uid="{DC1504D3-1EB2-40AB-BD10-1233CAC3BA98}"/>
    <cellStyle name="Currency 5 2 2 2 2 2 4 3" xfId="5883" xr:uid="{00000000-0005-0000-0000-00007B0B0000}"/>
    <cellStyle name="Currency 5 2 2 2 2 2 4 3 2" xfId="14325" xr:uid="{ABC0DB4C-0C05-4343-89D0-3054BA1EFEBF}"/>
    <cellStyle name="Currency 5 2 2 2 2 2 4 3 3" xfId="22760" xr:uid="{9E9617AA-9998-42FA-B481-17C78E35625C}"/>
    <cellStyle name="Currency 5 2 2 2 2 2 4 4" xfId="10107" xr:uid="{A34A414E-0F1A-4DFE-A559-7BFE227812F5}"/>
    <cellStyle name="Currency 5 2 2 2 2 2 4 5" xfId="18543" xr:uid="{A9993795-50B1-4C2A-9E80-FD80B62D56D2}"/>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2 2 2" xfId="16883" xr:uid="{0C005E02-9EAF-4D04-AD89-0DA260342589}"/>
    <cellStyle name="Currency 5 2 2 2 2 2 5 2 2 3" xfId="25318" xr:uid="{19B4E894-1762-4D70-88E8-B57137C42A2F}"/>
    <cellStyle name="Currency 5 2 2 2 2 2 5 2 3" xfId="12665" xr:uid="{BF4F94CC-5DD3-463B-AA81-BFBC43184C8B}"/>
    <cellStyle name="Currency 5 2 2 2 2 2 5 2 4" xfId="21101" xr:uid="{671F2A12-3243-40BB-8590-A937039D70F4}"/>
    <cellStyle name="Currency 5 2 2 2 2 2 5 3" xfId="6296" xr:uid="{00000000-0005-0000-0000-00007F0B0000}"/>
    <cellStyle name="Currency 5 2 2 2 2 2 5 3 2" xfId="14738" xr:uid="{2BB3D2D2-B70F-4480-8FAD-531AE1944EC7}"/>
    <cellStyle name="Currency 5 2 2 2 2 2 5 3 3" xfId="23173" xr:uid="{24B0BB1B-8948-4573-86D0-2D03E22A2DB9}"/>
    <cellStyle name="Currency 5 2 2 2 2 2 5 4" xfId="10520" xr:uid="{38CB8743-F68E-432B-9041-43C748F62705}"/>
    <cellStyle name="Currency 5 2 2 2 2 2 5 5" xfId="18956" xr:uid="{88FF633E-ED87-4F91-B245-F9AB0A6A34AE}"/>
    <cellStyle name="Currency 5 2 2 2 2 2 6" xfId="2424" xr:uid="{00000000-0005-0000-0000-0000800B0000}"/>
    <cellStyle name="Currency 5 2 2 2 2 2 6 2" xfId="6709" xr:uid="{00000000-0005-0000-0000-0000810B0000}"/>
    <cellStyle name="Currency 5 2 2 2 2 2 6 2 2" xfId="15151" xr:uid="{AD4A5745-C3A5-488A-AD9B-CE08BBE5DFA4}"/>
    <cellStyle name="Currency 5 2 2 2 2 2 6 2 3" xfId="23586" xr:uid="{86145C97-CCF8-43BD-B547-D5B9869B8BE3}"/>
    <cellStyle name="Currency 5 2 2 2 2 2 6 3" xfId="10933" xr:uid="{DAABE5CC-2B48-4062-9CE5-2129167225B0}"/>
    <cellStyle name="Currency 5 2 2 2 2 2 6 4" xfId="19369" xr:uid="{7DC2E211-3C07-4B43-BFCC-576700854234}"/>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8 2 2" xfId="15468" xr:uid="{BF19E11D-D1E1-4C5A-BFF4-8C36B58231D8}"/>
    <cellStyle name="Currency 5 2 2 2 2 2 8 2 3" xfId="23903" xr:uid="{086A3E20-FF10-4529-8419-EC313DE27284}"/>
    <cellStyle name="Currency 5 2 2 2 2 2 8 3" xfId="11250" xr:uid="{97311096-B6C5-4285-88BA-C2A1286F9147}"/>
    <cellStyle name="Currency 5 2 2 2 2 2 8 4" xfId="19686" xr:uid="{007D0F00-5646-49AD-A4F5-0509A41F3A33}"/>
    <cellStyle name="Currency 5 2 2 2 2 2 9" xfId="4643" xr:uid="{00000000-0005-0000-0000-0000850B0000}"/>
    <cellStyle name="Currency 5 2 2 2 2 2 9 2" xfId="13085" xr:uid="{18157C83-EBFA-4D44-852F-50F94F0A70DD}"/>
    <cellStyle name="Currency 5 2 2 2 2 2 9 3" xfId="21520" xr:uid="{646CEC61-DF01-462F-B000-BE06C17BF89C}"/>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2 2 2" xfId="15643" xr:uid="{066BE79F-8D62-47B6-85E5-278100DF4970}"/>
    <cellStyle name="Currency 5 2 2 2 2 3 2 2 3" xfId="24078" xr:uid="{786F93F2-858C-4717-8247-3F237760341D}"/>
    <cellStyle name="Currency 5 2 2 2 2 3 2 3" xfId="11425" xr:uid="{84AC2698-0B35-44C1-B4E9-6168079D3B22}"/>
    <cellStyle name="Currency 5 2 2 2 2 3 2 4" xfId="19861" xr:uid="{DF34B41B-B725-4FAE-8DA0-EF4CF6D05795}"/>
    <cellStyle name="Currency 5 2 2 2 2 3 3" xfId="5056" xr:uid="{00000000-0005-0000-0000-0000890B0000}"/>
    <cellStyle name="Currency 5 2 2 2 2 3 3 2" xfId="13498" xr:uid="{7E8F0E81-B786-4B09-9B0E-76220BC1EE82}"/>
    <cellStyle name="Currency 5 2 2 2 2 3 3 3" xfId="21933" xr:uid="{A35AF07E-46C1-4519-A113-C84A559AF8DA}"/>
    <cellStyle name="Currency 5 2 2 2 2 3 4" xfId="9280" xr:uid="{D5C6DF15-EED4-4196-8756-A6B584242655}"/>
    <cellStyle name="Currency 5 2 2 2 2 3 5" xfId="17716" xr:uid="{202F94D3-0587-4B06-9B62-31465A349548}"/>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2 2 2" xfId="16056" xr:uid="{CDB5CCB1-C391-40FF-A6E4-191C6A303F32}"/>
    <cellStyle name="Currency 5 2 2 2 2 4 2 2 3" xfId="24491" xr:uid="{963D1232-4F13-48EF-BEA2-94694B4BDD44}"/>
    <cellStyle name="Currency 5 2 2 2 2 4 2 3" xfId="11838" xr:uid="{3BE34BCB-4AB8-463D-B62D-2AAAF4870AD0}"/>
    <cellStyle name="Currency 5 2 2 2 2 4 2 4" xfId="20274" xr:uid="{BB6189C0-ECBE-4D3D-80A8-0D4D4C0988B3}"/>
    <cellStyle name="Currency 5 2 2 2 2 4 3" xfId="5469" xr:uid="{00000000-0005-0000-0000-00008D0B0000}"/>
    <cellStyle name="Currency 5 2 2 2 2 4 3 2" xfId="13911" xr:uid="{83D9787F-5573-47B1-9075-3AEC4EF800CF}"/>
    <cellStyle name="Currency 5 2 2 2 2 4 3 3" xfId="22346" xr:uid="{67A3A617-1AA1-40BD-AA4B-A5FB07AFE939}"/>
    <cellStyle name="Currency 5 2 2 2 2 4 4" xfId="9693" xr:uid="{DC2B19BD-15E0-46C4-8E86-7BC66EF7E103}"/>
    <cellStyle name="Currency 5 2 2 2 2 4 5" xfId="18129" xr:uid="{F21902F5-626B-4F18-994F-F6400C8CAD2D}"/>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2 2 2" xfId="16469" xr:uid="{749B625B-F4DC-4885-BB8B-30672293AC8E}"/>
    <cellStyle name="Currency 5 2 2 2 2 5 2 2 3" xfId="24904" xr:uid="{B4E2A28B-9974-43F2-8A11-5EFE3D88DCC8}"/>
    <cellStyle name="Currency 5 2 2 2 2 5 2 3" xfId="12251" xr:uid="{96B47669-EB68-4E44-BAE8-3CDEA138482F}"/>
    <cellStyle name="Currency 5 2 2 2 2 5 2 4" xfId="20687" xr:uid="{A44C5799-7DF7-4B0E-8325-0DCE4937E52D}"/>
    <cellStyle name="Currency 5 2 2 2 2 5 3" xfId="5882" xr:uid="{00000000-0005-0000-0000-0000910B0000}"/>
    <cellStyle name="Currency 5 2 2 2 2 5 3 2" xfId="14324" xr:uid="{15400732-6641-4A5A-BE6E-56B27E96A96B}"/>
    <cellStyle name="Currency 5 2 2 2 2 5 3 3" xfId="22759" xr:uid="{20B00691-82A4-44BE-ADE2-BD97201275F1}"/>
    <cellStyle name="Currency 5 2 2 2 2 5 4" xfId="10106" xr:uid="{00D0FFD6-4B3F-4CDC-8418-1A37C88B079D}"/>
    <cellStyle name="Currency 5 2 2 2 2 5 5" xfId="18542" xr:uid="{5BCA47C6-DB98-474B-B7A8-54F4C9545BD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2 2 2" xfId="16882" xr:uid="{46448CD7-5648-4F75-80EB-E155CC62C8C1}"/>
    <cellStyle name="Currency 5 2 2 2 2 6 2 2 3" xfId="25317" xr:uid="{FDDD9E81-012A-431B-A378-D28A396503AA}"/>
    <cellStyle name="Currency 5 2 2 2 2 6 2 3" xfId="12664" xr:uid="{9A773FF1-B7FC-42E1-8A0D-0C1C511FC3D7}"/>
    <cellStyle name="Currency 5 2 2 2 2 6 2 4" xfId="21100" xr:uid="{BB52C02A-470D-4342-8037-3E803046D34E}"/>
    <cellStyle name="Currency 5 2 2 2 2 6 3" xfId="6295" xr:uid="{00000000-0005-0000-0000-0000950B0000}"/>
    <cellStyle name="Currency 5 2 2 2 2 6 3 2" xfId="14737" xr:uid="{75EDF989-EE14-4F50-80B7-BFE5521E8F25}"/>
    <cellStyle name="Currency 5 2 2 2 2 6 3 3" xfId="23172" xr:uid="{C672B453-6A81-4A10-BE30-BD25DA04D3CF}"/>
    <cellStyle name="Currency 5 2 2 2 2 6 4" xfId="10519" xr:uid="{A571498A-83C9-45FB-B2D9-1108646A11C1}"/>
    <cellStyle name="Currency 5 2 2 2 2 6 5" xfId="18955" xr:uid="{C3F66B47-9990-4D06-A830-3659EB13A450}"/>
    <cellStyle name="Currency 5 2 2 2 2 7" xfId="2423" xr:uid="{00000000-0005-0000-0000-0000960B0000}"/>
    <cellStyle name="Currency 5 2 2 2 2 7 2" xfId="6708" xr:uid="{00000000-0005-0000-0000-0000970B0000}"/>
    <cellStyle name="Currency 5 2 2 2 2 7 2 2" xfId="15150" xr:uid="{B2AE6F6D-8186-4640-BFB6-C5A5DBE678CB}"/>
    <cellStyle name="Currency 5 2 2 2 2 7 2 3" xfId="23585" xr:uid="{89319E5D-950B-46EE-8762-50B6E99BF878}"/>
    <cellStyle name="Currency 5 2 2 2 2 7 3" xfId="10932" xr:uid="{89CED1AB-9B98-4378-8BDD-38A4A61FF13B}"/>
    <cellStyle name="Currency 5 2 2 2 2 7 4" xfId="19368" xr:uid="{4AD9721B-4887-4356-A22F-B2419F852C1D}"/>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2 9 2 2" xfId="15467" xr:uid="{95535186-10E2-4C6B-9E73-C20DD1BEE07A}"/>
    <cellStyle name="Currency 5 2 2 2 2 9 2 3" xfId="23902" xr:uid="{EBB4A591-BB47-4CF4-AB25-6947DA549242}"/>
    <cellStyle name="Currency 5 2 2 2 2 9 3" xfId="11249" xr:uid="{A34E878A-5753-48E1-820C-4B4CD11EA2C0}"/>
    <cellStyle name="Currency 5 2 2 2 2 9 4" xfId="19685" xr:uid="{6580F7D4-ADF8-4351-A442-E9BB3EA2E00D}"/>
    <cellStyle name="Currency 5 2 2 2 3" xfId="199" xr:uid="{00000000-0005-0000-0000-00009B0B0000}"/>
    <cellStyle name="Currency 5 2 2 2 3 10" xfId="8868" xr:uid="{30C6CF7C-1F5E-4323-B83A-46832A569735}"/>
    <cellStyle name="Currency 5 2 2 2 3 11" xfId="17304" xr:uid="{56A5CDCC-768E-4962-A013-98CA306A6F89}"/>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2 2 2" xfId="15645" xr:uid="{CCA5EE77-CEDE-4F35-8368-F99011787E51}"/>
    <cellStyle name="Currency 5 2 2 2 3 2 2 2 3" xfId="24080" xr:uid="{4B0D9209-2A09-4FF0-9862-01D861E63FC9}"/>
    <cellStyle name="Currency 5 2 2 2 3 2 2 3" xfId="11427" xr:uid="{47A9E230-CB68-4FD7-83DF-C3AEBFC621FA}"/>
    <cellStyle name="Currency 5 2 2 2 3 2 2 4" xfId="19863" xr:uid="{EC80BF99-3A73-4FAC-85F9-5EDEB29DF83B}"/>
    <cellStyle name="Currency 5 2 2 2 3 2 3" xfId="5058" xr:uid="{00000000-0005-0000-0000-00009F0B0000}"/>
    <cellStyle name="Currency 5 2 2 2 3 2 3 2" xfId="13500" xr:uid="{3D836235-28EC-49EB-9BE2-5B72BAA68817}"/>
    <cellStyle name="Currency 5 2 2 2 3 2 3 3" xfId="21935" xr:uid="{E8063EDA-7B4B-4BD0-89BD-18A27B0D598F}"/>
    <cellStyle name="Currency 5 2 2 2 3 2 4" xfId="9282" xr:uid="{F68600D0-412D-40D9-9D75-B5E3ACE84D1F}"/>
    <cellStyle name="Currency 5 2 2 2 3 2 5" xfId="17718" xr:uid="{94B5671E-2AAB-42F5-A207-33A6046B6163}"/>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2 2 2" xfId="16058" xr:uid="{6287B211-7CC4-4411-B0C3-525B626E656F}"/>
    <cellStyle name="Currency 5 2 2 2 3 3 2 2 3" xfId="24493" xr:uid="{DE34EA51-BC84-4B32-A361-64E767DA8AD1}"/>
    <cellStyle name="Currency 5 2 2 2 3 3 2 3" xfId="11840" xr:uid="{D910984A-C62D-4451-ACB4-C5478D62427A}"/>
    <cellStyle name="Currency 5 2 2 2 3 3 2 4" xfId="20276" xr:uid="{C122A037-E89F-43BC-A481-62000A543C34}"/>
    <cellStyle name="Currency 5 2 2 2 3 3 3" xfId="5471" xr:uid="{00000000-0005-0000-0000-0000A30B0000}"/>
    <cellStyle name="Currency 5 2 2 2 3 3 3 2" xfId="13913" xr:uid="{9B50CED8-0245-4A09-B844-BC7F5A7A5B81}"/>
    <cellStyle name="Currency 5 2 2 2 3 3 3 3" xfId="22348" xr:uid="{CB6DDF40-8CF4-4F37-9523-E54FD3B7ED99}"/>
    <cellStyle name="Currency 5 2 2 2 3 3 4" xfId="9695" xr:uid="{972F0AD9-6AC9-4212-ADFE-897A652C40E9}"/>
    <cellStyle name="Currency 5 2 2 2 3 3 5" xfId="18131" xr:uid="{A5B931B0-B01C-4C28-9CA8-275C754E606C}"/>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2 2 2" xfId="16471" xr:uid="{389E5859-81E9-4823-AE52-24F82A8A0FC8}"/>
    <cellStyle name="Currency 5 2 2 2 3 4 2 2 3" xfId="24906" xr:uid="{1B9033BD-D100-45BD-9AE2-D8CBC05F4772}"/>
    <cellStyle name="Currency 5 2 2 2 3 4 2 3" xfId="12253" xr:uid="{EFF71360-8914-4813-B6D1-1BB143763614}"/>
    <cellStyle name="Currency 5 2 2 2 3 4 2 4" xfId="20689" xr:uid="{D500D116-58DF-43F0-B454-A6004F0BEC85}"/>
    <cellStyle name="Currency 5 2 2 2 3 4 3" xfId="5884" xr:uid="{00000000-0005-0000-0000-0000A70B0000}"/>
    <cellStyle name="Currency 5 2 2 2 3 4 3 2" xfId="14326" xr:uid="{BD3C67D9-031B-4B96-9017-946DD78F68D7}"/>
    <cellStyle name="Currency 5 2 2 2 3 4 3 3" xfId="22761" xr:uid="{77B24404-F21F-4BE3-96AB-C352DF857AB9}"/>
    <cellStyle name="Currency 5 2 2 2 3 4 4" xfId="10108" xr:uid="{B9223641-F2FC-4B0A-9C65-5CCED7B3B032}"/>
    <cellStyle name="Currency 5 2 2 2 3 4 5" xfId="18544" xr:uid="{DF99C037-20BD-44FE-9002-0ACC27FA45F4}"/>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2 2 2" xfId="16884" xr:uid="{14144490-51EF-4DC6-8740-D84CE9926C96}"/>
    <cellStyle name="Currency 5 2 2 2 3 5 2 2 3" xfId="25319" xr:uid="{722189B4-72DB-4D83-B72E-A0D3B73C815E}"/>
    <cellStyle name="Currency 5 2 2 2 3 5 2 3" xfId="12666" xr:uid="{EE9DF9FB-9F6B-4573-A6E6-1A864F50704D}"/>
    <cellStyle name="Currency 5 2 2 2 3 5 2 4" xfId="21102" xr:uid="{DD7AF47A-1DE0-4B3F-9E80-AE1EEFAA9484}"/>
    <cellStyle name="Currency 5 2 2 2 3 5 3" xfId="6297" xr:uid="{00000000-0005-0000-0000-0000AB0B0000}"/>
    <cellStyle name="Currency 5 2 2 2 3 5 3 2" xfId="14739" xr:uid="{1388D5A3-3AA0-4A50-BD72-7B630A57DFA0}"/>
    <cellStyle name="Currency 5 2 2 2 3 5 3 3" xfId="23174" xr:uid="{5EC8B263-FABA-48F2-9A59-8FF1F81D9DCC}"/>
    <cellStyle name="Currency 5 2 2 2 3 5 4" xfId="10521" xr:uid="{E24E573B-2DAF-413E-85ED-B5EA0E812FE4}"/>
    <cellStyle name="Currency 5 2 2 2 3 5 5" xfId="18957" xr:uid="{06DDCA21-F995-4AA6-AF69-75A37076C2DC}"/>
    <cellStyle name="Currency 5 2 2 2 3 6" xfId="2425" xr:uid="{00000000-0005-0000-0000-0000AC0B0000}"/>
    <cellStyle name="Currency 5 2 2 2 3 6 2" xfId="6710" xr:uid="{00000000-0005-0000-0000-0000AD0B0000}"/>
    <cellStyle name="Currency 5 2 2 2 3 6 2 2" xfId="15152" xr:uid="{D0D07E4C-7AAC-4429-87F7-34055B3FDA7C}"/>
    <cellStyle name="Currency 5 2 2 2 3 6 2 3" xfId="23587" xr:uid="{CA424855-ACD6-4990-A66F-EFDBECFFD330}"/>
    <cellStyle name="Currency 5 2 2 2 3 6 3" xfId="10934" xr:uid="{CED39D4E-47A5-4F40-BE4C-F6F4B31D02A1}"/>
    <cellStyle name="Currency 5 2 2 2 3 6 4" xfId="19370" xr:uid="{079AD880-3188-440D-A883-371B8E6343FA}"/>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8 2 2" xfId="15469" xr:uid="{7EA23AF4-489B-426C-891C-3827464A58B0}"/>
    <cellStyle name="Currency 5 2 2 2 3 8 2 3" xfId="23904" xr:uid="{37300A09-A22C-4473-A0F4-FEA633B69338}"/>
    <cellStyle name="Currency 5 2 2 2 3 8 3" xfId="11251" xr:uid="{C05FAD28-BDDA-4108-BD18-CC350EFD317D}"/>
    <cellStyle name="Currency 5 2 2 2 3 8 4" xfId="19687" xr:uid="{F8187B98-18F2-4192-B051-DBB42F3BC21D}"/>
    <cellStyle name="Currency 5 2 2 2 3 9" xfId="4644" xr:uid="{00000000-0005-0000-0000-0000B10B0000}"/>
    <cellStyle name="Currency 5 2 2 2 3 9 2" xfId="13086" xr:uid="{24C14641-DDA7-43AA-8CEC-1098CC3D749C}"/>
    <cellStyle name="Currency 5 2 2 2 3 9 3" xfId="21521" xr:uid="{FFDF37BD-375C-40DF-8423-256F9035E48B}"/>
    <cellStyle name="Currency 5 2 2 2 4" xfId="723" xr:uid="{00000000-0005-0000-0000-0000B20B0000}"/>
    <cellStyle name="Currency 5 2 2 2 4 2" xfId="2977" xr:uid="{00000000-0005-0000-0000-0000B30B0000}"/>
    <cellStyle name="Currency 5 2 2 2 4 2 2" xfId="7200" xr:uid="{00000000-0005-0000-0000-0000B40B0000}"/>
    <cellStyle name="Currency 5 2 2 2 4 2 2 2" xfId="15642" xr:uid="{55D7D341-7563-4D17-9CA7-55CABB1EC9E2}"/>
    <cellStyle name="Currency 5 2 2 2 4 2 2 3" xfId="24077" xr:uid="{1C2BF7F5-7979-48F6-BC50-1CDED826CFA9}"/>
    <cellStyle name="Currency 5 2 2 2 4 2 3" xfId="11424" xr:uid="{F674BA1B-D07A-40E2-BCBE-ED82AAAF9CC9}"/>
    <cellStyle name="Currency 5 2 2 2 4 2 4" xfId="19860" xr:uid="{34310E5F-6A57-4F09-9FF4-123A6C3D4DC1}"/>
    <cellStyle name="Currency 5 2 2 2 4 3" xfId="5055" xr:uid="{00000000-0005-0000-0000-0000B50B0000}"/>
    <cellStyle name="Currency 5 2 2 2 4 3 2" xfId="13497" xr:uid="{9B390BA2-C3E3-43B4-A346-43FE511A9FA0}"/>
    <cellStyle name="Currency 5 2 2 2 4 3 3" xfId="21932" xr:uid="{B233F8EA-620A-487E-A5C1-90D5168A1F3B}"/>
    <cellStyle name="Currency 5 2 2 2 4 4" xfId="9279" xr:uid="{087788A8-B2AD-41E3-940B-BA31F7F4D462}"/>
    <cellStyle name="Currency 5 2 2 2 4 5" xfId="17715" xr:uid="{E033F3A5-75A2-4B76-B04B-643433FBBA29}"/>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2 2 2" xfId="16055" xr:uid="{F33FCFC5-FD0D-4214-811F-9154332430F3}"/>
    <cellStyle name="Currency 5 2 2 2 5 2 2 3" xfId="24490" xr:uid="{60A19A0C-B272-41B2-9CA7-D6C354D6FEE3}"/>
    <cellStyle name="Currency 5 2 2 2 5 2 3" xfId="11837" xr:uid="{852E0084-1C02-4077-A7E0-0CEC4A99A697}"/>
    <cellStyle name="Currency 5 2 2 2 5 2 4" xfId="20273" xr:uid="{F620D195-6C4A-4D69-ABFF-3211BDD6DFB8}"/>
    <cellStyle name="Currency 5 2 2 2 5 3" xfId="5468" xr:uid="{00000000-0005-0000-0000-0000B90B0000}"/>
    <cellStyle name="Currency 5 2 2 2 5 3 2" xfId="13910" xr:uid="{179EA2F9-0F7C-4DFB-89C4-0F76ACB30292}"/>
    <cellStyle name="Currency 5 2 2 2 5 3 3" xfId="22345" xr:uid="{B3E191B9-BCB6-420F-8423-6C21B57B433E}"/>
    <cellStyle name="Currency 5 2 2 2 5 4" xfId="9692" xr:uid="{A183DD87-37BA-48FA-81DD-6F7D02D6AA43}"/>
    <cellStyle name="Currency 5 2 2 2 5 5" xfId="18128" xr:uid="{FB2C022F-A597-4AEE-BC2A-531C601BDE4A}"/>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2 2 2" xfId="16468" xr:uid="{4A8A9B90-A2A6-4137-9807-B7DC838EA919}"/>
    <cellStyle name="Currency 5 2 2 2 6 2 2 3" xfId="24903" xr:uid="{300FAA7E-24A2-47BA-A9E4-1E93174F3BCF}"/>
    <cellStyle name="Currency 5 2 2 2 6 2 3" xfId="12250" xr:uid="{F19377E5-9CD2-46B4-BFB9-B2647A79B6FF}"/>
    <cellStyle name="Currency 5 2 2 2 6 2 4" xfId="20686" xr:uid="{8600AEE3-23BB-49F0-8061-C6CA5B8824E0}"/>
    <cellStyle name="Currency 5 2 2 2 6 3" xfId="5881" xr:uid="{00000000-0005-0000-0000-0000BD0B0000}"/>
    <cellStyle name="Currency 5 2 2 2 6 3 2" xfId="14323" xr:uid="{D4ECDFE7-10D4-48B8-AAA4-0B0D8DFD26DA}"/>
    <cellStyle name="Currency 5 2 2 2 6 3 3" xfId="22758" xr:uid="{9003CF8F-B3C7-48BF-93E3-92677DC5A181}"/>
    <cellStyle name="Currency 5 2 2 2 6 4" xfId="10105" xr:uid="{995AE347-0C5E-4C35-9A8B-7F71E88038FC}"/>
    <cellStyle name="Currency 5 2 2 2 6 5" xfId="18541" xr:uid="{ED854A6F-5E99-4805-A5E6-39E555274CA8}"/>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2 2 2" xfId="16881" xr:uid="{9D4B7DFB-C530-4CCA-A756-69F388910035}"/>
    <cellStyle name="Currency 5 2 2 2 7 2 2 3" xfId="25316" xr:uid="{91976AD9-37AA-45DF-BCC9-135460829569}"/>
    <cellStyle name="Currency 5 2 2 2 7 2 3" xfId="12663" xr:uid="{8CB36735-AEF4-4D3B-9993-D117D1333961}"/>
    <cellStyle name="Currency 5 2 2 2 7 2 4" xfId="21099" xr:uid="{69B77AA3-9EF6-4AF9-8662-3C4022B1E753}"/>
    <cellStyle name="Currency 5 2 2 2 7 3" xfId="6294" xr:uid="{00000000-0005-0000-0000-0000C10B0000}"/>
    <cellStyle name="Currency 5 2 2 2 7 3 2" xfId="14736" xr:uid="{D2445806-41DE-4608-8BF0-200972AFC0B0}"/>
    <cellStyle name="Currency 5 2 2 2 7 3 3" xfId="23171" xr:uid="{A8405384-313F-4660-AC4E-58F137595142}"/>
    <cellStyle name="Currency 5 2 2 2 7 4" xfId="10518" xr:uid="{57824A09-D7D4-448C-99E6-FA6ACB439295}"/>
    <cellStyle name="Currency 5 2 2 2 7 5" xfId="18954" xr:uid="{6109DA35-89D7-4635-AB97-6BE184585674}"/>
    <cellStyle name="Currency 5 2 2 2 8" xfId="2422" xr:uid="{00000000-0005-0000-0000-0000C20B0000}"/>
    <cellStyle name="Currency 5 2 2 2 8 2" xfId="6707" xr:uid="{00000000-0005-0000-0000-0000C30B0000}"/>
    <cellStyle name="Currency 5 2 2 2 8 2 2" xfId="15149" xr:uid="{0E1D25D8-3E6F-48A0-A83B-49209D029120}"/>
    <cellStyle name="Currency 5 2 2 2 8 2 3" xfId="23584" xr:uid="{B6D65422-D828-4E31-94D5-CFA68D589B11}"/>
    <cellStyle name="Currency 5 2 2 2 8 3" xfId="10931" xr:uid="{97B3E3FE-51CF-4B86-A4F3-43307D0CA51F}"/>
    <cellStyle name="Currency 5 2 2 2 8 4" xfId="19367" xr:uid="{11943E36-B025-457C-A03D-674195584A2D}"/>
    <cellStyle name="Currency 5 2 2 2 9" xfId="2719" xr:uid="{00000000-0005-0000-0000-0000C40B0000}"/>
    <cellStyle name="Currency 5 2 2 3" xfId="200" xr:uid="{00000000-0005-0000-0000-0000C50B0000}"/>
    <cellStyle name="Currency 5 2 2 3 10" xfId="4645" xr:uid="{00000000-0005-0000-0000-0000C60B0000}"/>
    <cellStyle name="Currency 5 2 2 3 10 2" xfId="13087" xr:uid="{27777534-8207-4703-83A7-5270610AD668}"/>
    <cellStyle name="Currency 5 2 2 3 10 3" xfId="21522" xr:uid="{F3534F01-9B54-41F6-82B0-810FFFD79FBF}"/>
    <cellStyle name="Currency 5 2 2 3 11" xfId="8869" xr:uid="{B6DCF2D5-E83D-45E3-BD03-B25D2BA55E7D}"/>
    <cellStyle name="Currency 5 2 2 3 12" xfId="17305" xr:uid="{1FF0A75C-7767-473D-96D8-78FA3690E551}"/>
    <cellStyle name="Currency 5 2 2 3 2" xfId="201" xr:uid="{00000000-0005-0000-0000-0000C70B0000}"/>
    <cellStyle name="Currency 5 2 2 3 2 10" xfId="8870" xr:uid="{CD4E9098-200C-492F-9EAF-F592FADE3C42}"/>
    <cellStyle name="Currency 5 2 2 3 2 11" xfId="17306" xr:uid="{F1160289-A7CE-478B-B7B5-FEBB7ECDDBBA}"/>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2 2 2" xfId="15647" xr:uid="{FF5FF092-7AD5-4873-97BC-7531635720C6}"/>
    <cellStyle name="Currency 5 2 2 3 2 2 2 2 3" xfId="24082" xr:uid="{B8562CC2-18DB-4721-827D-00BB8AB3924D}"/>
    <cellStyle name="Currency 5 2 2 3 2 2 2 3" xfId="11429" xr:uid="{4C415240-8BAB-45B1-A9CD-ADDE9201B37E}"/>
    <cellStyle name="Currency 5 2 2 3 2 2 2 4" xfId="19865" xr:uid="{960693BA-9EB3-4602-BC1E-740D9B2C476C}"/>
    <cellStyle name="Currency 5 2 2 3 2 2 3" xfId="5060" xr:uid="{00000000-0005-0000-0000-0000CB0B0000}"/>
    <cellStyle name="Currency 5 2 2 3 2 2 3 2" xfId="13502" xr:uid="{809DD679-34AE-4350-9147-969B332A1C65}"/>
    <cellStyle name="Currency 5 2 2 3 2 2 3 3" xfId="21937" xr:uid="{D53F30BA-FB9C-4785-A406-7F1E8680ECD3}"/>
    <cellStyle name="Currency 5 2 2 3 2 2 4" xfId="9284" xr:uid="{94778656-8402-457A-9C2F-1316E5D320C9}"/>
    <cellStyle name="Currency 5 2 2 3 2 2 5" xfId="17720" xr:uid="{1F8FFC87-C9F0-4E55-BAB6-BD330B787074}"/>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2 2 2" xfId="16060" xr:uid="{3A1C3CE8-E676-4BB1-8602-CABEE486590C}"/>
    <cellStyle name="Currency 5 2 2 3 2 3 2 2 3" xfId="24495" xr:uid="{6D0BC742-2636-4654-87EC-FF8127E0F426}"/>
    <cellStyle name="Currency 5 2 2 3 2 3 2 3" xfId="11842" xr:uid="{B346F6A1-0CFA-4BFF-9B11-C19F93986E04}"/>
    <cellStyle name="Currency 5 2 2 3 2 3 2 4" xfId="20278" xr:uid="{46564960-FCF1-479A-B1C0-77533CCBA2EE}"/>
    <cellStyle name="Currency 5 2 2 3 2 3 3" xfId="5473" xr:uid="{00000000-0005-0000-0000-0000CF0B0000}"/>
    <cellStyle name="Currency 5 2 2 3 2 3 3 2" xfId="13915" xr:uid="{B8225975-CB85-453F-8A77-6F9640B56D29}"/>
    <cellStyle name="Currency 5 2 2 3 2 3 3 3" xfId="22350" xr:uid="{2A61E941-EFD7-401D-92A7-D49F21FB63BC}"/>
    <cellStyle name="Currency 5 2 2 3 2 3 4" xfId="9697" xr:uid="{47A7BEE1-84AC-48A5-9EED-215AAE9CC8AA}"/>
    <cellStyle name="Currency 5 2 2 3 2 3 5" xfId="18133" xr:uid="{BEFE3646-34C1-4975-93CB-E4C9D84E2E0D}"/>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2 2 2" xfId="16473" xr:uid="{BA02DDA3-E318-4459-BC0D-53BC3025B2A7}"/>
    <cellStyle name="Currency 5 2 2 3 2 4 2 2 3" xfId="24908" xr:uid="{2028EBD8-5551-4132-8B2E-E682A24E358A}"/>
    <cellStyle name="Currency 5 2 2 3 2 4 2 3" xfId="12255" xr:uid="{3B913A08-1BDD-4717-97E3-065560699AFD}"/>
    <cellStyle name="Currency 5 2 2 3 2 4 2 4" xfId="20691" xr:uid="{617A0328-9EC9-4317-AE98-9523FBF02115}"/>
    <cellStyle name="Currency 5 2 2 3 2 4 3" xfId="5886" xr:uid="{00000000-0005-0000-0000-0000D30B0000}"/>
    <cellStyle name="Currency 5 2 2 3 2 4 3 2" xfId="14328" xr:uid="{1C5DDF66-A108-47B0-8593-C9C43FEDCEDF}"/>
    <cellStyle name="Currency 5 2 2 3 2 4 3 3" xfId="22763" xr:uid="{61D4BF38-4E31-49BB-AF0C-19E3AFB82EB2}"/>
    <cellStyle name="Currency 5 2 2 3 2 4 4" xfId="10110" xr:uid="{A00B8AE2-2F34-4233-BC17-D06C98BC3CD1}"/>
    <cellStyle name="Currency 5 2 2 3 2 4 5" xfId="18546" xr:uid="{03629108-C93C-4AB3-B6F5-EF0BAB2624D6}"/>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2 2 2" xfId="16886" xr:uid="{F8D53912-C976-4594-9543-C076B735B724}"/>
    <cellStyle name="Currency 5 2 2 3 2 5 2 2 3" xfId="25321" xr:uid="{A40F0169-354C-46A4-BFF8-1DEA00CA2C52}"/>
    <cellStyle name="Currency 5 2 2 3 2 5 2 3" xfId="12668" xr:uid="{BF02E235-DB7A-4B0F-8804-0CC2166449B3}"/>
    <cellStyle name="Currency 5 2 2 3 2 5 2 4" xfId="21104" xr:uid="{080690E7-6B39-47AF-B2E7-08E3304EEB22}"/>
    <cellStyle name="Currency 5 2 2 3 2 5 3" xfId="6299" xr:uid="{00000000-0005-0000-0000-0000D70B0000}"/>
    <cellStyle name="Currency 5 2 2 3 2 5 3 2" xfId="14741" xr:uid="{E8B1BAB0-D29F-428D-93AD-78AE58E096B3}"/>
    <cellStyle name="Currency 5 2 2 3 2 5 3 3" xfId="23176" xr:uid="{8DBEEE36-8F1A-4D12-8279-095F0967B85E}"/>
    <cellStyle name="Currency 5 2 2 3 2 5 4" xfId="10523" xr:uid="{42CEC815-C407-4675-B15B-11E3692BA70E}"/>
    <cellStyle name="Currency 5 2 2 3 2 5 5" xfId="18959" xr:uid="{FA6EDD20-534E-4C0F-BEEF-3E223BE9A639}"/>
    <cellStyle name="Currency 5 2 2 3 2 6" xfId="2427" xr:uid="{00000000-0005-0000-0000-0000D80B0000}"/>
    <cellStyle name="Currency 5 2 2 3 2 6 2" xfId="6712" xr:uid="{00000000-0005-0000-0000-0000D90B0000}"/>
    <cellStyle name="Currency 5 2 2 3 2 6 2 2" xfId="15154" xr:uid="{9BB9CC6C-F390-4C34-AA4E-7D80FF79F747}"/>
    <cellStyle name="Currency 5 2 2 3 2 6 2 3" xfId="23589" xr:uid="{42B7E613-ED22-4240-9024-523193EF240D}"/>
    <cellStyle name="Currency 5 2 2 3 2 6 3" xfId="10936" xr:uid="{D6DDD251-BEB5-41C1-A8FE-D7489C0C2425}"/>
    <cellStyle name="Currency 5 2 2 3 2 6 4" xfId="19372" xr:uid="{D4284F65-45B6-4E61-80A1-18D806C2836D}"/>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8 2 2" xfId="15471" xr:uid="{E13FE1E6-06C0-4D34-88B8-3636D176BDB8}"/>
    <cellStyle name="Currency 5 2 2 3 2 8 2 3" xfId="23906" xr:uid="{64D875D8-F39D-466E-990D-3436308635C7}"/>
    <cellStyle name="Currency 5 2 2 3 2 8 3" xfId="11253" xr:uid="{D3283514-83F5-4346-B4F1-8F8452BDF4D6}"/>
    <cellStyle name="Currency 5 2 2 3 2 8 4" xfId="19689" xr:uid="{D4C785AD-5EA3-4643-AB85-317B74A1AEC2}"/>
    <cellStyle name="Currency 5 2 2 3 2 9" xfId="4646" xr:uid="{00000000-0005-0000-0000-0000DD0B0000}"/>
    <cellStyle name="Currency 5 2 2 3 2 9 2" xfId="13088" xr:uid="{2D1CFAE5-E480-4752-ACC9-D1DA988574E0}"/>
    <cellStyle name="Currency 5 2 2 3 2 9 3" xfId="21523" xr:uid="{0AB9B12B-B2B2-44D0-8B9C-DEAA59B6BCC5}"/>
    <cellStyle name="Currency 5 2 2 3 3" xfId="727" xr:uid="{00000000-0005-0000-0000-0000DE0B0000}"/>
    <cellStyle name="Currency 5 2 2 3 3 2" xfId="2981" xr:uid="{00000000-0005-0000-0000-0000DF0B0000}"/>
    <cellStyle name="Currency 5 2 2 3 3 2 2" xfId="7204" xr:uid="{00000000-0005-0000-0000-0000E00B0000}"/>
    <cellStyle name="Currency 5 2 2 3 3 2 2 2" xfId="15646" xr:uid="{7CC8D6E8-495A-421D-AFED-3AF0A033489D}"/>
    <cellStyle name="Currency 5 2 2 3 3 2 2 3" xfId="24081" xr:uid="{5BF6E88F-1FAC-4A58-A47C-CBC3F2FB0589}"/>
    <cellStyle name="Currency 5 2 2 3 3 2 3" xfId="11428" xr:uid="{4223E3E9-EA43-4839-9098-A491153EE18B}"/>
    <cellStyle name="Currency 5 2 2 3 3 2 4" xfId="19864" xr:uid="{742B4E01-A908-494F-87B2-315DB419B7BE}"/>
    <cellStyle name="Currency 5 2 2 3 3 3" xfId="5059" xr:uid="{00000000-0005-0000-0000-0000E10B0000}"/>
    <cellStyle name="Currency 5 2 2 3 3 3 2" xfId="13501" xr:uid="{88F41DCE-2BC6-43EC-B618-9CF6BCDAB583}"/>
    <cellStyle name="Currency 5 2 2 3 3 3 3" xfId="21936" xr:uid="{479C0A2E-EF3F-4A03-A7B6-0C9E8675C483}"/>
    <cellStyle name="Currency 5 2 2 3 3 4" xfId="9283" xr:uid="{A31DB9D2-FC6B-4BB7-9A2A-7657C0D01E92}"/>
    <cellStyle name="Currency 5 2 2 3 3 5" xfId="17719" xr:uid="{07D9BDFB-8765-44DB-98BB-559CA1DFEA75}"/>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2 2 2" xfId="16059" xr:uid="{7A16CB3D-01A5-4A22-B316-0F16C8E2B93F}"/>
    <cellStyle name="Currency 5 2 2 3 4 2 2 3" xfId="24494" xr:uid="{AE7FEAA4-433F-4C4F-BC33-CEA6E2391430}"/>
    <cellStyle name="Currency 5 2 2 3 4 2 3" xfId="11841" xr:uid="{48419C53-0449-4A2C-A427-39F8B56992E7}"/>
    <cellStyle name="Currency 5 2 2 3 4 2 4" xfId="20277" xr:uid="{BA176E0B-30AD-4ED3-89AD-BE2F166AB818}"/>
    <cellStyle name="Currency 5 2 2 3 4 3" xfId="5472" xr:uid="{00000000-0005-0000-0000-0000E50B0000}"/>
    <cellStyle name="Currency 5 2 2 3 4 3 2" xfId="13914" xr:uid="{768ACC37-1A2A-414D-A7CE-0521787F206C}"/>
    <cellStyle name="Currency 5 2 2 3 4 3 3" xfId="22349" xr:uid="{AC8C93D5-0391-48AC-A531-FA0F759EC505}"/>
    <cellStyle name="Currency 5 2 2 3 4 4" xfId="9696" xr:uid="{D8BD03CB-84B1-4D3A-B9CD-E7676EF1BE30}"/>
    <cellStyle name="Currency 5 2 2 3 4 5" xfId="18132" xr:uid="{A9E27D6F-71A7-421F-8425-64A356D994E8}"/>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2 2 2" xfId="16472" xr:uid="{2AEDBF3F-80DF-4690-9BE6-8A6AF3381C63}"/>
    <cellStyle name="Currency 5 2 2 3 5 2 2 3" xfId="24907" xr:uid="{A142FB6A-6714-4BCC-8D9D-F37FA61CA875}"/>
    <cellStyle name="Currency 5 2 2 3 5 2 3" xfId="12254" xr:uid="{049BB45F-ED6C-496B-BF3A-B5189E055305}"/>
    <cellStyle name="Currency 5 2 2 3 5 2 4" xfId="20690" xr:uid="{645BB24D-29E7-47DC-9F01-1EAC50F9D4EA}"/>
    <cellStyle name="Currency 5 2 2 3 5 3" xfId="5885" xr:uid="{00000000-0005-0000-0000-0000E90B0000}"/>
    <cellStyle name="Currency 5 2 2 3 5 3 2" xfId="14327" xr:uid="{E1A33A19-80DE-4FBD-B864-723A62843902}"/>
    <cellStyle name="Currency 5 2 2 3 5 3 3" xfId="22762" xr:uid="{C2720596-6FBA-43A0-9A43-CDB5D61C7BD0}"/>
    <cellStyle name="Currency 5 2 2 3 5 4" xfId="10109" xr:uid="{D2B28B7F-3372-4E23-A5F7-058501788972}"/>
    <cellStyle name="Currency 5 2 2 3 5 5" xfId="18545" xr:uid="{5E27E804-3D26-491C-81C3-852F1AA774F4}"/>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2 2 2" xfId="16885" xr:uid="{677E1B8A-1678-43A5-8CB8-0B7C8BEA06BC}"/>
    <cellStyle name="Currency 5 2 2 3 6 2 2 3" xfId="25320" xr:uid="{578225E7-1DCA-49FE-AE3B-E4BD2E991833}"/>
    <cellStyle name="Currency 5 2 2 3 6 2 3" xfId="12667" xr:uid="{A59A54D8-B515-4D1F-B462-5A3E2B21F7C2}"/>
    <cellStyle name="Currency 5 2 2 3 6 2 4" xfId="21103" xr:uid="{0AD85FC8-26C3-4796-812D-611CC95F210B}"/>
    <cellStyle name="Currency 5 2 2 3 6 3" xfId="6298" xr:uid="{00000000-0005-0000-0000-0000ED0B0000}"/>
    <cellStyle name="Currency 5 2 2 3 6 3 2" xfId="14740" xr:uid="{1253E37C-FD70-4993-A216-4C52267A8A0A}"/>
    <cellStyle name="Currency 5 2 2 3 6 3 3" xfId="23175" xr:uid="{EE4BACF4-6AB6-4991-9BC7-34F8AFE046D0}"/>
    <cellStyle name="Currency 5 2 2 3 6 4" xfId="10522" xr:uid="{C9D4C65F-0BC5-4CA6-89ED-B14C2F93E0CD}"/>
    <cellStyle name="Currency 5 2 2 3 6 5" xfId="18958" xr:uid="{CAD0301D-4F1E-4E3D-8A31-D1A252DC1C3F}"/>
    <cellStyle name="Currency 5 2 2 3 7" xfId="2426" xr:uid="{00000000-0005-0000-0000-0000EE0B0000}"/>
    <cellStyle name="Currency 5 2 2 3 7 2" xfId="6711" xr:uid="{00000000-0005-0000-0000-0000EF0B0000}"/>
    <cellStyle name="Currency 5 2 2 3 7 2 2" xfId="15153" xr:uid="{5E5DB842-A438-40EB-ADC0-408B33F7C93B}"/>
    <cellStyle name="Currency 5 2 2 3 7 2 3" xfId="23588" xr:uid="{2264786C-E3A6-4880-836F-DB8AEDB8F08C}"/>
    <cellStyle name="Currency 5 2 2 3 7 3" xfId="10935" xr:uid="{A61AE6E1-2A3C-4EA5-8127-E6AE72CEB2ED}"/>
    <cellStyle name="Currency 5 2 2 3 7 4" xfId="19371" xr:uid="{354CB7AE-8522-45E3-92F7-EB6BF28B282A}"/>
    <cellStyle name="Currency 5 2 2 3 8" xfId="2723" xr:uid="{00000000-0005-0000-0000-0000F00B0000}"/>
    <cellStyle name="Currency 5 2 2 3 9" xfId="2804" xr:uid="{00000000-0005-0000-0000-0000F10B0000}"/>
    <cellStyle name="Currency 5 2 2 3 9 2" xfId="7028" xr:uid="{00000000-0005-0000-0000-0000F20B0000}"/>
    <cellStyle name="Currency 5 2 2 3 9 2 2" xfId="15470" xr:uid="{EA5A9EB0-18AE-4B6B-B90E-F95F2FC9483E}"/>
    <cellStyle name="Currency 5 2 2 3 9 2 3" xfId="23905" xr:uid="{27D7D4DC-F76E-4E5F-A3E9-9D4FD63E70F4}"/>
    <cellStyle name="Currency 5 2 2 3 9 3" xfId="11252" xr:uid="{31CFE991-0B0C-4261-9DC4-205BB592AF3C}"/>
    <cellStyle name="Currency 5 2 2 3 9 4" xfId="19688" xr:uid="{B312C15D-0685-416D-A55E-C62406608F9E}"/>
    <cellStyle name="Currency 5 2 2 4" xfId="202" xr:uid="{00000000-0005-0000-0000-0000F30B0000}"/>
    <cellStyle name="Currency 5 2 2 4 10" xfId="8871" xr:uid="{8F717E89-F613-4E66-8F22-9761BE0E22C7}"/>
    <cellStyle name="Currency 5 2 2 4 11" xfId="17307" xr:uid="{BB565A8D-3A57-4F1F-B87B-4B6176DC452C}"/>
    <cellStyle name="Currency 5 2 2 4 2" xfId="729" xr:uid="{00000000-0005-0000-0000-0000F40B0000}"/>
    <cellStyle name="Currency 5 2 2 4 2 2" xfId="2983" xr:uid="{00000000-0005-0000-0000-0000F50B0000}"/>
    <cellStyle name="Currency 5 2 2 4 2 2 2" xfId="7206" xr:uid="{00000000-0005-0000-0000-0000F60B0000}"/>
    <cellStyle name="Currency 5 2 2 4 2 2 2 2" xfId="15648" xr:uid="{BE67E6E1-474B-4636-9D71-2E5B8C3148D4}"/>
    <cellStyle name="Currency 5 2 2 4 2 2 2 3" xfId="24083" xr:uid="{90C7EB33-9663-4C2C-B07A-A3F10198F323}"/>
    <cellStyle name="Currency 5 2 2 4 2 2 3" xfId="11430" xr:uid="{14D4C659-2E6B-404B-AA09-CAE0FF2DDECB}"/>
    <cellStyle name="Currency 5 2 2 4 2 2 4" xfId="19866" xr:uid="{519EAA78-EA85-4E43-9209-D3B09055555D}"/>
    <cellStyle name="Currency 5 2 2 4 2 3" xfId="5061" xr:uid="{00000000-0005-0000-0000-0000F70B0000}"/>
    <cellStyle name="Currency 5 2 2 4 2 3 2" xfId="13503" xr:uid="{66F34C58-886D-47DC-9E61-4EEB101284C0}"/>
    <cellStyle name="Currency 5 2 2 4 2 3 3" xfId="21938" xr:uid="{8446613D-5822-4178-871B-8DD4A7D3327E}"/>
    <cellStyle name="Currency 5 2 2 4 2 4" xfId="9285" xr:uid="{EC67249F-DC94-4425-AF92-04AA7F69297B}"/>
    <cellStyle name="Currency 5 2 2 4 2 5" xfId="17721" xr:uid="{D5256737-DFF3-414E-A49D-E0B394B3D1D1}"/>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2 2 2" xfId="16061" xr:uid="{487F36E4-9A82-4871-B864-31DE756D3116}"/>
    <cellStyle name="Currency 5 2 2 4 3 2 2 3" xfId="24496" xr:uid="{B00D4745-0A29-4CB5-8224-957D53166B34}"/>
    <cellStyle name="Currency 5 2 2 4 3 2 3" xfId="11843" xr:uid="{860B8F4E-FB00-4B1C-B4FE-85EDDA6223E9}"/>
    <cellStyle name="Currency 5 2 2 4 3 2 4" xfId="20279" xr:uid="{57C108A1-9711-4F7E-A570-87AD2F573B22}"/>
    <cellStyle name="Currency 5 2 2 4 3 3" xfId="5474" xr:uid="{00000000-0005-0000-0000-0000FB0B0000}"/>
    <cellStyle name="Currency 5 2 2 4 3 3 2" xfId="13916" xr:uid="{C8252944-D073-428F-BCE1-BCB59E3C31A9}"/>
    <cellStyle name="Currency 5 2 2 4 3 3 3" xfId="22351" xr:uid="{3354C53B-98CD-460A-A8A7-7500861F7AF9}"/>
    <cellStyle name="Currency 5 2 2 4 3 4" xfId="9698" xr:uid="{ACBD2E5D-20F9-422F-8C7B-1C4E2ED09DF2}"/>
    <cellStyle name="Currency 5 2 2 4 3 5" xfId="18134" xr:uid="{5C746ECD-A4D2-48AF-B8D3-EF7B0663CC33}"/>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2 2 2" xfId="16474" xr:uid="{EB0AE714-A12D-4A98-BEB6-4583342F7394}"/>
    <cellStyle name="Currency 5 2 2 4 4 2 2 3" xfId="24909" xr:uid="{A4535AEA-FABA-4C73-894D-982E40826C7E}"/>
    <cellStyle name="Currency 5 2 2 4 4 2 3" xfId="12256" xr:uid="{3CBE39B1-EC88-4F46-AF36-8DBEA5E3B74B}"/>
    <cellStyle name="Currency 5 2 2 4 4 2 4" xfId="20692" xr:uid="{65E2C127-C852-47D0-A2CD-749DC6AE1FC3}"/>
    <cellStyle name="Currency 5 2 2 4 4 3" xfId="5887" xr:uid="{00000000-0005-0000-0000-0000FF0B0000}"/>
    <cellStyle name="Currency 5 2 2 4 4 3 2" xfId="14329" xr:uid="{D3C7EE73-2657-4C0D-B135-5371AB1A477C}"/>
    <cellStyle name="Currency 5 2 2 4 4 3 3" xfId="22764" xr:uid="{04152916-9093-4989-B431-6051B0543209}"/>
    <cellStyle name="Currency 5 2 2 4 4 4" xfId="10111" xr:uid="{6FBA0767-49A4-4B5D-9277-5355A281AC6D}"/>
    <cellStyle name="Currency 5 2 2 4 4 5" xfId="18547" xr:uid="{D27DCB97-1FCF-4EA0-B1E9-FD323B3FCD93}"/>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2 2 2" xfId="16887" xr:uid="{D111EBF8-783F-489D-914F-6944B9CDF4DF}"/>
    <cellStyle name="Currency 5 2 2 4 5 2 2 3" xfId="25322" xr:uid="{E745C55B-DA45-47C9-8CAF-C6A3EFDA215D}"/>
    <cellStyle name="Currency 5 2 2 4 5 2 3" xfId="12669" xr:uid="{1918F2C3-88E5-4DB7-88B2-88A7B5AF14E8}"/>
    <cellStyle name="Currency 5 2 2 4 5 2 4" xfId="21105" xr:uid="{4F6257D7-78D2-43AC-A268-452F20732159}"/>
    <cellStyle name="Currency 5 2 2 4 5 3" xfId="6300" xr:uid="{00000000-0005-0000-0000-0000030C0000}"/>
    <cellStyle name="Currency 5 2 2 4 5 3 2" xfId="14742" xr:uid="{280820B1-7EDA-42A5-918A-9E9EAAEE6F92}"/>
    <cellStyle name="Currency 5 2 2 4 5 3 3" xfId="23177" xr:uid="{8D103B48-047B-4492-B8B6-8A9B70ACB682}"/>
    <cellStyle name="Currency 5 2 2 4 5 4" xfId="10524" xr:uid="{E889D82E-7BD2-4566-A741-B8C8AE2D4B54}"/>
    <cellStyle name="Currency 5 2 2 4 5 5" xfId="18960" xr:uid="{12753A11-0753-4690-A2C1-2B53749E9A63}"/>
    <cellStyle name="Currency 5 2 2 4 6" xfId="2428" xr:uid="{00000000-0005-0000-0000-0000040C0000}"/>
    <cellStyle name="Currency 5 2 2 4 6 2" xfId="6713" xr:uid="{00000000-0005-0000-0000-0000050C0000}"/>
    <cellStyle name="Currency 5 2 2 4 6 2 2" xfId="15155" xr:uid="{60AC211E-2C96-4149-AB45-68E92F81BC21}"/>
    <cellStyle name="Currency 5 2 2 4 6 2 3" xfId="23590" xr:uid="{6FD7F04D-91E8-47A9-8F77-250F2EC7C089}"/>
    <cellStyle name="Currency 5 2 2 4 6 3" xfId="10937" xr:uid="{B158BDA5-C67F-4A5E-B58F-AA9396615509}"/>
    <cellStyle name="Currency 5 2 2 4 6 4" xfId="19373" xr:uid="{2428A2AA-7606-49F7-8B02-4B19A0285D12}"/>
    <cellStyle name="Currency 5 2 2 4 7" xfId="2725" xr:uid="{00000000-0005-0000-0000-0000060C0000}"/>
    <cellStyle name="Currency 5 2 2 4 8" xfId="2806" xr:uid="{00000000-0005-0000-0000-0000070C0000}"/>
    <cellStyle name="Currency 5 2 2 4 8 2" xfId="7030" xr:uid="{00000000-0005-0000-0000-0000080C0000}"/>
    <cellStyle name="Currency 5 2 2 4 8 2 2" xfId="15472" xr:uid="{DE3C0B0C-6C8A-48B4-9B9E-23202CF33F43}"/>
    <cellStyle name="Currency 5 2 2 4 8 2 3" xfId="23907" xr:uid="{6941B995-F8FB-4D70-BEDC-C04E63B678A6}"/>
    <cellStyle name="Currency 5 2 2 4 8 3" xfId="11254" xr:uid="{DA6BD579-DC80-4ACA-8089-B084753D4F00}"/>
    <cellStyle name="Currency 5 2 2 4 8 4" xfId="19690" xr:uid="{7AB7E43F-8C0A-4AB9-AABD-7CAAD8477ACB}"/>
    <cellStyle name="Currency 5 2 2 4 9" xfId="4647" xr:uid="{00000000-0005-0000-0000-0000090C0000}"/>
    <cellStyle name="Currency 5 2 2 4 9 2" xfId="13089" xr:uid="{122FA8FF-0AFB-42BA-8C74-0CBBE2A95261}"/>
    <cellStyle name="Currency 5 2 2 4 9 3" xfId="21524" xr:uid="{64A66D3A-7B8B-4732-A346-AE42FACC6D7C}"/>
    <cellStyle name="Currency 5 2 2 5" xfId="203" xr:uid="{00000000-0005-0000-0000-00000A0C0000}"/>
    <cellStyle name="Currency 5 2 2 5 10" xfId="8872" xr:uid="{8D82BA68-C39C-4A85-8CA1-9C8A80096DDF}"/>
    <cellStyle name="Currency 5 2 2 5 11" xfId="17308" xr:uid="{0A191288-921D-4BEB-9C3A-9BBBDF76566D}"/>
    <cellStyle name="Currency 5 2 2 5 2" xfId="730" xr:uid="{00000000-0005-0000-0000-00000B0C0000}"/>
    <cellStyle name="Currency 5 2 2 5 2 2" xfId="2984" xr:uid="{00000000-0005-0000-0000-00000C0C0000}"/>
    <cellStyle name="Currency 5 2 2 5 2 2 2" xfId="7207" xr:uid="{00000000-0005-0000-0000-00000D0C0000}"/>
    <cellStyle name="Currency 5 2 2 5 2 2 2 2" xfId="15649" xr:uid="{DA16BAD4-AF78-4B2C-9C9C-65927CAE1FDF}"/>
    <cellStyle name="Currency 5 2 2 5 2 2 2 3" xfId="24084" xr:uid="{03B453DA-96C3-442D-A93C-01D69E72A7E4}"/>
    <cellStyle name="Currency 5 2 2 5 2 2 3" xfId="11431" xr:uid="{E1801681-4FEF-4613-BAD4-AF850C1B6E4D}"/>
    <cellStyle name="Currency 5 2 2 5 2 2 4" xfId="19867" xr:uid="{601EBB7C-A749-4130-BC90-E45E287C67C9}"/>
    <cellStyle name="Currency 5 2 2 5 2 3" xfId="5062" xr:uid="{00000000-0005-0000-0000-00000E0C0000}"/>
    <cellStyle name="Currency 5 2 2 5 2 3 2" xfId="13504" xr:uid="{E346A09A-86E8-4D34-A18A-CC0627C706AA}"/>
    <cellStyle name="Currency 5 2 2 5 2 3 3" xfId="21939" xr:uid="{7D53AF0F-53E0-4872-836E-C2B442FEC986}"/>
    <cellStyle name="Currency 5 2 2 5 2 4" xfId="9286" xr:uid="{6E2FE6DF-D424-4BC6-B1CD-69D73F823CC8}"/>
    <cellStyle name="Currency 5 2 2 5 2 5" xfId="17722" xr:uid="{4C37212C-6F50-423C-BC72-9762D2F567BB}"/>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2 2 2" xfId="16062" xr:uid="{E2C4640E-AC23-4824-8076-7B0B0CDB86BC}"/>
    <cellStyle name="Currency 5 2 2 5 3 2 2 3" xfId="24497" xr:uid="{2A722A75-7BF3-40F5-A95F-087F5C4ABD4B}"/>
    <cellStyle name="Currency 5 2 2 5 3 2 3" xfId="11844" xr:uid="{BE3A6549-ED51-46AC-9B2B-CC6516938D85}"/>
    <cellStyle name="Currency 5 2 2 5 3 2 4" xfId="20280" xr:uid="{F8A33511-53BF-412D-8F66-AD0A3520605D}"/>
    <cellStyle name="Currency 5 2 2 5 3 3" xfId="5475" xr:uid="{00000000-0005-0000-0000-0000120C0000}"/>
    <cellStyle name="Currency 5 2 2 5 3 3 2" xfId="13917" xr:uid="{5AE593A4-3318-4149-A0FE-FD8DF77487FA}"/>
    <cellStyle name="Currency 5 2 2 5 3 3 3" xfId="22352" xr:uid="{86F2CCC5-E196-4E9E-9113-C8F15236B5C8}"/>
    <cellStyle name="Currency 5 2 2 5 3 4" xfId="9699" xr:uid="{189A687F-5414-47B5-9FAA-B038F7BEF54C}"/>
    <cellStyle name="Currency 5 2 2 5 3 5" xfId="18135" xr:uid="{E946EDFA-533D-49E4-A232-843CCAD8C49C}"/>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2 2 2" xfId="16475" xr:uid="{E9BC8980-01F6-4E5E-9737-DEA764D0621D}"/>
    <cellStyle name="Currency 5 2 2 5 4 2 2 3" xfId="24910" xr:uid="{C001AA27-AB7E-44B9-B4A6-C3B682670FED}"/>
    <cellStyle name="Currency 5 2 2 5 4 2 3" xfId="12257" xr:uid="{9538DD60-AC93-4143-9ABC-B47BEC30BB4E}"/>
    <cellStyle name="Currency 5 2 2 5 4 2 4" xfId="20693" xr:uid="{0BB3CA3F-E8D9-4BFA-9C56-851F7FAEE848}"/>
    <cellStyle name="Currency 5 2 2 5 4 3" xfId="5888" xr:uid="{00000000-0005-0000-0000-0000160C0000}"/>
    <cellStyle name="Currency 5 2 2 5 4 3 2" xfId="14330" xr:uid="{91AC565B-D868-4CBE-9D72-D57C4D30F9F8}"/>
    <cellStyle name="Currency 5 2 2 5 4 3 3" xfId="22765" xr:uid="{2689B192-730E-4A34-AD55-1DB7B0FFD437}"/>
    <cellStyle name="Currency 5 2 2 5 4 4" xfId="10112" xr:uid="{82959A87-745E-45A4-99CA-967934B48826}"/>
    <cellStyle name="Currency 5 2 2 5 4 5" xfId="18548" xr:uid="{EE35BCE4-16E6-4810-99B4-48BDE0EE0F88}"/>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2 2 2" xfId="16888" xr:uid="{62439C00-BFF9-4BF8-9D91-A57CA2E5EDE4}"/>
    <cellStyle name="Currency 5 2 2 5 5 2 2 3" xfId="25323" xr:uid="{E1F2F9F5-2727-48D3-81DE-8E8403E49D39}"/>
    <cellStyle name="Currency 5 2 2 5 5 2 3" xfId="12670" xr:uid="{746F51D9-2BD2-4DC1-B3EF-B94542B58321}"/>
    <cellStyle name="Currency 5 2 2 5 5 2 4" xfId="21106" xr:uid="{EF7A4E51-D9CF-461D-8803-7C1F02E84F13}"/>
    <cellStyle name="Currency 5 2 2 5 5 3" xfId="6301" xr:uid="{00000000-0005-0000-0000-00001A0C0000}"/>
    <cellStyle name="Currency 5 2 2 5 5 3 2" xfId="14743" xr:uid="{667F941D-E106-4A26-93A7-FDA142E0C2BE}"/>
    <cellStyle name="Currency 5 2 2 5 5 3 3" xfId="23178" xr:uid="{334702A5-8A18-463D-86BF-0CF034D19070}"/>
    <cellStyle name="Currency 5 2 2 5 5 4" xfId="10525" xr:uid="{57C6521A-90CE-46EB-AD69-6052DC25DDD8}"/>
    <cellStyle name="Currency 5 2 2 5 5 5" xfId="18961" xr:uid="{BD8191AC-7E0A-4532-9F5E-CC65FBA04982}"/>
    <cellStyle name="Currency 5 2 2 5 6" xfId="2429" xr:uid="{00000000-0005-0000-0000-00001B0C0000}"/>
    <cellStyle name="Currency 5 2 2 5 6 2" xfId="6714" xr:uid="{00000000-0005-0000-0000-00001C0C0000}"/>
    <cellStyle name="Currency 5 2 2 5 6 2 2" xfId="15156" xr:uid="{2FBAA1AA-A343-4767-8B18-3E444A8E07E0}"/>
    <cellStyle name="Currency 5 2 2 5 6 2 3" xfId="23591" xr:uid="{7ACAF94C-97E9-4484-9ECF-7648B44C773B}"/>
    <cellStyle name="Currency 5 2 2 5 6 3" xfId="10938" xr:uid="{79358F5E-0344-43EA-8248-7F8A319314BF}"/>
    <cellStyle name="Currency 5 2 2 5 6 4" xfId="19374" xr:uid="{D584847C-7392-4356-814B-DD20E2169A79}"/>
    <cellStyle name="Currency 5 2 2 5 7" xfId="2726" xr:uid="{00000000-0005-0000-0000-00001D0C0000}"/>
    <cellStyle name="Currency 5 2 2 5 8" xfId="2807" xr:uid="{00000000-0005-0000-0000-00001E0C0000}"/>
    <cellStyle name="Currency 5 2 2 5 8 2" xfId="7031" xr:uid="{00000000-0005-0000-0000-00001F0C0000}"/>
    <cellStyle name="Currency 5 2 2 5 8 2 2" xfId="15473" xr:uid="{8DC23463-181E-4208-97C2-C182CC3338EB}"/>
    <cellStyle name="Currency 5 2 2 5 8 2 3" xfId="23908" xr:uid="{1CA38A36-B3DD-40BF-8642-A67C5F812300}"/>
    <cellStyle name="Currency 5 2 2 5 8 3" xfId="11255" xr:uid="{33E86BDC-BB47-470B-88E3-DA1499E5C246}"/>
    <cellStyle name="Currency 5 2 2 5 8 4" xfId="19691" xr:uid="{9ABB9541-2429-4B40-80AA-B4A0F7FD9432}"/>
    <cellStyle name="Currency 5 2 2 5 9" xfId="4648" xr:uid="{00000000-0005-0000-0000-0000200C0000}"/>
    <cellStyle name="Currency 5 2 2 5 9 2" xfId="13090" xr:uid="{CB0DC22C-9684-499F-BD04-510072B12319}"/>
    <cellStyle name="Currency 5 2 2 5 9 3" xfId="21525" xr:uid="{06493905-18D1-47B8-9C87-9016A5D6ABAD}"/>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10 2" xfId="13091" xr:uid="{72716001-E27C-4888-A3D8-2D716E88B4E6}"/>
    <cellStyle name="Currency 5 2 4 10 3" xfId="21526" xr:uid="{A23E5581-479D-478C-ADCD-9CC2CB9E1C25}"/>
    <cellStyle name="Currency 5 2 4 11" xfId="8873" xr:uid="{5B1DC24D-DC32-491C-92B3-CC5644AB4D07}"/>
    <cellStyle name="Currency 5 2 4 12" xfId="17309" xr:uid="{CCAABCA7-FB8F-433F-86F7-3BE693C2AB2E}"/>
    <cellStyle name="Currency 5 2 4 2" xfId="206" xr:uid="{00000000-0005-0000-0000-0000250C0000}"/>
    <cellStyle name="Currency 5 2 4 2 10" xfId="8874" xr:uid="{A3584EDE-E9D6-4C85-A258-2F5216C7EA2B}"/>
    <cellStyle name="Currency 5 2 4 2 11" xfId="17310" xr:uid="{77B00B7C-7D16-4F07-AA40-6738B860C01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2 2 2" xfId="15651" xr:uid="{BB095C66-89FD-4CC0-AB04-643D57630CD2}"/>
    <cellStyle name="Currency 5 2 4 2 2 2 2 3" xfId="24086" xr:uid="{3BAF90E7-ED70-4DF9-8D8A-75EF06898F5F}"/>
    <cellStyle name="Currency 5 2 4 2 2 2 3" xfId="11433" xr:uid="{BF4FE204-7B8F-43BC-B557-287158D007C1}"/>
    <cellStyle name="Currency 5 2 4 2 2 2 4" xfId="19869" xr:uid="{408949AB-07DE-4567-A682-EDC2ED2A60C9}"/>
    <cellStyle name="Currency 5 2 4 2 2 3" xfId="5064" xr:uid="{00000000-0005-0000-0000-0000290C0000}"/>
    <cellStyle name="Currency 5 2 4 2 2 3 2" xfId="13506" xr:uid="{4184D670-1868-4CEF-9242-B7B95221ABB6}"/>
    <cellStyle name="Currency 5 2 4 2 2 3 3" xfId="21941" xr:uid="{73204507-AB64-460C-93AE-9D759AB1CCF7}"/>
    <cellStyle name="Currency 5 2 4 2 2 4" xfId="9288" xr:uid="{4B93C286-476B-4AB7-A46E-5E227889F0EB}"/>
    <cellStyle name="Currency 5 2 4 2 2 5" xfId="17724" xr:uid="{118E4C3C-EFA6-4F1D-9B0C-AEC4BACC468A}"/>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2 2 2" xfId="16064" xr:uid="{3927E8B2-D485-4140-8C56-68AF8A241E67}"/>
    <cellStyle name="Currency 5 2 4 2 3 2 2 3" xfId="24499" xr:uid="{4E0A0F18-2571-48DC-80F4-94F9120D3EEE}"/>
    <cellStyle name="Currency 5 2 4 2 3 2 3" xfId="11846" xr:uid="{A9B5DC8F-9FCF-4DC1-A947-67A87048741A}"/>
    <cellStyle name="Currency 5 2 4 2 3 2 4" xfId="20282" xr:uid="{E4E12803-16B6-400D-9E8A-F4BE490A2278}"/>
    <cellStyle name="Currency 5 2 4 2 3 3" xfId="5477" xr:uid="{00000000-0005-0000-0000-00002D0C0000}"/>
    <cellStyle name="Currency 5 2 4 2 3 3 2" xfId="13919" xr:uid="{2A1A0355-D50F-4055-935D-C5F52E50E218}"/>
    <cellStyle name="Currency 5 2 4 2 3 3 3" xfId="22354" xr:uid="{19242BCB-AECB-452A-BAA6-C0647C924216}"/>
    <cellStyle name="Currency 5 2 4 2 3 4" xfId="9701" xr:uid="{893A82DF-3BC6-45AD-925B-1B53D3A757C6}"/>
    <cellStyle name="Currency 5 2 4 2 3 5" xfId="18137" xr:uid="{25BD3079-E6F0-493C-80E0-C15789C821BA}"/>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2 2 2" xfId="16477" xr:uid="{83489BC3-9A7B-4D87-A33B-B92DF8E6817C}"/>
    <cellStyle name="Currency 5 2 4 2 4 2 2 3" xfId="24912" xr:uid="{7ABE8F33-3538-44BE-8D8E-93F9A6D2D4E3}"/>
    <cellStyle name="Currency 5 2 4 2 4 2 3" xfId="12259" xr:uid="{AEFA2809-16BF-45DD-B7F0-6B9A8D313048}"/>
    <cellStyle name="Currency 5 2 4 2 4 2 4" xfId="20695" xr:uid="{EF847BD0-9A5E-42C0-8B69-A2FF234B41AB}"/>
    <cellStyle name="Currency 5 2 4 2 4 3" xfId="5890" xr:uid="{00000000-0005-0000-0000-0000310C0000}"/>
    <cellStyle name="Currency 5 2 4 2 4 3 2" xfId="14332" xr:uid="{BDB12B1C-1C52-4210-85F5-FB72F4BB6E6E}"/>
    <cellStyle name="Currency 5 2 4 2 4 3 3" xfId="22767" xr:uid="{26015162-B790-4821-8CA6-4825D0827606}"/>
    <cellStyle name="Currency 5 2 4 2 4 4" xfId="10114" xr:uid="{6B7CE131-70BA-49C1-82F2-65F8A3E67ECA}"/>
    <cellStyle name="Currency 5 2 4 2 4 5" xfId="18550" xr:uid="{9E613CC9-88AA-460D-A5E2-A315B84D9E63}"/>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2 2 2" xfId="16890" xr:uid="{872254F4-1F00-4805-B8E3-617ED8657A53}"/>
    <cellStyle name="Currency 5 2 4 2 5 2 2 3" xfId="25325" xr:uid="{19F5DFDC-D3A2-4FE9-BDE3-D46C6E9ACF3B}"/>
    <cellStyle name="Currency 5 2 4 2 5 2 3" xfId="12672" xr:uid="{ED9450F1-6127-4DE5-AC16-3A3DC2020766}"/>
    <cellStyle name="Currency 5 2 4 2 5 2 4" xfId="21108" xr:uid="{9CFD5179-B419-4E79-8D9D-99695E50A056}"/>
    <cellStyle name="Currency 5 2 4 2 5 3" xfId="6303" xr:uid="{00000000-0005-0000-0000-0000350C0000}"/>
    <cellStyle name="Currency 5 2 4 2 5 3 2" xfId="14745" xr:uid="{C8CA34D1-1651-4EFB-9049-D48571AC0B1D}"/>
    <cellStyle name="Currency 5 2 4 2 5 3 3" xfId="23180" xr:uid="{6DDC9EC9-D984-4A64-B36F-39A465200AB2}"/>
    <cellStyle name="Currency 5 2 4 2 5 4" xfId="10527" xr:uid="{4B013A5C-C1D7-4631-8BD4-54141F96ACBF}"/>
    <cellStyle name="Currency 5 2 4 2 5 5" xfId="18963" xr:uid="{4DD24FAE-F094-46B7-A375-BBC096C8BB85}"/>
    <cellStyle name="Currency 5 2 4 2 6" xfId="2431" xr:uid="{00000000-0005-0000-0000-0000360C0000}"/>
    <cellStyle name="Currency 5 2 4 2 6 2" xfId="6716" xr:uid="{00000000-0005-0000-0000-0000370C0000}"/>
    <cellStyle name="Currency 5 2 4 2 6 2 2" xfId="15158" xr:uid="{A9F7C3C1-0917-4CA0-ABBE-F5D1678B8C55}"/>
    <cellStyle name="Currency 5 2 4 2 6 2 3" xfId="23593" xr:uid="{2059AB53-5E53-413D-A514-E18E956D394D}"/>
    <cellStyle name="Currency 5 2 4 2 6 3" xfId="10940" xr:uid="{731E7EDE-687E-4916-9BD4-60D5411FE4F8}"/>
    <cellStyle name="Currency 5 2 4 2 6 4" xfId="19376" xr:uid="{E28C00EE-37F2-4A56-8F75-CB6A6ECE95AA}"/>
    <cellStyle name="Currency 5 2 4 2 7" xfId="2728" xr:uid="{00000000-0005-0000-0000-0000380C0000}"/>
    <cellStyle name="Currency 5 2 4 2 8" xfId="2809" xr:uid="{00000000-0005-0000-0000-0000390C0000}"/>
    <cellStyle name="Currency 5 2 4 2 8 2" xfId="7033" xr:uid="{00000000-0005-0000-0000-00003A0C0000}"/>
    <cellStyle name="Currency 5 2 4 2 8 2 2" xfId="15475" xr:uid="{1867687E-D498-455B-9A3F-A4F9B9C96D93}"/>
    <cellStyle name="Currency 5 2 4 2 8 2 3" xfId="23910" xr:uid="{E2E58377-EB28-4C72-BB51-2F96BD23E9DF}"/>
    <cellStyle name="Currency 5 2 4 2 8 3" xfId="11257" xr:uid="{766F76A8-2F03-4B05-9B16-A6A3E8D0377C}"/>
    <cellStyle name="Currency 5 2 4 2 8 4" xfId="19693" xr:uid="{07E39018-14B6-4598-846A-ADE0A3FB7E7F}"/>
    <cellStyle name="Currency 5 2 4 2 9" xfId="4650" xr:uid="{00000000-0005-0000-0000-00003B0C0000}"/>
    <cellStyle name="Currency 5 2 4 2 9 2" xfId="13092" xr:uid="{2AAB3C65-364D-4A05-B2DB-A3BE8A16DA20}"/>
    <cellStyle name="Currency 5 2 4 2 9 3" xfId="21527" xr:uid="{ADF92287-EE59-4F46-A1AD-AF46360B5875}"/>
    <cellStyle name="Currency 5 2 4 3" xfId="732" xr:uid="{00000000-0005-0000-0000-00003C0C0000}"/>
    <cellStyle name="Currency 5 2 4 3 2" xfId="2985" xr:uid="{00000000-0005-0000-0000-00003D0C0000}"/>
    <cellStyle name="Currency 5 2 4 3 2 2" xfId="7208" xr:uid="{00000000-0005-0000-0000-00003E0C0000}"/>
    <cellStyle name="Currency 5 2 4 3 2 2 2" xfId="15650" xr:uid="{2B5242BF-553C-4779-8B41-DF8695F55D46}"/>
    <cellStyle name="Currency 5 2 4 3 2 2 3" xfId="24085" xr:uid="{85597340-6071-41C0-9871-266376E87C75}"/>
    <cellStyle name="Currency 5 2 4 3 2 3" xfId="11432" xr:uid="{1A9B94BF-811A-468C-AB4A-046A8B84589F}"/>
    <cellStyle name="Currency 5 2 4 3 2 4" xfId="19868" xr:uid="{A27424D0-E913-4C1E-B778-E7B9B1046C35}"/>
    <cellStyle name="Currency 5 2 4 3 3" xfId="5063" xr:uid="{00000000-0005-0000-0000-00003F0C0000}"/>
    <cellStyle name="Currency 5 2 4 3 3 2" xfId="13505" xr:uid="{49E01BCC-66D6-4A77-9281-B406593394FA}"/>
    <cellStyle name="Currency 5 2 4 3 3 3" xfId="21940" xr:uid="{F29E0D70-DF7C-41A2-8C5D-CCD6D36551DB}"/>
    <cellStyle name="Currency 5 2 4 3 4" xfId="9287" xr:uid="{D0FC4F5C-9BB3-440D-82AB-19CD4E67E72D}"/>
    <cellStyle name="Currency 5 2 4 3 5" xfId="17723" xr:uid="{DCA6A07C-CA98-4E2F-9095-820393E4DB96}"/>
    <cellStyle name="Currency 5 2 4 4" xfId="1167" xr:uid="{00000000-0005-0000-0000-0000400C0000}"/>
    <cellStyle name="Currency 5 2 4 4 2" xfId="3398" xr:uid="{00000000-0005-0000-0000-0000410C0000}"/>
    <cellStyle name="Currency 5 2 4 4 2 2" xfId="7621" xr:uid="{00000000-0005-0000-0000-0000420C0000}"/>
    <cellStyle name="Currency 5 2 4 4 2 2 2" xfId="16063" xr:uid="{4B0415B5-D341-461D-A440-4D94E299448E}"/>
    <cellStyle name="Currency 5 2 4 4 2 2 3" xfId="24498" xr:uid="{1CBDE9CB-8E4B-435F-B9BF-605E51768683}"/>
    <cellStyle name="Currency 5 2 4 4 2 3" xfId="11845" xr:uid="{2AEC2732-64EB-4D6E-9F53-4DBE06FF6C1A}"/>
    <cellStyle name="Currency 5 2 4 4 2 4" xfId="20281" xr:uid="{0477A91F-C32D-4D43-B78A-120D15142A9F}"/>
    <cellStyle name="Currency 5 2 4 4 3" xfId="5476" xr:uid="{00000000-0005-0000-0000-0000430C0000}"/>
    <cellStyle name="Currency 5 2 4 4 3 2" xfId="13918" xr:uid="{5F312046-A037-4132-965B-DBD54183CDFA}"/>
    <cellStyle name="Currency 5 2 4 4 3 3" xfId="22353" xr:uid="{C0B2A592-893D-474B-9C90-897F0B49FCFA}"/>
    <cellStyle name="Currency 5 2 4 4 4" xfId="9700" xr:uid="{04AB9778-F637-40D7-8302-C0F4EAC15687}"/>
    <cellStyle name="Currency 5 2 4 4 5" xfId="18136" xr:uid="{88083CAE-C1E0-47B7-AA27-12881094D7AC}"/>
    <cellStyle name="Currency 5 2 4 5" xfId="1581" xr:uid="{00000000-0005-0000-0000-0000440C0000}"/>
    <cellStyle name="Currency 5 2 4 5 2" xfId="3811" xr:uid="{00000000-0005-0000-0000-0000450C0000}"/>
    <cellStyle name="Currency 5 2 4 5 2 2" xfId="8034" xr:uid="{00000000-0005-0000-0000-0000460C0000}"/>
    <cellStyle name="Currency 5 2 4 5 2 2 2" xfId="16476" xr:uid="{B45A067D-D4C0-4B60-A483-64ACFECCFCB6}"/>
    <cellStyle name="Currency 5 2 4 5 2 2 3" xfId="24911" xr:uid="{1BF63FB6-A606-40BF-B151-F718AA808065}"/>
    <cellStyle name="Currency 5 2 4 5 2 3" xfId="12258" xr:uid="{3D2CED4D-A778-4D40-A7F0-B5466AAA5A77}"/>
    <cellStyle name="Currency 5 2 4 5 2 4" xfId="20694" xr:uid="{E2AC1192-7607-4504-A345-0F2254E8BC67}"/>
    <cellStyle name="Currency 5 2 4 5 3" xfId="5889" xr:uid="{00000000-0005-0000-0000-0000470C0000}"/>
    <cellStyle name="Currency 5 2 4 5 3 2" xfId="14331" xr:uid="{FB0B746D-719C-4251-855E-F26361C96EFB}"/>
    <cellStyle name="Currency 5 2 4 5 3 3" xfId="22766" xr:uid="{85298416-6C03-442B-8AA6-C4FE0A5D6284}"/>
    <cellStyle name="Currency 5 2 4 5 4" xfId="10113" xr:uid="{270B941E-1A68-4524-A8B7-7660D8BAF4D4}"/>
    <cellStyle name="Currency 5 2 4 5 5" xfId="18549" xr:uid="{0434835B-BEB3-4297-AECB-858F8C227BE9}"/>
    <cellStyle name="Currency 5 2 4 6" xfId="1995" xr:uid="{00000000-0005-0000-0000-0000480C0000}"/>
    <cellStyle name="Currency 5 2 4 6 2" xfId="4224" xr:uid="{00000000-0005-0000-0000-0000490C0000}"/>
    <cellStyle name="Currency 5 2 4 6 2 2" xfId="8447" xr:uid="{00000000-0005-0000-0000-00004A0C0000}"/>
    <cellStyle name="Currency 5 2 4 6 2 2 2" xfId="16889" xr:uid="{31262B4E-6E22-45F2-B1F2-72ED8DBC1375}"/>
    <cellStyle name="Currency 5 2 4 6 2 2 3" xfId="25324" xr:uid="{6637DD76-03B7-4722-8BC6-E57B9A5A78B5}"/>
    <cellStyle name="Currency 5 2 4 6 2 3" xfId="12671" xr:uid="{5B0A2D32-33C8-4609-B074-F88B161F999A}"/>
    <cellStyle name="Currency 5 2 4 6 2 4" xfId="21107" xr:uid="{DC986FE0-EF37-4223-87B3-6FBE6E74A386}"/>
    <cellStyle name="Currency 5 2 4 6 3" xfId="6302" xr:uid="{00000000-0005-0000-0000-00004B0C0000}"/>
    <cellStyle name="Currency 5 2 4 6 3 2" xfId="14744" xr:uid="{BB10987A-C6E0-42CD-BE4D-F54471DF5F9A}"/>
    <cellStyle name="Currency 5 2 4 6 3 3" xfId="23179" xr:uid="{AD95211A-1065-4700-9F9E-C180801D5329}"/>
    <cellStyle name="Currency 5 2 4 6 4" xfId="10526" xr:uid="{9C1D1209-C025-4D1F-BD7C-AC7D04FD4A2C}"/>
    <cellStyle name="Currency 5 2 4 6 5" xfId="18962" xr:uid="{40AB673D-A22E-4F5B-8CEA-1239F872F479}"/>
    <cellStyle name="Currency 5 2 4 7" xfId="2430" xr:uid="{00000000-0005-0000-0000-00004C0C0000}"/>
    <cellStyle name="Currency 5 2 4 7 2" xfId="6715" xr:uid="{00000000-0005-0000-0000-00004D0C0000}"/>
    <cellStyle name="Currency 5 2 4 7 2 2" xfId="15157" xr:uid="{D478C66A-1E89-40D4-9DBB-953F6A729B10}"/>
    <cellStyle name="Currency 5 2 4 7 2 3" xfId="23592" xr:uid="{311597D9-1E6D-4218-9AF9-EC0FFC6712C4}"/>
    <cellStyle name="Currency 5 2 4 7 3" xfId="10939" xr:uid="{D733B028-CE01-413A-8876-C72DF6230F11}"/>
    <cellStyle name="Currency 5 2 4 7 4" xfId="19375" xr:uid="{907253F7-46E7-4FB8-BC96-3AF2D4E9F6D8}"/>
    <cellStyle name="Currency 5 2 4 8" xfId="2727" xr:uid="{00000000-0005-0000-0000-00004E0C0000}"/>
    <cellStyle name="Currency 5 2 4 9" xfId="2808" xr:uid="{00000000-0005-0000-0000-00004F0C0000}"/>
    <cellStyle name="Currency 5 2 4 9 2" xfId="7032" xr:uid="{00000000-0005-0000-0000-0000500C0000}"/>
    <cellStyle name="Currency 5 2 4 9 2 2" xfId="15474" xr:uid="{EAF276CB-6FDE-4BAE-AD6C-5051FBD11CB5}"/>
    <cellStyle name="Currency 5 2 4 9 2 3" xfId="23909" xr:uid="{AB93389C-188A-4E14-8222-DB1C48DE66E3}"/>
    <cellStyle name="Currency 5 2 4 9 3" xfId="11256" xr:uid="{0F653050-FDD9-4907-97A5-0425B596EA29}"/>
    <cellStyle name="Currency 5 2 4 9 4" xfId="19692" xr:uid="{376C8988-D64F-439A-A418-A7DCAC6EF24A}"/>
    <cellStyle name="Currency 5 2 5" xfId="207" xr:uid="{00000000-0005-0000-0000-0000510C0000}"/>
    <cellStyle name="Currency 5 2 5 10" xfId="8875" xr:uid="{2A752D15-3F3D-488C-AB5A-61842A09198B}"/>
    <cellStyle name="Currency 5 2 5 11" xfId="17311" xr:uid="{29228A49-F364-4AB4-A4F5-A21F9B102000}"/>
    <cellStyle name="Currency 5 2 5 2" xfId="734" xr:uid="{00000000-0005-0000-0000-0000520C0000}"/>
    <cellStyle name="Currency 5 2 5 2 2" xfId="2987" xr:uid="{00000000-0005-0000-0000-0000530C0000}"/>
    <cellStyle name="Currency 5 2 5 2 2 2" xfId="7210" xr:uid="{00000000-0005-0000-0000-0000540C0000}"/>
    <cellStyle name="Currency 5 2 5 2 2 2 2" xfId="15652" xr:uid="{DCB92890-1413-4D28-B1AD-5437673B52D7}"/>
    <cellStyle name="Currency 5 2 5 2 2 2 3" xfId="24087" xr:uid="{B9CD51FF-E77B-4B5C-98CA-399A60DCD1EF}"/>
    <cellStyle name="Currency 5 2 5 2 2 3" xfId="11434" xr:uid="{602FE157-6AEC-438E-8769-C03FD20A4950}"/>
    <cellStyle name="Currency 5 2 5 2 2 4" xfId="19870" xr:uid="{27A12619-82B6-4626-B90F-52BC0E3774E8}"/>
    <cellStyle name="Currency 5 2 5 2 3" xfId="5065" xr:uid="{00000000-0005-0000-0000-0000550C0000}"/>
    <cellStyle name="Currency 5 2 5 2 3 2" xfId="13507" xr:uid="{C802F2CD-6F97-432A-97E5-F1C2F61A7D16}"/>
    <cellStyle name="Currency 5 2 5 2 3 3" xfId="21942" xr:uid="{130157F7-3E03-40B9-8A3D-16664525FFEF}"/>
    <cellStyle name="Currency 5 2 5 2 4" xfId="9289" xr:uid="{0A801B3E-18F7-4624-A337-152978F60A9F}"/>
    <cellStyle name="Currency 5 2 5 2 5" xfId="17725" xr:uid="{86E30A1E-8A9C-445E-BBD9-2FA623D05F5F}"/>
    <cellStyle name="Currency 5 2 5 3" xfId="1169" xr:uid="{00000000-0005-0000-0000-0000560C0000}"/>
    <cellStyle name="Currency 5 2 5 3 2" xfId="3400" xr:uid="{00000000-0005-0000-0000-0000570C0000}"/>
    <cellStyle name="Currency 5 2 5 3 2 2" xfId="7623" xr:uid="{00000000-0005-0000-0000-0000580C0000}"/>
    <cellStyle name="Currency 5 2 5 3 2 2 2" xfId="16065" xr:uid="{07572551-2171-4536-B295-F3BC635DA9A2}"/>
    <cellStyle name="Currency 5 2 5 3 2 2 3" xfId="24500" xr:uid="{96C1B7A4-5F60-490D-A7CA-E9BD6953D19C}"/>
    <cellStyle name="Currency 5 2 5 3 2 3" xfId="11847" xr:uid="{78C13C85-F85B-4FCB-BD71-AF41B430500E}"/>
    <cellStyle name="Currency 5 2 5 3 2 4" xfId="20283" xr:uid="{4510AF4E-2E13-4D3B-84AF-46F957AFC583}"/>
    <cellStyle name="Currency 5 2 5 3 3" xfId="5478" xr:uid="{00000000-0005-0000-0000-0000590C0000}"/>
    <cellStyle name="Currency 5 2 5 3 3 2" xfId="13920" xr:uid="{78E67977-EA00-403C-9530-ADCDB8E6A183}"/>
    <cellStyle name="Currency 5 2 5 3 3 3" xfId="22355" xr:uid="{8155CD33-0700-4F51-83FE-EDA53C9DFC39}"/>
    <cellStyle name="Currency 5 2 5 3 4" xfId="9702" xr:uid="{D34887E4-6873-46BC-B176-1A22D5CD93BB}"/>
    <cellStyle name="Currency 5 2 5 3 5" xfId="18138" xr:uid="{1117928A-CF4E-49F9-8498-3EF4D60BAD53}"/>
    <cellStyle name="Currency 5 2 5 4" xfId="1583" xr:uid="{00000000-0005-0000-0000-00005A0C0000}"/>
    <cellStyle name="Currency 5 2 5 4 2" xfId="3813" xr:uid="{00000000-0005-0000-0000-00005B0C0000}"/>
    <cellStyle name="Currency 5 2 5 4 2 2" xfId="8036" xr:uid="{00000000-0005-0000-0000-00005C0C0000}"/>
    <cellStyle name="Currency 5 2 5 4 2 2 2" xfId="16478" xr:uid="{E3D04AD0-C1E5-4679-B547-80C66B0AF3AB}"/>
    <cellStyle name="Currency 5 2 5 4 2 2 3" xfId="24913" xr:uid="{6F1099BC-D348-42E0-B1ED-ABCB6F2A3AA4}"/>
    <cellStyle name="Currency 5 2 5 4 2 3" xfId="12260" xr:uid="{D467D609-0A55-43CD-B898-BC51A9950342}"/>
    <cellStyle name="Currency 5 2 5 4 2 4" xfId="20696" xr:uid="{6DF5002B-E1D4-409C-B89F-3A29C7860441}"/>
    <cellStyle name="Currency 5 2 5 4 3" xfId="5891" xr:uid="{00000000-0005-0000-0000-00005D0C0000}"/>
    <cellStyle name="Currency 5 2 5 4 3 2" xfId="14333" xr:uid="{C52D776D-0CFF-439E-9359-9629644908CA}"/>
    <cellStyle name="Currency 5 2 5 4 3 3" xfId="22768" xr:uid="{C33E3DEF-05CF-4830-B3F5-F8C6C7F51815}"/>
    <cellStyle name="Currency 5 2 5 4 4" xfId="10115" xr:uid="{4726D1B6-BAA3-49B8-8B55-707DC6C42150}"/>
    <cellStyle name="Currency 5 2 5 4 5" xfId="18551" xr:uid="{A20AA71F-3789-489A-A8AA-5C086EC52F70}"/>
    <cellStyle name="Currency 5 2 5 5" xfId="1997" xr:uid="{00000000-0005-0000-0000-00005E0C0000}"/>
    <cellStyle name="Currency 5 2 5 5 2" xfId="4226" xr:uid="{00000000-0005-0000-0000-00005F0C0000}"/>
    <cellStyle name="Currency 5 2 5 5 2 2" xfId="8449" xr:uid="{00000000-0005-0000-0000-0000600C0000}"/>
    <cellStyle name="Currency 5 2 5 5 2 2 2" xfId="16891" xr:uid="{A79DC34D-FA08-4192-8B82-95818816B382}"/>
    <cellStyle name="Currency 5 2 5 5 2 2 3" xfId="25326" xr:uid="{B82CFF15-7C2A-4D7F-B3CA-351A164BB39E}"/>
    <cellStyle name="Currency 5 2 5 5 2 3" xfId="12673" xr:uid="{864A69EA-5A27-4A32-8941-8BFE5D84E67F}"/>
    <cellStyle name="Currency 5 2 5 5 2 4" xfId="21109" xr:uid="{4264C7C7-FE9C-46AC-979F-A1570EAD21F2}"/>
    <cellStyle name="Currency 5 2 5 5 3" xfId="6304" xr:uid="{00000000-0005-0000-0000-0000610C0000}"/>
    <cellStyle name="Currency 5 2 5 5 3 2" xfId="14746" xr:uid="{EA846B5A-E3E5-4D9A-828E-8EC8BB1B3B22}"/>
    <cellStyle name="Currency 5 2 5 5 3 3" xfId="23181" xr:uid="{8C4C25D0-51E8-4AFB-A79D-70AB7B6B8993}"/>
    <cellStyle name="Currency 5 2 5 5 4" xfId="10528" xr:uid="{FE50AB99-E255-40BC-9D3F-746DF5E065AE}"/>
    <cellStyle name="Currency 5 2 5 5 5" xfId="18964" xr:uid="{7E825D0B-FE26-47DF-9E46-24F995CA352C}"/>
    <cellStyle name="Currency 5 2 5 6" xfId="2432" xr:uid="{00000000-0005-0000-0000-0000620C0000}"/>
    <cellStyle name="Currency 5 2 5 6 2" xfId="6717" xr:uid="{00000000-0005-0000-0000-0000630C0000}"/>
    <cellStyle name="Currency 5 2 5 6 2 2" xfId="15159" xr:uid="{A8321B66-757F-4E5A-A7AA-B28650233CBC}"/>
    <cellStyle name="Currency 5 2 5 6 2 3" xfId="23594" xr:uid="{C7559BC4-9963-473E-A973-203C6A668B15}"/>
    <cellStyle name="Currency 5 2 5 6 3" xfId="10941" xr:uid="{B4808690-7EFB-46A8-9934-DE94C8AFFBCC}"/>
    <cellStyle name="Currency 5 2 5 6 4" xfId="19377" xr:uid="{90B5AFF3-16BE-4487-9809-E11B305E4415}"/>
    <cellStyle name="Currency 5 2 5 7" xfId="2729" xr:uid="{00000000-0005-0000-0000-0000640C0000}"/>
    <cellStyle name="Currency 5 2 5 8" xfId="2810" xr:uid="{00000000-0005-0000-0000-0000650C0000}"/>
    <cellStyle name="Currency 5 2 5 8 2" xfId="7034" xr:uid="{00000000-0005-0000-0000-0000660C0000}"/>
    <cellStyle name="Currency 5 2 5 8 2 2" xfId="15476" xr:uid="{2F71227B-C1E0-4A9A-AD26-AD29EAB1ED93}"/>
    <cellStyle name="Currency 5 2 5 8 2 3" xfId="23911" xr:uid="{BBEBCF7E-BC51-4195-852C-2F8B3152ADD9}"/>
    <cellStyle name="Currency 5 2 5 8 3" xfId="11258" xr:uid="{96CE234A-CDF4-4B39-9413-516B6FF9F3CD}"/>
    <cellStyle name="Currency 5 2 5 8 4" xfId="19694" xr:uid="{1AC32E31-C6B7-4146-B86E-A3F74DFE5213}"/>
    <cellStyle name="Currency 5 2 5 9" xfId="4651" xr:uid="{00000000-0005-0000-0000-0000670C0000}"/>
    <cellStyle name="Currency 5 2 5 9 2" xfId="13093" xr:uid="{082F0426-F7E4-4670-985A-9742D928E3E5}"/>
    <cellStyle name="Currency 5 2 5 9 3" xfId="21528" xr:uid="{C3B4DB4A-3CD0-48E6-8AD3-AF251DB802FE}"/>
    <cellStyle name="Currency 5 2 6" xfId="208" xr:uid="{00000000-0005-0000-0000-0000680C0000}"/>
    <cellStyle name="Currency 5 2 6 10" xfId="8876" xr:uid="{D76750F1-0E6E-48EF-AD6B-B751C48A2D34}"/>
    <cellStyle name="Currency 5 2 6 11" xfId="17312" xr:uid="{E56D0341-1CAB-405F-A663-F81857DFD3A6}"/>
    <cellStyle name="Currency 5 2 6 2" xfId="735" xr:uid="{00000000-0005-0000-0000-0000690C0000}"/>
    <cellStyle name="Currency 5 2 6 2 2" xfId="2988" xr:uid="{00000000-0005-0000-0000-00006A0C0000}"/>
    <cellStyle name="Currency 5 2 6 2 2 2" xfId="7211" xr:uid="{00000000-0005-0000-0000-00006B0C0000}"/>
    <cellStyle name="Currency 5 2 6 2 2 2 2" xfId="15653" xr:uid="{860B12BC-4981-492B-9EC7-3C4B8F25C078}"/>
    <cellStyle name="Currency 5 2 6 2 2 2 3" xfId="24088" xr:uid="{2579B872-F7B9-4720-B1C1-69C7391AA485}"/>
    <cellStyle name="Currency 5 2 6 2 2 3" xfId="11435" xr:uid="{D42977F8-B4B6-4B3F-AC9B-26E4D1AF5178}"/>
    <cellStyle name="Currency 5 2 6 2 2 4" xfId="19871" xr:uid="{619E5C4E-9C2C-4F6A-9EB9-7084F3974D19}"/>
    <cellStyle name="Currency 5 2 6 2 3" xfId="5066" xr:uid="{00000000-0005-0000-0000-00006C0C0000}"/>
    <cellStyle name="Currency 5 2 6 2 3 2" xfId="13508" xr:uid="{2BFB3B75-5720-4C46-B6EE-84E665CD392B}"/>
    <cellStyle name="Currency 5 2 6 2 3 3" xfId="21943" xr:uid="{45859FD0-3761-4D90-9EB0-76B74AF5EDC7}"/>
    <cellStyle name="Currency 5 2 6 2 4" xfId="9290" xr:uid="{885FBC72-226D-4904-AB51-9D9512824D78}"/>
    <cellStyle name="Currency 5 2 6 2 5" xfId="17726" xr:uid="{AA4787B2-41F2-4F51-AFAC-C770F22B7D4E}"/>
    <cellStyle name="Currency 5 2 6 3" xfId="1170" xr:uid="{00000000-0005-0000-0000-00006D0C0000}"/>
    <cellStyle name="Currency 5 2 6 3 2" xfId="3401" xr:uid="{00000000-0005-0000-0000-00006E0C0000}"/>
    <cellStyle name="Currency 5 2 6 3 2 2" xfId="7624" xr:uid="{00000000-0005-0000-0000-00006F0C0000}"/>
    <cellStyle name="Currency 5 2 6 3 2 2 2" xfId="16066" xr:uid="{BF966D9C-2DC6-44A1-8761-7D9F7BFB8D53}"/>
    <cellStyle name="Currency 5 2 6 3 2 2 3" xfId="24501" xr:uid="{A906E1F1-9E1E-4C41-94F8-EF814AB12A62}"/>
    <cellStyle name="Currency 5 2 6 3 2 3" xfId="11848" xr:uid="{77351723-4C72-43D6-AB10-EB477BA8BE0C}"/>
    <cellStyle name="Currency 5 2 6 3 2 4" xfId="20284" xr:uid="{8D311D6E-CB6C-476A-885D-DF3568B5C42A}"/>
    <cellStyle name="Currency 5 2 6 3 3" xfId="5479" xr:uid="{00000000-0005-0000-0000-0000700C0000}"/>
    <cellStyle name="Currency 5 2 6 3 3 2" xfId="13921" xr:uid="{17BD5A9D-89ED-458B-9420-FDB4F8034B95}"/>
    <cellStyle name="Currency 5 2 6 3 3 3" xfId="22356" xr:uid="{8C667116-9DF8-4036-B595-81F5175C5722}"/>
    <cellStyle name="Currency 5 2 6 3 4" xfId="9703" xr:uid="{50005A99-65C5-4AAA-9ABE-06EA8B29D14A}"/>
    <cellStyle name="Currency 5 2 6 3 5" xfId="18139" xr:uid="{2727E8FF-4E59-4D79-8D2B-16519A9C6E12}"/>
    <cellStyle name="Currency 5 2 6 4" xfId="1584" xr:uid="{00000000-0005-0000-0000-0000710C0000}"/>
    <cellStyle name="Currency 5 2 6 4 2" xfId="3814" xr:uid="{00000000-0005-0000-0000-0000720C0000}"/>
    <cellStyle name="Currency 5 2 6 4 2 2" xfId="8037" xr:uid="{00000000-0005-0000-0000-0000730C0000}"/>
    <cellStyle name="Currency 5 2 6 4 2 2 2" xfId="16479" xr:uid="{BDE8316F-5D73-4FBB-B029-C89FCF89C917}"/>
    <cellStyle name="Currency 5 2 6 4 2 2 3" xfId="24914" xr:uid="{00483B3C-6963-4E1C-A80C-A21AB7CBB139}"/>
    <cellStyle name="Currency 5 2 6 4 2 3" xfId="12261" xr:uid="{FA4B1425-BB15-4ED3-B23F-4E9AFE36D72A}"/>
    <cellStyle name="Currency 5 2 6 4 2 4" xfId="20697" xr:uid="{5D91F4F2-DEA1-4536-8B37-B8F9138876B0}"/>
    <cellStyle name="Currency 5 2 6 4 3" xfId="5892" xr:uid="{00000000-0005-0000-0000-0000740C0000}"/>
    <cellStyle name="Currency 5 2 6 4 3 2" xfId="14334" xr:uid="{CC390726-0E0E-45C8-953F-7978DD148FFD}"/>
    <cellStyle name="Currency 5 2 6 4 3 3" xfId="22769" xr:uid="{9AB577ED-80A1-4D6C-8CD8-0307EE09616B}"/>
    <cellStyle name="Currency 5 2 6 4 4" xfId="10116" xr:uid="{ADA84A15-C445-4334-847E-F2476E195B31}"/>
    <cellStyle name="Currency 5 2 6 4 5" xfId="18552" xr:uid="{4CA87F66-83B8-43D6-9CE1-AA7B70E11906}"/>
    <cellStyle name="Currency 5 2 6 5" xfId="1998" xr:uid="{00000000-0005-0000-0000-0000750C0000}"/>
    <cellStyle name="Currency 5 2 6 5 2" xfId="4227" xr:uid="{00000000-0005-0000-0000-0000760C0000}"/>
    <cellStyle name="Currency 5 2 6 5 2 2" xfId="8450" xr:uid="{00000000-0005-0000-0000-0000770C0000}"/>
    <cellStyle name="Currency 5 2 6 5 2 2 2" xfId="16892" xr:uid="{A10A45F9-2791-4B69-B29D-28E1009CD775}"/>
    <cellStyle name="Currency 5 2 6 5 2 2 3" xfId="25327" xr:uid="{8C35149E-6377-4761-A8D7-0F9076CAA066}"/>
    <cellStyle name="Currency 5 2 6 5 2 3" xfId="12674" xr:uid="{62F042C1-6953-4179-BDEB-AD1CE8E53185}"/>
    <cellStyle name="Currency 5 2 6 5 2 4" xfId="21110" xr:uid="{33F3575B-8296-4CBE-9F77-D660CD797EFA}"/>
    <cellStyle name="Currency 5 2 6 5 3" xfId="6305" xr:uid="{00000000-0005-0000-0000-0000780C0000}"/>
    <cellStyle name="Currency 5 2 6 5 3 2" xfId="14747" xr:uid="{EF90B413-5E5E-437E-8450-C90A07A57720}"/>
    <cellStyle name="Currency 5 2 6 5 3 3" xfId="23182" xr:uid="{E2CC0862-1EA7-4D51-A5E0-BD8C07600CD1}"/>
    <cellStyle name="Currency 5 2 6 5 4" xfId="10529" xr:uid="{5AE60877-020A-4DC3-A64B-5EE4724F46E1}"/>
    <cellStyle name="Currency 5 2 6 5 5" xfId="18965" xr:uid="{EBE74177-89E4-4D15-BED1-22E7DDD6A5C7}"/>
    <cellStyle name="Currency 5 2 6 6" xfId="2433" xr:uid="{00000000-0005-0000-0000-0000790C0000}"/>
    <cellStyle name="Currency 5 2 6 6 2" xfId="6718" xr:uid="{00000000-0005-0000-0000-00007A0C0000}"/>
    <cellStyle name="Currency 5 2 6 6 2 2" xfId="15160" xr:uid="{B38EFC87-0774-4955-8E33-1ED6AC82AA22}"/>
    <cellStyle name="Currency 5 2 6 6 2 3" xfId="23595" xr:uid="{608AB85A-9D13-412A-B157-B744040C2699}"/>
    <cellStyle name="Currency 5 2 6 6 3" xfId="10942" xr:uid="{1FB0EE2D-49F5-463A-9128-98051C996DB9}"/>
    <cellStyle name="Currency 5 2 6 6 4" xfId="19378" xr:uid="{06AC2075-7124-40BE-A0C7-25387657BE57}"/>
    <cellStyle name="Currency 5 2 6 7" xfId="2730" xr:uid="{00000000-0005-0000-0000-00007B0C0000}"/>
    <cellStyle name="Currency 5 2 6 8" xfId="2811" xr:uid="{00000000-0005-0000-0000-00007C0C0000}"/>
    <cellStyle name="Currency 5 2 6 8 2" xfId="7035" xr:uid="{00000000-0005-0000-0000-00007D0C0000}"/>
    <cellStyle name="Currency 5 2 6 8 2 2" xfId="15477" xr:uid="{54762BA8-516B-45DA-9F12-7892D128DBA5}"/>
    <cellStyle name="Currency 5 2 6 8 2 3" xfId="23912" xr:uid="{75DF5D10-9D24-4774-BFBC-18BC57C28CF1}"/>
    <cellStyle name="Currency 5 2 6 8 3" xfId="11259" xr:uid="{379F0E5B-40C8-476F-9842-2CC145834E63}"/>
    <cellStyle name="Currency 5 2 6 8 4" xfId="19695" xr:uid="{8CB43BF3-7298-4F03-B181-668F42EDED8B}"/>
    <cellStyle name="Currency 5 2 6 9" xfId="4652" xr:uid="{00000000-0005-0000-0000-00007E0C0000}"/>
    <cellStyle name="Currency 5 2 6 9 2" xfId="13094" xr:uid="{585A1C7F-BD55-4A49-A17F-3A79547FBAA0}"/>
    <cellStyle name="Currency 5 2 6 9 3" xfId="21529" xr:uid="{157AC9F2-66DF-426F-BA38-AB45D7F6DFAE}"/>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0 2 2" xfId="15478" xr:uid="{4A3A5DCA-CBC2-4E4B-AF64-C04459E1ED19}"/>
    <cellStyle name="Currency 5 3 2 10 2 3" xfId="23913" xr:uid="{14D7F395-4FCB-423A-B72F-73A1403996EE}"/>
    <cellStyle name="Currency 5 3 2 10 3" xfId="11260" xr:uid="{5C7B780E-72BD-4872-B56A-6E1338B2F7A1}"/>
    <cellStyle name="Currency 5 3 2 10 4" xfId="19696" xr:uid="{74B22CA4-E92B-407A-BF87-E7D05B80463C}"/>
    <cellStyle name="Currency 5 3 2 11" xfId="4653" xr:uid="{00000000-0005-0000-0000-0000840C0000}"/>
    <cellStyle name="Currency 5 3 2 11 2" xfId="13095" xr:uid="{C2D7A953-C9E5-4430-862E-069E3C4366C5}"/>
    <cellStyle name="Currency 5 3 2 11 3" xfId="21530" xr:uid="{02D3A3B3-7E17-4A1E-A519-5419BE655501}"/>
    <cellStyle name="Currency 5 3 2 12" xfId="8877" xr:uid="{FD529BB5-F964-4557-8519-CDC07B444986}"/>
    <cellStyle name="Currency 5 3 2 13" xfId="17313" xr:uid="{FD98C45B-76F1-4447-9469-16CD89FFD9CD}"/>
    <cellStyle name="Currency 5 3 2 2" xfId="211" xr:uid="{00000000-0005-0000-0000-0000850C0000}"/>
    <cellStyle name="Currency 5 3 2 2 10" xfId="4654" xr:uid="{00000000-0005-0000-0000-0000860C0000}"/>
    <cellStyle name="Currency 5 3 2 2 10 2" xfId="13096" xr:uid="{982CAAC3-2A31-4035-9BF3-6F41F979B763}"/>
    <cellStyle name="Currency 5 3 2 2 10 3" xfId="21531" xr:uid="{1829DD94-08ED-4867-88FE-55871B00481F}"/>
    <cellStyle name="Currency 5 3 2 2 11" xfId="8878" xr:uid="{8B1C1A40-6E9D-4E15-A2C5-60512EE95BA7}"/>
    <cellStyle name="Currency 5 3 2 2 12" xfId="17314" xr:uid="{AA06B03C-4D03-4A64-BDAA-E2C3CEAE09C8}"/>
    <cellStyle name="Currency 5 3 2 2 2" xfId="212" xr:uid="{00000000-0005-0000-0000-0000870C0000}"/>
    <cellStyle name="Currency 5 3 2 2 2 10" xfId="8879" xr:uid="{828BEE18-AEDC-4EBD-AB71-4A2BF73543DE}"/>
    <cellStyle name="Currency 5 3 2 2 2 11" xfId="17315" xr:uid="{18FC9C1E-DA8D-4CE0-A6E9-2348CE6D1BD2}"/>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2 2 2" xfId="15656" xr:uid="{9E053372-3445-48C3-8611-6D8573474B53}"/>
    <cellStyle name="Currency 5 3 2 2 2 2 2 2 3" xfId="24091" xr:uid="{522C529C-C73B-46C4-9C71-47BA58724688}"/>
    <cellStyle name="Currency 5 3 2 2 2 2 2 3" xfId="11438" xr:uid="{5E21EA97-2F7A-4342-B597-E08084F45AD7}"/>
    <cellStyle name="Currency 5 3 2 2 2 2 2 4" xfId="19874" xr:uid="{1109B831-3D82-4DEE-A3D1-9AC9AB1A7DAD}"/>
    <cellStyle name="Currency 5 3 2 2 2 2 3" xfId="5069" xr:uid="{00000000-0005-0000-0000-00008B0C0000}"/>
    <cellStyle name="Currency 5 3 2 2 2 2 3 2" xfId="13511" xr:uid="{7E03F5B8-583E-42A1-A5E1-7CCF9666C0FD}"/>
    <cellStyle name="Currency 5 3 2 2 2 2 3 3" xfId="21946" xr:uid="{69FCDA21-15E2-4B28-B988-36301AD4D3FD}"/>
    <cellStyle name="Currency 5 3 2 2 2 2 4" xfId="9293" xr:uid="{551BCCB9-5FA2-447F-B50C-363EF6E27AC0}"/>
    <cellStyle name="Currency 5 3 2 2 2 2 5" xfId="17729" xr:uid="{BA2234F7-F53C-4F1C-8C79-B3EBD8E3842C}"/>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2 2 2" xfId="16069" xr:uid="{4E4F3190-0184-4BFB-9DA2-C30E1B8E4F68}"/>
    <cellStyle name="Currency 5 3 2 2 2 3 2 2 3" xfId="24504" xr:uid="{5F76B942-BBBE-4E02-98A7-E3BAEAFB5437}"/>
    <cellStyle name="Currency 5 3 2 2 2 3 2 3" xfId="11851" xr:uid="{843A3457-DC4E-4077-9538-9213259D58A2}"/>
    <cellStyle name="Currency 5 3 2 2 2 3 2 4" xfId="20287" xr:uid="{B7E856B1-F8A2-4B9B-87C7-D69DB6FAF636}"/>
    <cellStyle name="Currency 5 3 2 2 2 3 3" xfId="5482" xr:uid="{00000000-0005-0000-0000-00008F0C0000}"/>
    <cellStyle name="Currency 5 3 2 2 2 3 3 2" xfId="13924" xr:uid="{C2B5C15A-F070-4DE9-BC6A-C7A858532033}"/>
    <cellStyle name="Currency 5 3 2 2 2 3 3 3" xfId="22359" xr:uid="{6871AE47-0C5E-4DEA-9CBB-8B5F23819AE8}"/>
    <cellStyle name="Currency 5 3 2 2 2 3 4" xfId="9706" xr:uid="{4BA97502-8D54-48B1-8082-D9C2773D3E97}"/>
    <cellStyle name="Currency 5 3 2 2 2 3 5" xfId="18142" xr:uid="{12F76E69-34A3-44B6-8A2E-622FE4EA333C}"/>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2 2 2" xfId="16482" xr:uid="{DBD13412-6635-46D8-9B52-3F44974BE1F1}"/>
    <cellStyle name="Currency 5 3 2 2 2 4 2 2 3" xfId="24917" xr:uid="{A3987E64-7FEC-4C73-AE4D-D0EA2C042C71}"/>
    <cellStyle name="Currency 5 3 2 2 2 4 2 3" xfId="12264" xr:uid="{D82ADC18-209D-4EFB-8B2A-2A206CF49D88}"/>
    <cellStyle name="Currency 5 3 2 2 2 4 2 4" xfId="20700" xr:uid="{6DBFABE5-2A08-426F-BE19-77D4C6186AE0}"/>
    <cellStyle name="Currency 5 3 2 2 2 4 3" xfId="5895" xr:uid="{00000000-0005-0000-0000-0000930C0000}"/>
    <cellStyle name="Currency 5 3 2 2 2 4 3 2" xfId="14337" xr:uid="{9D1C2294-0768-484C-84CE-CAF9568C2209}"/>
    <cellStyle name="Currency 5 3 2 2 2 4 3 3" xfId="22772" xr:uid="{F00609AC-A66D-44AF-88F4-9CED4F964A15}"/>
    <cellStyle name="Currency 5 3 2 2 2 4 4" xfId="10119" xr:uid="{CD871EA4-ABBC-46E7-B3B7-8BEE0593217D}"/>
    <cellStyle name="Currency 5 3 2 2 2 4 5" xfId="18555" xr:uid="{B085CB21-7E39-4CA0-971A-9FA3927D6E0D}"/>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2 2 2" xfId="16895" xr:uid="{7CE0B8AB-B726-4EFA-950C-5B03071A9B19}"/>
    <cellStyle name="Currency 5 3 2 2 2 5 2 2 3" xfId="25330" xr:uid="{9FEA0F9B-4F56-4AA9-97C4-59C894026985}"/>
    <cellStyle name="Currency 5 3 2 2 2 5 2 3" xfId="12677" xr:uid="{D56FF12C-5D4A-4467-9CAE-E7A67A0552E8}"/>
    <cellStyle name="Currency 5 3 2 2 2 5 2 4" xfId="21113" xr:uid="{38BE308C-A0FF-4ECA-B45F-3601E762B836}"/>
    <cellStyle name="Currency 5 3 2 2 2 5 3" xfId="6308" xr:uid="{00000000-0005-0000-0000-0000970C0000}"/>
    <cellStyle name="Currency 5 3 2 2 2 5 3 2" xfId="14750" xr:uid="{087B3976-8A25-4A73-886D-7B474911B755}"/>
    <cellStyle name="Currency 5 3 2 2 2 5 3 3" xfId="23185" xr:uid="{F7E8E50E-6C14-470E-B08B-8B3EC86A4237}"/>
    <cellStyle name="Currency 5 3 2 2 2 5 4" xfId="10532" xr:uid="{402092BF-0643-4772-8934-533C03DD3DBE}"/>
    <cellStyle name="Currency 5 3 2 2 2 5 5" xfId="18968" xr:uid="{82A50AF5-A418-489F-9E41-B4DAE7421A69}"/>
    <cellStyle name="Currency 5 3 2 2 2 6" xfId="2436" xr:uid="{00000000-0005-0000-0000-0000980C0000}"/>
    <cellStyle name="Currency 5 3 2 2 2 6 2" xfId="6721" xr:uid="{00000000-0005-0000-0000-0000990C0000}"/>
    <cellStyle name="Currency 5 3 2 2 2 6 2 2" xfId="15163" xr:uid="{A7C221D6-2823-4668-82FC-587D7EE8F670}"/>
    <cellStyle name="Currency 5 3 2 2 2 6 2 3" xfId="23598" xr:uid="{537A3BBF-EC1D-4991-8BE5-0D9BA53BAB53}"/>
    <cellStyle name="Currency 5 3 2 2 2 6 3" xfId="10945" xr:uid="{DD3DF46C-4A08-4531-9956-74A80D58F315}"/>
    <cellStyle name="Currency 5 3 2 2 2 6 4" xfId="19381" xr:uid="{5A367F96-46D3-4024-A7E7-4BE9C7B2786A}"/>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8 2 2" xfId="15480" xr:uid="{4234BC59-76F4-4206-8B4C-3788D8427667}"/>
    <cellStyle name="Currency 5 3 2 2 2 8 2 3" xfId="23915" xr:uid="{3DC2C7E3-B451-438B-9B8B-4A9A1978C1F4}"/>
    <cellStyle name="Currency 5 3 2 2 2 8 3" xfId="11262" xr:uid="{D0810DBF-1F16-4FE2-9CC4-5287DD177E78}"/>
    <cellStyle name="Currency 5 3 2 2 2 8 4" xfId="19698" xr:uid="{32490AC2-9F33-4091-9B9D-1BC0B50F8A08}"/>
    <cellStyle name="Currency 5 3 2 2 2 9" xfId="4655" xr:uid="{00000000-0005-0000-0000-00009D0C0000}"/>
    <cellStyle name="Currency 5 3 2 2 2 9 2" xfId="13097" xr:uid="{E0F582BE-F8DE-4EAB-85F6-47CFB4ED1C19}"/>
    <cellStyle name="Currency 5 3 2 2 2 9 3" xfId="21532" xr:uid="{9C0FBABF-BB48-4476-9073-7E9CB7C6D291}"/>
    <cellStyle name="Currency 5 3 2 2 3" xfId="737" xr:uid="{00000000-0005-0000-0000-00009E0C0000}"/>
    <cellStyle name="Currency 5 3 2 2 3 2" xfId="2990" xr:uid="{00000000-0005-0000-0000-00009F0C0000}"/>
    <cellStyle name="Currency 5 3 2 2 3 2 2" xfId="7213" xr:uid="{00000000-0005-0000-0000-0000A00C0000}"/>
    <cellStyle name="Currency 5 3 2 2 3 2 2 2" xfId="15655" xr:uid="{5B3CA039-D9A0-48B2-A7C1-124BB0279C1D}"/>
    <cellStyle name="Currency 5 3 2 2 3 2 2 3" xfId="24090" xr:uid="{081FA9BB-6ACF-4CB2-8C92-361C0A2E4185}"/>
    <cellStyle name="Currency 5 3 2 2 3 2 3" xfId="11437" xr:uid="{2276F99B-30B6-49D3-B868-C013AACC5600}"/>
    <cellStyle name="Currency 5 3 2 2 3 2 4" xfId="19873" xr:uid="{B15734DE-8DAE-4BB6-BA71-ABF19767E291}"/>
    <cellStyle name="Currency 5 3 2 2 3 3" xfId="5068" xr:uid="{00000000-0005-0000-0000-0000A10C0000}"/>
    <cellStyle name="Currency 5 3 2 2 3 3 2" xfId="13510" xr:uid="{B06EA5BB-4117-462A-9BBD-17B5E26318C5}"/>
    <cellStyle name="Currency 5 3 2 2 3 3 3" xfId="21945" xr:uid="{6F113140-A23B-4E45-8AD2-BCEAFAFB677A}"/>
    <cellStyle name="Currency 5 3 2 2 3 4" xfId="9292" xr:uid="{7FC73A03-C24D-49AE-B128-5687A4B71B52}"/>
    <cellStyle name="Currency 5 3 2 2 3 5" xfId="17728" xr:uid="{32D760B8-BDD1-477C-83E4-EBE97AFF3AE6}"/>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2 2 2" xfId="16068" xr:uid="{534CCDEC-5C14-4DA5-8442-E57217BAF1B1}"/>
    <cellStyle name="Currency 5 3 2 2 4 2 2 3" xfId="24503" xr:uid="{1A8F4B15-3D33-43DE-897C-A32B395519C5}"/>
    <cellStyle name="Currency 5 3 2 2 4 2 3" xfId="11850" xr:uid="{BD6B0630-607C-4D80-BBDB-EB840C4E6C63}"/>
    <cellStyle name="Currency 5 3 2 2 4 2 4" xfId="20286" xr:uid="{BB1406DF-341D-4E2B-A734-57CF011A24AF}"/>
    <cellStyle name="Currency 5 3 2 2 4 3" xfId="5481" xr:uid="{00000000-0005-0000-0000-0000A50C0000}"/>
    <cellStyle name="Currency 5 3 2 2 4 3 2" xfId="13923" xr:uid="{8B1A8DCA-11FF-450C-9BD3-86056AA7922D}"/>
    <cellStyle name="Currency 5 3 2 2 4 3 3" xfId="22358" xr:uid="{0972D77F-1E97-4C54-AB73-41940B47D157}"/>
    <cellStyle name="Currency 5 3 2 2 4 4" xfId="9705" xr:uid="{0D30BCB0-F9F5-4144-9026-E743C8C7EB90}"/>
    <cellStyle name="Currency 5 3 2 2 4 5" xfId="18141" xr:uid="{46715F4A-D41F-4378-8CAE-49E2AA975808}"/>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2 2 2" xfId="16481" xr:uid="{E42B30D5-2600-4239-B0D2-F796AFEE3217}"/>
    <cellStyle name="Currency 5 3 2 2 5 2 2 3" xfId="24916" xr:uid="{E1ABE7A9-18C2-4C71-A5F6-78420C818266}"/>
    <cellStyle name="Currency 5 3 2 2 5 2 3" xfId="12263" xr:uid="{D0101A8E-F78B-4D2E-A934-2587940C2851}"/>
    <cellStyle name="Currency 5 3 2 2 5 2 4" xfId="20699" xr:uid="{2170379E-9847-4CDA-98D6-B48DB1F37C4C}"/>
    <cellStyle name="Currency 5 3 2 2 5 3" xfId="5894" xr:uid="{00000000-0005-0000-0000-0000A90C0000}"/>
    <cellStyle name="Currency 5 3 2 2 5 3 2" xfId="14336" xr:uid="{22C6CA46-0CAE-484E-A764-541F4FA12236}"/>
    <cellStyle name="Currency 5 3 2 2 5 3 3" xfId="22771" xr:uid="{C5A983FF-0A78-4D41-B9EE-2294F80E2D39}"/>
    <cellStyle name="Currency 5 3 2 2 5 4" xfId="10118" xr:uid="{D55EB891-6590-4586-A9F5-5BB28E802A97}"/>
    <cellStyle name="Currency 5 3 2 2 5 5" xfId="18554" xr:uid="{526B061C-DCBA-4E7E-AC11-B85B708A472D}"/>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2 2 2" xfId="16894" xr:uid="{7CF19C56-E2CB-4C1F-B876-E16A53DAC995}"/>
    <cellStyle name="Currency 5 3 2 2 6 2 2 3" xfId="25329" xr:uid="{C988DE3D-736C-4B32-9F49-58AB21D5F98C}"/>
    <cellStyle name="Currency 5 3 2 2 6 2 3" xfId="12676" xr:uid="{47954B5D-64CA-4FF7-A6C8-774A12CFEFE2}"/>
    <cellStyle name="Currency 5 3 2 2 6 2 4" xfId="21112" xr:uid="{873982B7-7FB0-4472-9BD4-15BB8C2BC6C4}"/>
    <cellStyle name="Currency 5 3 2 2 6 3" xfId="6307" xr:uid="{00000000-0005-0000-0000-0000AD0C0000}"/>
    <cellStyle name="Currency 5 3 2 2 6 3 2" xfId="14749" xr:uid="{7993F40A-7421-4A7F-A7F3-52ABED3E3AE7}"/>
    <cellStyle name="Currency 5 3 2 2 6 3 3" xfId="23184" xr:uid="{8BB6390B-48D9-414C-80D4-8A920425E7D4}"/>
    <cellStyle name="Currency 5 3 2 2 6 4" xfId="10531" xr:uid="{FD83B199-7330-44CF-B5DF-45CAF82CAD2D}"/>
    <cellStyle name="Currency 5 3 2 2 6 5" xfId="18967" xr:uid="{F117A150-8DD1-4354-A56C-70DDFA1E24EA}"/>
    <cellStyle name="Currency 5 3 2 2 7" xfId="2435" xr:uid="{00000000-0005-0000-0000-0000AE0C0000}"/>
    <cellStyle name="Currency 5 3 2 2 7 2" xfId="6720" xr:uid="{00000000-0005-0000-0000-0000AF0C0000}"/>
    <cellStyle name="Currency 5 3 2 2 7 2 2" xfId="15162" xr:uid="{F62704D7-73E9-46DF-B90A-E18068A59F08}"/>
    <cellStyle name="Currency 5 3 2 2 7 2 3" xfId="23597" xr:uid="{186C6D79-C8EF-4C53-8A8A-505A1732076E}"/>
    <cellStyle name="Currency 5 3 2 2 7 3" xfId="10944" xr:uid="{536837A3-0FC5-4BC2-8E55-C235E683CDCE}"/>
    <cellStyle name="Currency 5 3 2 2 7 4" xfId="19380" xr:uid="{2B0BFA8F-A295-4936-B9B8-F0EDD37130FC}"/>
    <cellStyle name="Currency 5 3 2 2 8" xfId="2732" xr:uid="{00000000-0005-0000-0000-0000B00C0000}"/>
    <cellStyle name="Currency 5 3 2 2 9" xfId="2813" xr:uid="{00000000-0005-0000-0000-0000B10C0000}"/>
    <cellStyle name="Currency 5 3 2 2 9 2" xfId="7037" xr:uid="{00000000-0005-0000-0000-0000B20C0000}"/>
    <cellStyle name="Currency 5 3 2 2 9 2 2" xfId="15479" xr:uid="{F607E93D-E85C-4AC7-B66E-E8578A16B385}"/>
    <cellStyle name="Currency 5 3 2 2 9 2 3" xfId="23914" xr:uid="{FAD08B53-B586-4909-9332-74222BF24192}"/>
    <cellStyle name="Currency 5 3 2 2 9 3" xfId="11261" xr:uid="{7E42B410-814A-4817-895A-A35613F74574}"/>
    <cellStyle name="Currency 5 3 2 2 9 4" xfId="19697" xr:uid="{9A93F1DB-BF02-4C9C-A924-E381319103F9}"/>
    <cellStyle name="Currency 5 3 2 3" xfId="213" xr:uid="{00000000-0005-0000-0000-0000B30C0000}"/>
    <cellStyle name="Currency 5 3 2 3 10" xfId="8880" xr:uid="{CDD5755F-26EF-42BE-8192-E63CDD3B0279}"/>
    <cellStyle name="Currency 5 3 2 3 11" xfId="17316" xr:uid="{B6614F74-EDE0-400C-BA06-C496549EF7EF}"/>
    <cellStyle name="Currency 5 3 2 3 2" xfId="739" xr:uid="{00000000-0005-0000-0000-0000B40C0000}"/>
    <cellStyle name="Currency 5 3 2 3 2 2" xfId="2992" xr:uid="{00000000-0005-0000-0000-0000B50C0000}"/>
    <cellStyle name="Currency 5 3 2 3 2 2 2" xfId="7215" xr:uid="{00000000-0005-0000-0000-0000B60C0000}"/>
    <cellStyle name="Currency 5 3 2 3 2 2 2 2" xfId="15657" xr:uid="{084A19DB-C8CE-4352-922F-EEEEDC1192B6}"/>
    <cellStyle name="Currency 5 3 2 3 2 2 2 3" xfId="24092" xr:uid="{D71717F2-D956-480B-BE04-CFF1AAEDF352}"/>
    <cellStyle name="Currency 5 3 2 3 2 2 3" xfId="11439" xr:uid="{0FB72F0E-AC0A-40D3-B5EC-651A1DF32ACD}"/>
    <cellStyle name="Currency 5 3 2 3 2 2 4" xfId="19875" xr:uid="{102160C6-0172-4092-A505-1C949B17B7BA}"/>
    <cellStyle name="Currency 5 3 2 3 2 3" xfId="5070" xr:uid="{00000000-0005-0000-0000-0000B70C0000}"/>
    <cellStyle name="Currency 5 3 2 3 2 3 2" xfId="13512" xr:uid="{E3C289C2-9A46-4737-B7D6-78D5BDD7F08A}"/>
    <cellStyle name="Currency 5 3 2 3 2 3 3" xfId="21947" xr:uid="{39CF620E-F752-4191-880F-EAF6BE62616F}"/>
    <cellStyle name="Currency 5 3 2 3 2 4" xfId="9294" xr:uid="{58DF692B-D9A0-43B7-903D-B57669778DB7}"/>
    <cellStyle name="Currency 5 3 2 3 2 5" xfId="17730" xr:uid="{9453C251-40DF-436D-9E67-DF56C4C1B947}"/>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2 2 2" xfId="16070" xr:uid="{ED95205E-2554-40D1-B98D-40F80C9B61ED}"/>
    <cellStyle name="Currency 5 3 2 3 3 2 2 3" xfId="24505" xr:uid="{228C8642-CD95-4DCE-85BF-3C691D317AF9}"/>
    <cellStyle name="Currency 5 3 2 3 3 2 3" xfId="11852" xr:uid="{0B4C5BE0-25EB-45AE-9BB9-3F98506309DB}"/>
    <cellStyle name="Currency 5 3 2 3 3 2 4" xfId="20288" xr:uid="{8C43C474-ED3B-4FFC-B147-3A1C23CEDD5D}"/>
    <cellStyle name="Currency 5 3 2 3 3 3" xfId="5483" xr:uid="{00000000-0005-0000-0000-0000BB0C0000}"/>
    <cellStyle name="Currency 5 3 2 3 3 3 2" xfId="13925" xr:uid="{17EDDBD3-87FF-49AC-A105-1DEA57F5D804}"/>
    <cellStyle name="Currency 5 3 2 3 3 3 3" xfId="22360" xr:uid="{A369AF1A-C8AB-47DA-91C9-2AA43D7FA7B4}"/>
    <cellStyle name="Currency 5 3 2 3 3 4" xfId="9707" xr:uid="{E29BDC61-5A11-4A6F-BA3C-A958E80B7552}"/>
    <cellStyle name="Currency 5 3 2 3 3 5" xfId="18143" xr:uid="{A107A46E-BEAF-44AC-86E8-4CC484FA59FC}"/>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2 2 2" xfId="16483" xr:uid="{5F07ECE3-C017-494D-A56A-720121364CDA}"/>
    <cellStyle name="Currency 5 3 2 3 4 2 2 3" xfId="24918" xr:uid="{B016EDB6-27DB-474E-9894-062B5A25A315}"/>
    <cellStyle name="Currency 5 3 2 3 4 2 3" xfId="12265" xr:uid="{24C97190-FC5F-443B-8564-9C4D39195576}"/>
    <cellStyle name="Currency 5 3 2 3 4 2 4" xfId="20701" xr:uid="{0EF5AD4D-4BCD-4070-94DE-988F6DCCB2B0}"/>
    <cellStyle name="Currency 5 3 2 3 4 3" xfId="5896" xr:uid="{00000000-0005-0000-0000-0000BF0C0000}"/>
    <cellStyle name="Currency 5 3 2 3 4 3 2" xfId="14338" xr:uid="{4110B6F7-C99C-4FAC-A918-2F216D17CB28}"/>
    <cellStyle name="Currency 5 3 2 3 4 3 3" xfId="22773" xr:uid="{20AE89D3-751A-49A8-941B-D4D0E91C1D79}"/>
    <cellStyle name="Currency 5 3 2 3 4 4" xfId="10120" xr:uid="{5135157B-982C-4662-BB72-56FB3F2674EB}"/>
    <cellStyle name="Currency 5 3 2 3 4 5" xfId="18556" xr:uid="{FA3999FF-031A-4277-B449-974E779B7281}"/>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2 2 2" xfId="16896" xr:uid="{F407625F-4CBA-4779-A59C-321D53EE39BE}"/>
    <cellStyle name="Currency 5 3 2 3 5 2 2 3" xfId="25331" xr:uid="{5570CDAF-16F3-41D7-A3AD-E44C7F5DDCB3}"/>
    <cellStyle name="Currency 5 3 2 3 5 2 3" xfId="12678" xr:uid="{DA765567-C938-4AF5-B3FA-C247825758F9}"/>
    <cellStyle name="Currency 5 3 2 3 5 2 4" xfId="21114" xr:uid="{1915A2DD-2A47-4904-A2AB-B67FCD24512D}"/>
    <cellStyle name="Currency 5 3 2 3 5 3" xfId="6309" xr:uid="{00000000-0005-0000-0000-0000C30C0000}"/>
    <cellStyle name="Currency 5 3 2 3 5 3 2" xfId="14751" xr:uid="{463D94AD-9893-408F-8245-E57B1772E377}"/>
    <cellStyle name="Currency 5 3 2 3 5 3 3" xfId="23186" xr:uid="{AE5F3932-D193-410F-937F-9ABF442CAE28}"/>
    <cellStyle name="Currency 5 3 2 3 5 4" xfId="10533" xr:uid="{1E0DAF81-8EAA-4FEA-9151-C5CB6C860A7C}"/>
    <cellStyle name="Currency 5 3 2 3 5 5" xfId="18969" xr:uid="{58FFA1D6-DB30-4561-97FB-411F0E4557B3}"/>
    <cellStyle name="Currency 5 3 2 3 6" xfId="2437" xr:uid="{00000000-0005-0000-0000-0000C40C0000}"/>
    <cellStyle name="Currency 5 3 2 3 6 2" xfId="6722" xr:uid="{00000000-0005-0000-0000-0000C50C0000}"/>
    <cellStyle name="Currency 5 3 2 3 6 2 2" xfId="15164" xr:uid="{F656E3C5-9586-4F19-90D8-7A8932D9581A}"/>
    <cellStyle name="Currency 5 3 2 3 6 2 3" xfId="23599" xr:uid="{F1E26877-C152-421E-983D-74A33F9C92F0}"/>
    <cellStyle name="Currency 5 3 2 3 6 3" xfId="10946" xr:uid="{BF4B342D-719F-4E34-8E6A-F70D0750F3D2}"/>
    <cellStyle name="Currency 5 3 2 3 6 4" xfId="19382" xr:uid="{95ABC657-0737-4B39-B676-6AF6B93EAED6}"/>
    <cellStyle name="Currency 5 3 2 3 7" xfId="2734" xr:uid="{00000000-0005-0000-0000-0000C60C0000}"/>
    <cellStyle name="Currency 5 3 2 3 8" xfId="2815" xr:uid="{00000000-0005-0000-0000-0000C70C0000}"/>
    <cellStyle name="Currency 5 3 2 3 8 2" xfId="7039" xr:uid="{00000000-0005-0000-0000-0000C80C0000}"/>
    <cellStyle name="Currency 5 3 2 3 8 2 2" xfId="15481" xr:uid="{58373307-86FD-46F8-A7EF-BE5E0C583935}"/>
    <cellStyle name="Currency 5 3 2 3 8 2 3" xfId="23916" xr:uid="{29E27ED5-B1FD-472F-92EF-834F776286B9}"/>
    <cellStyle name="Currency 5 3 2 3 8 3" xfId="11263" xr:uid="{9657E014-3353-4034-9438-F5B45215655B}"/>
    <cellStyle name="Currency 5 3 2 3 8 4" xfId="19699" xr:uid="{FB5FA282-E70B-4AF0-AF92-87E533617612}"/>
    <cellStyle name="Currency 5 3 2 3 9" xfId="4656" xr:uid="{00000000-0005-0000-0000-0000C90C0000}"/>
    <cellStyle name="Currency 5 3 2 3 9 2" xfId="13098" xr:uid="{7D9BB5D2-1334-4A04-A7DE-97C5D7F71939}"/>
    <cellStyle name="Currency 5 3 2 3 9 3" xfId="21533" xr:uid="{1FBC2687-C3D4-45ED-B45A-F4183B5AAF12}"/>
    <cellStyle name="Currency 5 3 2 4" xfId="736" xr:uid="{00000000-0005-0000-0000-0000CA0C0000}"/>
    <cellStyle name="Currency 5 3 2 4 2" xfId="2989" xr:uid="{00000000-0005-0000-0000-0000CB0C0000}"/>
    <cellStyle name="Currency 5 3 2 4 2 2" xfId="7212" xr:uid="{00000000-0005-0000-0000-0000CC0C0000}"/>
    <cellStyle name="Currency 5 3 2 4 2 2 2" xfId="15654" xr:uid="{ADD60FA7-AF79-4850-8466-42987E4FD5C0}"/>
    <cellStyle name="Currency 5 3 2 4 2 2 3" xfId="24089" xr:uid="{AABB13A0-167C-4CF2-B05B-FC9C03A371B6}"/>
    <cellStyle name="Currency 5 3 2 4 2 3" xfId="11436" xr:uid="{7814359B-9011-4065-8E23-77FBD870C978}"/>
    <cellStyle name="Currency 5 3 2 4 2 4" xfId="19872" xr:uid="{9DDD2957-EC16-4013-881E-DE9938A8CC95}"/>
    <cellStyle name="Currency 5 3 2 4 3" xfId="5067" xr:uid="{00000000-0005-0000-0000-0000CD0C0000}"/>
    <cellStyle name="Currency 5 3 2 4 3 2" xfId="13509" xr:uid="{F092CC06-31E4-4780-B7AA-B81C961286EB}"/>
    <cellStyle name="Currency 5 3 2 4 3 3" xfId="21944" xr:uid="{B6F62E6A-7DB4-4B19-BF34-0CA1BCD7A81A}"/>
    <cellStyle name="Currency 5 3 2 4 4" xfId="9291" xr:uid="{18C5BCEE-434D-4939-9AF8-455920D8275C}"/>
    <cellStyle name="Currency 5 3 2 4 5" xfId="17727" xr:uid="{9DB9AD3F-AA72-456B-AF79-302C803C1071}"/>
    <cellStyle name="Currency 5 3 2 5" xfId="1171" xr:uid="{00000000-0005-0000-0000-0000CE0C0000}"/>
    <cellStyle name="Currency 5 3 2 5 2" xfId="3402" xr:uid="{00000000-0005-0000-0000-0000CF0C0000}"/>
    <cellStyle name="Currency 5 3 2 5 2 2" xfId="7625" xr:uid="{00000000-0005-0000-0000-0000D00C0000}"/>
    <cellStyle name="Currency 5 3 2 5 2 2 2" xfId="16067" xr:uid="{CCC57279-BA17-4AB4-A424-441250958046}"/>
    <cellStyle name="Currency 5 3 2 5 2 2 3" xfId="24502" xr:uid="{CA1457DC-FE76-4AFC-BA0C-544BB139FBCE}"/>
    <cellStyle name="Currency 5 3 2 5 2 3" xfId="11849" xr:uid="{AD4F5135-8F2E-417A-9AC8-1CF12886BA27}"/>
    <cellStyle name="Currency 5 3 2 5 2 4" xfId="20285" xr:uid="{7559A51F-94EB-48E2-B846-D5E99C6F1732}"/>
    <cellStyle name="Currency 5 3 2 5 3" xfId="5480" xr:uid="{00000000-0005-0000-0000-0000D10C0000}"/>
    <cellStyle name="Currency 5 3 2 5 3 2" xfId="13922" xr:uid="{45F5CB4A-C571-46A4-9E15-715B81CF6F89}"/>
    <cellStyle name="Currency 5 3 2 5 3 3" xfId="22357" xr:uid="{08944A89-081D-46F2-9E0C-42145D55323A}"/>
    <cellStyle name="Currency 5 3 2 5 4" xfId="9704" xr:uid="{AC4ECF2D-5DD8-4A4F-BE19-F7420879A32C}"/>
    <cellStyle name="Currency 5 3 2 5 5" xfId="18140" xr:uid="{0997FF2F-3A17-4177-BEED-245854DB3399}"/>
    <cellStyle name="Currency 5 3 2 6" xfId="1585" xr:uid="{00000000-0005-0000-0000-0000D20C0000}"/>
    <cellStyle name="Currency 5 3 2 6 2" xfId="3815" xr:uid="{00000000-0005-0000-0000-0000D30C0000}"/>
    <cellStyle name="Currency 5 3 2 6 2 2" xfId="8038" xr:uid="{00000000-0005-0000-0000-0000D40C0000}"/>
    <cellStyle name="Currency 5 3 2 6 2 2 2" xfId="16480" xr:uid="{4F5B4714-BB6F-4F49-9CD6-EAC36D04DD30}"/>
    <cellStyle name="Currency 5 3 2 6 2 2 3" xfId="24915" xr:uid="{CB4374F4-04AF-4727-BCEC-7F3A20E95948}"/>
    <cellStyle name="Currency 5 3 2 6 2 3" xfId="12262" xr:uid="{C5CDCE88-C018-448F-9933-CB8D335925CC}"/>
    <cellStyle name="Currency 5 3 2 6 2 4" xfId="20698" xr:uid="{81921646-A7BB-40AD-B415-618A1A839305}"/>
    <cellStyle name="Currency 5 3 2 6 3" xfId="5893" xr:uid="{00000000-0005-0000-0000-0000D50C0000}"/>
    <cellStyle name="Currency 5 3 2 6 3 2" xfId="14335" xr:uid="{159AD777-C06E-4518-8229-17250E19D296}"/>
    <cellStyle name="Currency 5 3 2 6 3 3" xfId="22770" xr:uid="{B8A9FD31-4FD0-4643-8BC4-71248AF19B8B}"/>
    <cellStyle name="Currency 5 3 2 6 4" xfId="10117" xr:uid="{BDCEE93F-E9E8-49D1-BA0C-231A621AF6A5}"/>
    <cellStyle name="Currency 5 3 2 6 5" xfId="18553" xr:uid="{B9DBDA9E-45A7-494B-A86F-71E9E55144FA}"/>
    <cellStyle name="Currency 5 3 2 7" xfId="1999" xr:uid="{00000000-0005-0000-0000-0000D60C0000}"/>
    <cellStyle name="Currency 5 3 2 7 2" xfId="4228" xr:uid="{00000000-0005-0000-0000-0000D70C0000}"/>
    <cellStyle name="Currency 5 3 2 7 2 2" xfId="8451" xr:uid="{00000000-0005-0000-0000-0000D80C0000}"/>
    <cellStyle name="Currency 5 3 2 7 2 2 2" xfId="16893" xr:uid="{CD368F0D-D073-4E39-AE0A-E7C84E91C7AA}"/>
    <cellStyle name="Currency 5 3 2 7 2 2 3" xfId="25328" xr:uid="{F666080E-596D-4C8F-B337-3A42035D42E8}"/>
    <cellStyle name="Currency 5 3 2 7 2 3" xfId="12675" xr:uid="{16B734CE-3E37-4F8A-BB71-B44FDDACA200}"/>
    <cellStyle name="Currency 5 3 2 7 2 4" xfId="21111" xr:uid="{07AE0C76-73F8-45CA-B0E5-414D69C459CD}"/>
    <cellStyle name="Currency 5 3 2 7 3" xfId="6306" xr:uid="{00000000-0005-0000-0000-0000D90C0000}"/>
    <cellStyle name="Currency 5 3 2 7 3 2" xfId="14748" xr:uid="{03B119E6-DEF8-44FC-8CA1-91C4EDB07EDA}"/>
    <cellStyle name="Currency 5 3 2 7 3 3" xfId="23183" xr:uid="{DED5E67F-F9BC-41C9-9124-66DC8DB08CA8}"/>
    <cellStyle name="Currency 5 3 2 7 4" xfId="10530" xr:uid="{D769A3BD-A824-48D9-9EFB-84CD29D08FEB}"/>
    <cellStyle name="Currency 5 3 2 7 5" xfId="18966" xr:uid="{6099A0E0-EE13-461B-ABBE-9BAFF85BBAC5}"/>
    <cellStyle name="Currency 5 3 2 8" xfId="2434" xr:uid="{00000000-0005-0000-0000-0000DA0C0000}"/>
    <cellStyle name="Currency 5 3 2 8 2" xfId="6719" xr:uid="{00000000-0005-0000-0000-0000DB0C0000}"/>
    <cellStyle name="Currency 5 3 2 8 2 2" xfId="15161" xr:uid="{41F0F51D-9D36-462A-8800-47B391F3AC08}"/>
    <cellStyle name="Currency 5 3 2 8 2 3" xfId="23596" xr:uid="{6AA58860-F9C3-4CD6-B51F-593EC63F157A}"/>
    <cellStyle name="Currency 5 3 2 8 3" xfId="10943" xr:uid="{7BD8C3FD-559B-4F86-98D8-0FB42FD081C7}"/>
    <cellStyle name="Currency 5 3 2 8 4" xfId="19379" xr:uid="{39249542-E979-4F8A-8980-23FD96A455E5}"/>
    <cellStyle name="Currency 5 3 2 9" xfId="2731" xr:uid="{00000000-0005-0000-0000-0000DC0C0000}"/>
    <cellStyle name="Currency 5 3 3" xfId="214" xr:uid="{00000000-0005-0000-0000-0000DD0C0000}"/>
    <cellStyle name="Currency 5 3 3 10" xfId="4657" xr:uid="{00000000-0005-0000-0000-0000DE0C0000}"/>
    <cellStyle name="Currency 5 3 3 10 2" xfId="13099" xr:uid="{19DCB991-E778-4D37-80A9-933A4C1EC93B}"/>
    <cellStyle name="Currency 5 3 3 10 3" xfId="21534" xr:uid="{32CCB7DE-8679-4AA3-98EC-A93B74DB2DB4}"/>
    <cellStyle name="Currency 5 3 3 11" xfId="8881" xr:uid="{12E2F4FF-4257-49FF-AB0A-8C7E8AB8956C}"/>
    <cellStyle name="Currency 5 3 3 12" xfId="17317" xr:uid="{8A0C2054-FA9D-4DC5-A908-F9B9C9BC844A}"/>
    <cellStyle name="Currency 5 3 3 2" xfId="215" xr:uid="{00000000-0005-0000-0000-0000DF0C0000}"/>
    <cellStyle name="Currency 5 3 3 2 10" xfId="8882" xr:uid="{5C4900A4-5272-4F58-9EC7-86B61B14266D}"/>
    <cellStyle name="Currency 5 3 3 2 11" xfId="17318" xr:uid="{CF2C6386-FFF8-4BE0-B5FD-285771F1BB78}"/>
    <cellStyle name="Currency 5 3 3 2 2" xfId="741" xr:uid="{00000000-0005-0000-0000-0000E00C0000}"/>
    <cellStyle name="Currency 5 3 3 2 2 2" xfId="2994" xr:uid="{00000000-0005-0000-0000-0000E10C0000}"/>
    <cellStyle name="Currency 5 3 3 2 2 2 2" xfId="7217" xr:uid="{00000000-0005-0000-0000-0000E20C0000}"/>
    <cellStyle name="Currency 5 3 3 2 2 2 2 2" xfId="15659" xr:uid="{071109BF-EC1A-483E-B9CE-91360F947B07}"/>
    <cellStyle name="Currency 5 3 3 2 2 2 2 3" xfId="24094" xr:uid="{870A5C24-9150-4E42-B71E-09C35644D289}"/>
    <cellStyle name="Currency 5 3 3 2 2 2 3" xfId="11441" xr:uid="{D571DD0C-DDEB-4508-A046-71AAF250309E}"/>
    <cellStyle name="Currency 5 3 3 2 2 2 4" xfId="19877" xr:uid="{8CCFEE52-5056-4842-BA33-E6AC191D5EEB}"/>
    <cellStyle name="Currency 5 3 3 2 2 3" xfId="5072" xr:uid="{00000000-0005-0000-0000-0000E30C0000}"/>
    <cellStyle name="Currency 5 3 3 2 2 3 2" xfId="13514" xr:uid="{A160A8E7-3E95-4ACC-9AEE-305777A68095}"/>
    <cellStyle name="Currency 5 3 3 2 2 3 3" xfId="21949" xr:uid="{D73CE9DE-03A8-43A5-AEA4-B2372E85EC8C}"/>
    <cellStyle name="Currency 5 3 3 2 2 4" xfId="9296" xr:uid="{A39E7C01-53C7-4475-9BE4-95052F263A37}"/>
    <cellStyle name="Currency 5 3 3 2 2 5" xfId="17732" xr:uid="{BB3B0776-B80F-4CD5-89E3-3017769D66CC}"/>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2 2 2" xfId="16072" xr:uid="{CC76A6E5-BB54-4285-8048-A4DC90946797}"/>
    <cellStyle name="Currency 5 3 3 2 3 2 2 3" xfId="24507" xr:uid="{CBA85A91-8D1F-4DBB-AD35-85F49EFD392D}"/>
    <cellStyle name="Currency 5 3 3 2 3 2 3" xfId="11854" xr:uid="{7695291D-D053-4CDE-943B-F11D0C5DEB1E}"/>
    <cellStyle name="Currency 5 3 3 2 3 2 4" xfId="20290" xr:uid="{7C535AE1-9062-47B9-BE04-3FC1901A6A55}"/>
    <cellStyle name="Currency 5 3 3 2 3 3" xfId="5485" xr:uid="{00000000-0005-0000-0000-0000E70C0000}"/>
    <cellStyle name="Currency 5 3 3 2 3 3 2" xfId="13927" xr:uid="{04E486CD-16B0-444C-B0D2-CF58AF8E69B7}"/>
    <cellStyle name="Currency 5 3 3 2 3 3 3" xfId="22362" xr:uid="{1270D269-93B0-43C8-BB5F-317ECD4F4EB5}"/>
    <cellStyle name="Currency 5 3 3 2 3 4" xfId="9709" xr:uid="{52F723F3-2B64-4823-A8F0-882732DEC3E1}"/>
    <cellStyle name="Currency 5 3 3 2 3 5" xfId="18145" xr:uid="{A61E9F1F-6079-4A24-B600-B3C04137887B}"/>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2 2 2" xfId="16485" xr:uid="{EE27C7E2-5045-4A66-B0F9-82FD73FD195A}"/>
    <cellStyle name="Currency 5 3 3 2 4 2 2 3" xfId="24920" xr:uid="{31F2C051-CAEA-445C-AB3D-B82B336B7D0F}"/>
    <cellStyle name="Currency 5 3 3 2 4 2 3" xfId="12267" xr:uid="{7E14DAB2-07E7-4187-96A6-206815E89BF2}"/>
    <cellStyle name="Currency 5 3 3 2 4 2 4" xfId="20703" xr:uid="{100062CE-407D-4FDE-8A49-8BE2624EB916}"/>
    <cellStyle name="Currency 5 3 3 2 4 3" xfId="5898" xr:uid="{00000000-0005-0000-0000-0000EB0C0000}"/>
    <cellStyle name="Currency 5 3 3 2 4 3 2" xfId="14340" xr:uid="{BA77CA44-7A72-4550-9992-8408F1A94DC4}"/>
    <cellStyle name="Currency 5 3 3 2 4 3 3" xfId="22775" xr:uid="{FE4318B3-8B42-4298-9A7E-7B41F8B23AB1}"/>
    <cellStyle name="Currency 5 3 3 2 4 4" xfId="10122" xr:uid="{94A9AE2A-D556-4FD3-8510-B70B58145A67}"/>
    <cellStyle name="Currency 5 3 3 2 4 5" xfId="18558" xr:uid="{7F965027-9DCE-4BAC-8B01-A4A8C0D16E4C}"/>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2 2 2" xfId="16898" xr:uid="{4525DF3D-64BE-4A16-9E09-4BB34CBB33EA}"/>
    <cellStyle name="Currency 5 3 3 2 5 2 2 3" xfId="25333" xr:uid="{BBFF43A7-0342-4E3C-806E-7D0975198901}"/>
    <cellStyle name="Currency 5 3 3 2 5 2 3" xfId="12680" xr:uid="{E7776330-1FDB-4A7B-BA48-37280677144B}"/>
    <cellStyle name="Currency 5 3 3 2 5 2 4" xfId="21116" xr:uid="{BCAD72A4-5033-4F32-9721-73AC243E8C92}"/>
    <cellStyle name="Currency 5 3 3 2 5 3" xfId="6311" xr:uid="{00000000-0005-0000-0000-0000EF0C0000}"/>
    <cellStyle name="Currency 5 3 3 2 5 3 2" xfId="14753" xr:uid="{5264EFED-9B37-4597-9438-D713A697EC85}"/>
    <cellStyle name="Currency 5 3 3 2 5 3 3" xfId="23188" xr:uid="{BEFB6AAC-BA99-49C2-A355-A2A84B218C42}"/>
    <cellStyle name="Currency 5 3 3 2 5 4" xfId="10535" xr:uid="{7F82BA15-5ECE-4921-8BCD-20D2061CD989}"/>
    <cellStyle name="Currency 5 3 3 2 5 5" xfId="18971" xr:uid="{AE49EBDE-076E-4B5C-894B-BF1BB3F12553}"/>
    <cellStyle name="Currency 5 3 3 2 6" xfId="2439" xr:uid="{00000000-0005-0000-0000-0000F00C0000}"/>
    <cellStyle name="Currency 5 3 3 2 6 2" xfId="6724" xr:uid="{00000000-0005-0000-0000-0000F10C0000}"/>
    <cellStyle name="Currency 5 3 3 2 6 2 2" xfId="15166" xr:uid="{909AFFC8-9626-4B7B-AB0E-10D411322C04}"/>
    <cellStyle name="Currency 5 3 3 2 6 2 3" xfId="23601" xr:uid="{19D82FCD-473D-4886-BFAE-284ADC806679}"/>
    <cellStyle name="Currency 5 3 3 2 6 3" xfId="10948" xr:uid="{33096829-6344-4CE2-9400-05EEF0BF8B5E}"/>
    <cellStyle name="Currency 5 3 3 2 6 4" xfId="19384" xr:uid="{1E57BE48-932B-408E-A011-6389B6853500}"/>
    <cellStyle name="Currency 5 3 3 2 7" xfId="2736" xr:uid="{00000000-0005-0000-0000-0000F20C0000}"/>
    <cellStyle name="Currency 5 3 3 2 8" xfId="2817" xr:uid="{00000000-0005-0000-0000-0000F30C0000}"/>
    <cellStyle name="Currency 5 3 3 2 8 2" xfId="7041" xr:uid="{00000000-0005-0000-0000-0000F40C0000}"/>
    <cellStyle name="Currency 5 3 3 2 8 2 2" xfId="15483" xr:uid="{49206877-2AFA-44C5-A1AE-CCB3323B2074}"/>
    <cellStyle name="Currency 5 3 3 2 8 2 3" xfId="23918" xr:uid="{20A83EED-A006-4CDC-BBDC-457F1FC7EE88}"/>
    <cellStyle name="Currency 5 3 3 2 8 3" xfId="11265" xr:uid="{FF55F1D3-4445-43D2-84DD-53F353F2B048}"/>
    <cellStyle name="Currency 5 3 3 2 8 4" xfId="19701" xr:uid="{220F7643-82E3-43CD-B0DB-6E203C472FAF}"/>
    <cellStyle name="Currency 5 3 3 2 9" xfId="4658" xr:uid="{00000000-0005-0000-0000-0000F50C0000}"/>
    <cellStyle name="Currency 5 3 3 2 9 2" xfId="13100" xr:uid="{50946FF6-F262-42C4-98D4-5DB609D79DFD}"/>
    <cellStyle name="Currency 5 3 3 2 9 3" xfId="21535" xr:uid="{1979D8EB-23EF-4F3B-AC8A-A326A0181E34}"/>
    <cellStyle name="Currency 5 3 3 3" xfId="740" xr:uid="{00000000-0005-0000-0000-0000F60C0000}"/>
    <cellStyle name="Currency 5 3 3 3 2" xfId="2993" xr:uid="{00000000-0005-0000-0000-0000F70C0000}"/>
    <cellStyle name="Currency 5 3 3 3 2 2" xfId="7216" xr:uid="{00000000-0005-0000-0000-0000F80C0000}"/>
    <cellStyle name="Currency 5 3 3 3 2 2 2" xfId="15658" xr:uid="{FF1F9404-BA63-463F-874A-F24DE9A789AB}"/>
    <cellStyle name="Currency 5 3 3 3 2 2 3" xfId="24093" xr:uid="{157ECA66-91F7-4E34-99B9-DC6DF62A0824}"/>
    <cellStyle name="Currency 5 3 3 3 2 3" xfId="11440" xr:uid="{DB105C37-4CDC-4A56-BB7A-EA76BBC63ED6}"/>
    <cellStyle name="Currency 5 3 3 3 2 4" xfId="19876" xr:uid="{746DB922-6074-4B5D-AC27-2DB77CC4DDB9}"/>
    <cellStyle name="Currency 5 3 3 3 3" xfId="5071" xr:uid="{00000000-0005-0000-0000-0000F90C0000}"/>
    <cellStyle name="Currency 5 3 3 3 3 2" xfId="13513" xr:uid="{535DD60B-5320-4676-A2B4-720CC752E342}"/>
    <cellStyle name="Currency 5 3 3 3 3 3" xfId="21948" xr:uid="{60B48CCF-4F96-4ACB-B197-23EEB50D0603}"/>
    <cellStyle name="Currency 5 3 3 3 4" xfId="9295" xr:uid="{4E8F15BF-1A86-49D7-9B0A-E93BC8CBE48F}"/>
    <cellStyle name="Currency 5 3 3 3 5" xfId="17731" xr:uid="{806745AD-6F6F-4F85-8FE9-13D69EB76ED1}"/>
    <cellStyle name="Currency 5 3 3 4" xfId="1175" xr:uid="{00000000-0005-0000-0000-0000FA0C0000}"/>
    <cellStyle name="Currency 5 3 3 4 2" xfId="3406" xr:uid="{00000000-0005-0000-0000-0000FB0C0000}"/>
    <cellStyle name="Currency 5 3 3 4 2 2" xfId="7629" xr:uid="{00000000-0005-0000-0000-0000FC0C0000}"/>
    <cellStyle name="Currency 5 3 3 4 2 2 2" xfId="16071" xr:uid="{AC02CE74-C04A-4BC7-A7EC-510407395922}"/>
    <cellStyle name="Currency 5 3 3 4 2 2 3" xfId="24506" xr:uid="{C6950A48-D0E2-4E46-897C-428BF88FABD2}"/>
    <cellStyle name="Currency 5 3 3 4 2 3" xfId="11853" xr:uid="{95F933D0-DDB3-45E4-A171-512E36723257}"/>
    <cellStyle name="Currency 5 3 3 4 2 4" xfId="20289" xr:uid="{0BA106C3-9C18-4089-88A7-698F768AD94C}"/>
    <cellStyle name="Currency 5 3 3 4 3" xfId="5484" xr:uid="{00000000-0005-0000-0000-0000FD0C0000}"/>
    <cellStyle name="Currency 5 3 3 4 3 2" xfId="13926" xr:uid="{49717EA9-A5A1-4519-A444-B56CD5B13AE0}"/>
    <cellStyle name="Currency 5 3 3 4 3 3" xfId="22361" xr:uid="{F8A9CE4A-37E7-4855-B283-D35C1136BCBB}"/>
    <cellStyle name="Currency 5 3 3 4 4" xfId="9708" xr:uid="{D460E803-283F-4C3B-8959-3F5A4C29FBAB}"/>
    <cellStyle name="Currency 5 3 3 4 5" xfId="18144" xr:uid="{F5834DC7-93C2-4DBF-A7FF-263180865A3A}"/>
    <cellStyle name="Currency 5 3 3 5" xfId="1589" xr:uid="{00000000-0005-0000-0000-0000FE0C0000}"/>
    <cellStyle name="Currency 5 3 3 5 2" xfId="3819" xr:uid="{00000000-0005-0000-0000-0000FF0C0000}"/>
    <cellStyle name="Currency 5 3 3 5 2 2" xfId="8042" xr:uid="{00000000-0005-0000-0000-0000000D0000}"/>
    <cellStyle name="Currency 5 3 3 5 2 2 2" xfId="16484" xr:uid="{31FB9FC2-1CF3-432B-8123-76FD34385D98}"/>
    <cellStyle name="Currency 5 3 3 5 2 2 3" xfId="24919" xr:uid="{837A3DC8-51EB-42B6-A9FD-37E4AB4F79C7}"/>
    <cellStyle name="Currency 5 3 3 5 2 3" xfId="12266" xr:uid="{6681D7AA-1F70-42E7-A22F-C71FA0724320}"/>
    <cellStyle name="Currency 5 3 3 5 2 4" xfId="20702" xr:uid="{A051D9AE-578F-4818-ADCF-5D8E3076D792}"/>
    <cellStyle name="Currency 5 3 3 5 3" xfId="5897" xr:uid="{00000000-0005-0000-0000-0000010D0000}"/>
    <cellStyle name="Currency 5 3 3 5 3 2" xfId="14339" xr:uid="{D08F4CB4-1AFC-42E8-B472-E4BFA2590A54}"/>
    <cellStyle name="Currency 5 3 3 5 3 3" xfId="22774" xr:uid="{1A69B479-66A6-4D14-A858-418AD66BE78F}"/>
    <cellStyle name="Currency 5 3 3 5 4" xfId="10121" xr:uid="{24CF4A66-7875-4C20-A908-85F5C1FF148E}"/>
    <cellStyle name="Currency 5 3 3 5 5" xfId="18557" xr:uid="{681D596C-66CD-4006-91F0-D2AA1FB79E0A}"/>
    <cellStyle name="Currency 5 3 3 6" xfId="2003" xr:uid="{00000000-0005-0000-0000-0000020D0000}"/>
    <cellStyle name="Currency 5 3 3 6 2" xfId="4232" xr:uid="{00000000-0005-0000-0000-0000030D0000}"/>
    <cellStyle name="Currency 5 3 3 6 2 2" xfId="8455" xr:uid="{00000000-0005-0000-0000-0000040D0000}"/>
    <cellStyle name="Currency 5 3 3 6 2 2 2" xfId="16897" xr:uid="{9253B49B-C666-4A3C-B854-3235788D5EB1}"/>
    <cellStyle name="Currency 5 3 3 6 2 2 3" xfId="25332" xr:uid="{10F29AF7-11E1-4121-9AF2-1AFEEBBCCEF2}"/>
    <cellStyle name="Currency 5 3 3 6 2 3" xfId="12679" xr:uid="{481D4882-FBDA-4496-BA11-8BDD80CA4E64}"/>
    <cellStyle name="Currency 5 3 3 6 2 4" xfId="21115" xr:uid="{91838286-7D01-4AA0-B5B4-CEFFCE10AFF6}"/>
    <cellStyle name="Currency 5 3 3 6 3" xfId="6310" xr:uid="{00000000-0005-0000-0000-0000050D0000}"/>
    <cellStyle name="Currency 5 3 3 6 3 2" xfId="14752" xr:uid="{F1712FBC-AC33-4535-8CA1-B576E50A5732}"/>
    <cellStyle name="Currency 5 3 3 6 3 3" xfId="23187" xr:uid="{F5D65200-BF7B-4024-8602-7E04AA8896FF}"/>
    <cellStyle name="Currency 5 3 3 6 4" xfId="10534" xr:uid="{FA3FDDDD-1896-4A05-807E-F0F4F4250C31}"/>
    <cellStyle name="Currency 5 3 3 6 5" xfId="18970" xr:uid="{50BEA335-2137-41A9-A2C4-67861DD43080}"/>
    <cellStyle name="Currency 5 3 3 7" xfId="2438" xr:uid="{00000000-0005-0000-0000-0000060D0000}"/>
    <cellStyle name="Currency 5 3 3 7 2" xfId="6723" xr:uid="{00000000-0005-0000-0000-0000070D0000}"/>
    <cellStyle name="Currency 5 3 3 7 2 2" xfId="15165" xr:uid="{CC6EAA81-8BE6-4D84-86D6-82EF25DA2110}"/>
    <cellStyle name="Currency 5 3 3 7 2 3" xfId="23600" xr:uid="{EFAA4EB5-7F0F-47CF-A187-BFEC5547FDF4}"/>
    <cellStyle name="Currency 5 3 3 7 3" xfId="10947" xr:uid="{E3A6339B-4D06-470D-9870-4E391C422F23}"/>
    <cellStyle name="Currency 5 3 3 7 4" xfId="19383" xr:uid="{903B7D86-2BB9-428D-A996-DAF6737CAF8F}"/>
    <cellStyle name="Currency 5 3 3 8" xfId="2735" xr:uid="{00000000-0005-0000-0000-0000080D0000}"/>
    <cellStyle name="Currency 5 3 3 9" xfId="2816" xr:uid="{00000000-0005-0000-0000-0000090D0000}"/>
    <cellStyle name="Currency 5 3 3 9 2" xfId="7040" xr:uid="{00000000-0005-0000-0000-00000A0D0000}"/>
    <cellStyle name="Currency 5 3 3 9 2 2" xfId="15482" xr:uid="{FCC2FB11-F0C3-429E-B7E3-BDBBA745F790}"/>
    <cellStyle name="Currency 5 3 3 9 2 3" xfId="23917" xr:uid="{0A1DB83B-29A2-4558-842E-28F602B956B2}"/>
    <cellStyle name="Currency 5 3 3 9 3" xfId="11264" xr:uid="{B205A77B-95A4-4075-9FB9-B50AB07DE410}"/>
    <cellStyle name="Currency 5 3 3 9 4" xfId="19700" xr:uid="{5E9372D9-B19F-4DE5-9DC4-4A42AFD67A6D}"/>
    <cellStyle name="Currency 5 3 4" xfId="216" xr:uid="{00000000-0005-0000-0000-00000B0D0000}"/>
    <cellStyle name="Currency 5 3 4 10" xfId="8883" xr:uid="{D94D2906-A8ED-41D1-878C-510A5C9F6A9D}"/>
    <cellStyle name="Currency 5 3 4 11" xfId="17319" xr:uid="{037256D9-F348-4DAF-9A74-6A435A702D37}"/>
    <cellStyle name="Currency 5 3 4 2" xfId="742" xr:uid="{00000000-0005-0000-0000-00000C0D0000}"/>
    <cellStyle name="Currency 5 3 4 2 2" xfId="2995" xr:uid="{00000000-0005-0000-0000-00000D0D0000}"/>
    <cellStyle name="Currency 5 3 4 2 2 2" xfId="7218" xr:uid="{00000000-0005-0000-0000-00000E0D0000}"/>
    <cellStyle name="Currency 5 3 4 2 2 2 2" xfId="15660" xr:uid="{422AEC5A-B5B2-4E17-AB6A-D4CB0AF0D558}"/>
    <cellStyle name="Currency 5 3 4 2 2 2 3" xfId="24095" xr:uid="{728B69F2-53CF-4A02-A39D-7360EE921905}"/>
    <cellStyle name="Currency 5 3 4 2 2 3" xfId="11442" xr:uid="{2E488E79-50E0-49A3-9D67-474FC9CC8B89}"/>
    <cellStyle name="Currency 5 3 4 2 2 4" xfId="19878" xr:uid="{8BB4E12A-EFE9-4573-B2B9-24568F2B260E}"/>
    <cellStyle name="Currency 5 3 4 2 3" xfId="5073" xr:uid="{00000000-0005-0000-0000-00000F0D0000}"/>
    <cellStyle name="Currency 5 3 4 2 3 2" xfId="13515" xr:uid="{7F9923A0-3094-445C-9E03-7DA21DE80BA9}"/>
    <cellStyle name="Currency 5 3 4 2 3 3" xfId="21950" xr:uid="{A2E53F57-CFCA-415C-8B14-E42825E0EAF2}"/>
    <cellStyle name="Currency 5 3 4 2 4" xfId="9297" xr:uid="{10534783-77AC-4CFD-A7EF-F34C369B7AF8}"/>
    <cellStyle name="Currency 5 3 4 2 5" xfId="17733" xr:uid="{9100674A-FB45-4711-94FA-4E215C872D21}"/>
    <cellStyle name="Currency 5 3 4 3" xfId="1177" xr:uid="{00000000-0005-0000-0000-0000100D0000}"/>
    <cellStyle name="Currency 5 3 4 3 2" xfId="3408" xr:uid="{00000000-0005-0000-0000-0000110D0000}"/>
    <cellStyle name="Currency 5 3 4 3 2 2" xfId="7631" xr:uid="{00000000-0005-0000-0000-0000120D0000}"/>
    <cellStyle name="Currency 5 3 4 3 2 2 2" xfId="16073" xr:uid="{17DEF408-BB85-4E56-93DD-388C353D82E1}"/>
    <cellStyle name="Currency 5 3 4 3 2 2 3" xfId="24508" xr:uid="{7113977C-8515-4284-AD9C-06ECD9C6809A}"/>
    <cellStyle name="Currency 5 3 4 3 2 3" xfId="11855" xr:uid="{965C99A5-50F4-47A9-A30B-48E3EB8EE4E1}"/>
    <cellStyle name="Currency 5 3 4 3 2 4" xfId="20291" xr:uid="{E9E849AB-7957-4723-A393-710D59C268F2}"/>
    <cellStyle name="Currency 5 3 4 3 3" xfId="5486" xr:uid="{00000000-0005-0000-0000-0000130D0000}"/>
    <cellStyle name="Currency 5 3 4 3 3 2" xfId="13928" xr:uid="{D4BDA51F-E9B5-48B3-A482-46B0B355EE6E}"/>
    <cellStyle name="Currency 5 3 4 3 3 3" xfId="22363" xr:uid="{5D1E07FD-1AEB-41F9-B633-F1097DD91D6F}"/>
    <cellStyle name="Currency 5 3 4 3 4" xfId="9710" xr:uid="{031B61B3-7971-4E7E-914C-18423D6F4380}"/>
    <cellStyle name="Currency 5 3 4 3 5" xfId="18146" xr:uid="{1FEA5D5F-8804-43D5-8B75-F3165B91C6D1}"/>
    <cellStyle name="Currency 5 3 4 4" xfId="1591" xr:uid="{00000000-0005-0000-0000-0000140D0000}"/>
    <cellStyle name="Currency 5 3 4 4 2" xfId="3821" xr:uid="{00000000-0005-0000-0000-0000150D0000}"/>
    <cellStyle name="Currency 5 3 4 4 2 2" xfId="8044" xr:uid="{00000000-0005-0000-0000-0000160D0000}"/>
    <cellStyle name="Currency 5 3 4 4 2 2 2" xfId="16486" xr:uid="{47260D8A-D3FF-4CDE-90B4-2EBE39179C8A}"/>
    <cellStyle name="Currency 5 3 4 4 2 2 3" xfId="24921" xr:uid="{D6D25010-0C21-4D80-BC91-F6259FD9B2A9}"/>
    <cellStyle name="Currency 5 3 4 4 2 3" xfId="12268" xr:uid="{096EB0BC-C7F5-42A2-A607-F75C3820D4E6}"/>
    <cellStyle name="Currency 5 3 4 4 2 4" xfId="20704" xr:uid="{A4719AC4-F90C-4E79-982E-5B89AF13D77C}"/>
    <cellStyle name="Currency 5 3 4 4 3" xfId="5899" xr:uid="{00000000-0005-0000-0000-0000170D0000}"/>
    <cellStyle name="Currency 5 3 4 4 3 2" xfId="14341" xr:uid="{DD76279C-668F-4735-A145-5DD0117956BA}"/>
    <cellStyle name="Currency 5 3 4 4 3 3" xfId="22776" xr:uid="{793E4A1F-5AD5-4401-A493-6D11DDD9A172}"/>
    <cellStyle name="Currency 5 3 4 4 4" xfId="10123" xr:uid="{4C198DFE-BC21-41E4-8077-F473155DE3CC}"/>
    <cellStyle name="Currency 5 3 4 4 5" xfId="18559" xr:uid="{2E2C52F1-5F88-4699-B593-25AA1FB87CBC}"/>
    <cellStyle name="Currency 5 3 4 5" xfId="2005" xr:uid="{00000000-0005-0000-0000-0000180D0000}"/>
    <cellStyle name="Currency 5 3 4 5 2" xfId="4234" xr:uid="{00000000-0005-0000-0000-0000190D0000}"/>
    <cellStyle name="Currency 5 3 4 5 2 2" xfId="8457" xr:uid="{00000000-0005-0000-0000-00001A0D0000}"/>
    <cellStyle name="Currency 5 3 4 5 2 2 2" xfId="16899" xr:uid="{232BE94C-B7E1-4F8A-B3F8-561439A5A8E5}"/>
    <cellStyle name="Currency 5 3 4 5 2 2 3" xfId="25334" xr:uid="{275A2D7B-1A07-433B-9459-4BB8F920BD31}"/>
    <cellStyle name="Currency 5 3 4 5 2 3" xfId="12681" xr:uid="{9BBC3CA0-533D-4C7F-9368-66AB6FDC64F5}"/>
    <cellStyle name="Currency 5 3 4 5 2 4" xfId="21117" xr:uid="{1BD642B1-C10B-4037-A1B1-4CACF39D2CE4}"/>
    <cellStyle name="Currency 5 3 4 5 3" xfId="6312" xr:uid="{00000000-0005-0000-0000-00001B0D0000}"/>
    <cellStyle name="Currency 5 3 4 5 3 2" xfId="14754" xr:uid="{5D355CDD-BA43-4513-9BF0-D9D6486D502A}"/>
    <cellStyle name="Currency 5 3 4 5 3 3" xfId="23189" xr:uid="{336940C9-BDAD-4C6E-ADE4-7E1EAE694189}"/>
    <cellStyle name="Currency 5 3 4 5 4" xfId="10536" xr:uid="{8C6FCA4E-F249-43AA-A22B-6863C5E68529}"/>
    <cellStyle name="Currency 5 3 4 5 5" xfId="18972" xr:uid="{1C03680D-F5C9-4DBB-9C6C-485AE771770E}"/>
    <cellStyle name="Currency 5 3 4 6" xfId="2440" xr:uid="{00000000-0005-0000-0000-00001C0D0000}"/>
    <cellStyle name="Currency 5 3 4 6 2" xfId="6725" xr:uid="{00000000-0005-0000-0000-00001D0D0000}"/>
    <cellStyle name="Currency 5 3 4 6 2 2" xfId="15167" xr:uid="{37A32D4F-E550-4CE1-9B11-527559F615FA}"/>
    <cellStyle name="Currency 5 3 4 6 2 3" xfId="23602" xr:uid="{CA3B5E89-05B0-4253-90B9-4B25AB30C56A}"/>
    <cellStyle name="Currency 5 3 4 6 3" xfId="10949" xr:uid="{DA70ABA5-9328-4548-ADF9-9403F759F172}"/>
    <cellStyle name="Currency 5 3 4 6 4" xfId="19385" xr:uid="{F70E7936-8FE7-4DF0-B411-DE05E6CF48E0}"/>
    <cellStyle name="Currency 5 3 4 7" xfId="2737" xr:uid="{00000000-0005-0000-0000-00001E0D0000}"/>
    <cellStyle name="Currency 5 3 4 8" xfId="2818" xr:uid="{00000000-0005-0000-0000-00001F0D0000}"/>
    <cellStyle name="Currency 5 3 4 8 2" xfId="7042" xr:uid="{00000000-0005-0000-0000-0000200D0000}"/>
    <cellStyle name="Currency 5 3 4 8 2 2" xfId="15484" xr:uid="{2A06B98B-5DAD-41FD-A4B4-E2F16DC52C23}"/>
    <cellStyle name="Currency 5 3 4 8 2 3" xfId="23919" xr:uid="{9FDD7149-76A9-4430-A383-FA6BF647F5D7}"/>
    <cellStyle name="Currency 5 3 4 8 3" xfId="11266" xr:uid="{181393A0-30BB-4D0C-90C6-EFEF580915D8}"/>
    <cellStyle name="Currency 5 3 4 8 4" xfId="19702" xr:uid="{ADD122CB-C389-4148-9D8F-17AFA9297131}"/>
    <cellStyle name="Currency 5 3 4 9" xfId="4659" xr:uid="{00000000-0005-0000-0000-0000210D0000}"/>
    <cellStyle name="Currency 5 3 4 9 2" xfId="13101" xr:uid="{1ECCBA04-402B-4A88-8B6B-E7FACE650764}"/>
    <cellStyle name="Currency 5 3 4 9 3" xfId="21536" xr:uid="{29213EF7-C762-4469-9204-149E5FC384A3}"/>
    <cellStyle name="Currency 5 3 5" xfId="217" xr:uid="{00000000-0005-0000-0000-0000220D0000}"/>
    <cellStyle name="Currency 5 3 5 10" xfId="8884" xr:uid="{02DDFEAA-CE7B-4218-9890-8901C89E2C54}"/>
    <cellStyle name="Currency 5 3 5 11" xfId="17320" xr:uid="{B834BBDB-A394-4B46-9F21-3FD5DF6557AF}"/>
    <cellStyle name="Currency 5 3 5 2" xfId="743" xr:uid="{00000000-0005-0000-0000-0000230D0000}"/>
    <cellStyle name="Currency 5 3 5 2 2" xfId="2996" xr:uid="{00000000-0005-0000-0000-0000240D0000}"/>
    <cellStyle name="Currency 5 3 5 2 2 2" xfId="7219" xr:uid="{00000000-0005-0000-0000-0000250D0000}"/>
    <cellStyle name="Currency 5 3 5 2 2 2 2" xfId="15661" xr:uid="{D2F883BB-1D8B-4DFC-91F8-7D92A4C1DE75}"/>
    <cellStyle name="Currency 5 3 5 2 2 2 3" xfId="24096" xr:uid="{273B35DA-9DE3-442D-A7B3-DD98642E6E46}"/>
    <cellStyle name="Currency 5 3 5 2 2 3" xfId="11443" xr:uid="{AB06787D-C1BE-47D4-9974-07282C52B3A9}"/>
    <cellStyle name="Currency 5 3 5 2 2 4" xfId="19879" xr:uid="{43AC6738-29E5-4614-A727-B957541B8AD8}"/>
    <cellStyle name="Currency 5 3 5 2 3" xfId="5074" xr:uid="{00000000-0005-0000-0000-0000260D0000}"/>
    <cellStyle name="Currency 5 3 5 2 3 2" xfId="13516" xr:uid="{CE6D0683-B01D-46C0-88DF-EAEAFD0D73A9}"/>
    <cellStyle name="Currency 5 3 5 2 3 3" xfId="21951" xr:uid="{AEC458D7-8DE2-405E-A9C7-A54B2C2A0E20}"/>
    <cellStyle name="Currency 5 3 5 2 4" xfId="9298" xr:uid="{43714CDA-A221-4DC9-B43E-EDD0555942C5}"/>
    <cellStyle name="Currency 5 3 5 2 5" xfId="17734" xr:uid="{48A3B1E4-20F1-4BAD-95CA-983165B4510F}"/>
    <cellStyle name="Currency 5 3 5 3" xfId="1178" xr:uid="{00000000-0005-0000-0000-0000270D0000}"/>
    <cellStyle name="Currency 5 3 5 3 2" xfId="3409" xr:uid="{00000000-0005-0000-0000-0000280D0000}"/>
    <cellStyle name="Currency 5 3 5 3 2 2" xfId="7632" xr:uid="{00000000-0005-0000-0000-0000290D0000}"/>
    <cellStyle name="Currency 5 3 5 3 2 2 2" xfId="16074" xr:uid="{FD6C562F-2F8F-4420-8C51-9455202FE7A5}"/>
    <cellStyle name="Currency 5 3 5 3 2 2 3" xfId="24509" xr:uid="{F71931E9-A26D-48F8-B41E-94232D6D8451}"/>
    <cellStyle name="Currency 5 3 5 3 2 3" xfId="11856" xr:uid="{52B8CB8D-54CF-41F6-B631-5977D64DD4B7}"/>
    <cellStyle name="Currency 5 3 5 3 2 4" xfId="20292" xr:uid="{C6773EAE-6727-41D0-86DF-EA892203957E}"/>
    <cellStyle name="Currency 5 3 5 3 3" xfId="5487" xr:uid="{00000000-0005-0000-0000-00002A0D0000}"/>
    <cellStyle name="Currency 5 3 5 3 3 2" xfId="13929" xr:uid="{1D84175E-C826-4C27-A312-CC9DB49939DB}"/>
    <cellStyle name="Currency 5 3 5 3 3 3" xfId="22364" xr:uid="{388B0041-E501-4D50-84D5-525EA7F5F4EA}"/>
    <cellStyle name="Currency 5 3 5 3 4" xfId="9711" xr:uid="{20E01E02-CCB1-4F33-ACB5-18CCF030E18F}"/>
    <cellStyle name="Currency 5 3 5 3 5" xfId="18147" xr:uid="{8E82E4C9-D93B-4DAB-A3AF-3D2810923404}"/>
    <cellStyle name="Currency 5 3 5 4" xfId="1592" xr:uid="{00000000-0005-0000-0000-00002B0D0000}"/>
    <cellStyle name="Currency 5 3 5 4 2" xfId="3822" xr:uid="{00000000-0005-0000-0000-00002C0D0000}"/>
    <cellStyle name="Currency 5 3 5 4 2 2" xfId="8045" xr:uid="{00000000-0005-0000-0000-00002D0D0000}"/>
    <cellStyle name="Currency 5 3 5 4 2 2 2" xfId="16487" xr:uid="{9570BB80-B987-423E-90DF-4AE221C5B4F9}"/>
    <cellStyle name="Currency 5 3 5 4 2 2 3" xfId="24922" xr:uid="{B2C3078F-9F38-4E3F-B8DB-E6E9E3C291C2}"/>
    <cellStyle name="Currency 5 3 5 4 2 3" xfId="12269" xr:uid="{30B8E964-ACB6-4E06-94F6-6E2922587717}"/>
    <cellStyle name="Currency 5 3 5 4 2 4" xfId="20705" xr:uid="{B3AE55D9-A69B-4223-AD73-E8FA6C2D5E3E}"/>
    <cellStyle name="Currency 5 3 5 4 3" xfId="5900" xr:uid="{00000000-0005-0000-0000-00002E0D0000}"/>
    <cellStyle name="Currency 5 3 5 4 3 2" xfId="14342" xr:uid="{C7B05C66-F63B-4B1D-84B7-B734394FF5E9}"/>
    <cellStyle name="Currency 5 3 5 4 3 3" xfId="22777" xr:uid="{1FB2C979-6CEF-4C39-A483-D99BE77D44FB}"/>
    <cellStyle name="Currency 5 3 5 4 4" xfId="10124" xr:uid="{EC50A8DC-A42E-4877-BCEA-2C8BE10EE322}"/>
    <cellStyle name="Currency 5 3 5 4 5" xfId="18560" xr:uid="{E6EC6D9E-EFA2-49F5-9236-616E032B5D77}"/>
    <cellStyle name="Currency 5 3 5 5" xfId="2006" xr:uid="{00000000-0005-0000-0000-00002F0D0000}"/>
    <cellStyle name="Currency 5 3 5 5 2" xfId="4235" xr:uid="{00000000-0005-0000-0000-0000300D0000}"/>
    <cellStyle name="Currency 5 3 5 5 2 2" xfId="8458" xr:uid="{00000000-0005-0000-0000-0000310D0000}"/>
    <cellStyle name="Currency 5 3 5 5 2 2 2" xfId="16900" xr:uid="{18057915-6F42-4716-9396-D8AC1CBCB514}"/>
    <cellStyle name="Currency 5 3 5 5 2 2 3" xfId="25335" xr:uid="{2BAFAB82-AD15-4D61-8A50-3D666FBD5922}"/>
    <cellStyle name="Currency 5 3 5 5 2 3" xfId="12682" xr:uid="{D7DE80B5-A298-4EB8-A3D8-B3C6E8228933}"/>
    <cellStyle name="Currency 5 3 5 5 2 4" xfId="21118" xr:uid="{D7384D32-F72A-4A5F-8235-DC1BA40F2AA5}"/>
    <cellStyle name="Currency 5 3 5 5 3" xfId="6313" xr:uid="{00000000-0005-0000-0000-0000320D0000}"/>
    <cellStyle name="Currency 5 3 5 5 3 2" xfId="14755" xr:uid="{F577FB92-DD58-4C8F-A59C-6AEDBCDA50E9}"/>
    <cellStyle name="Currency 5 3 5 5 3 3" xfId="23190" xr:uid="{6AB710B5-550B-42CA-AEF9-5DE69F226156}"/>
    <cellStyle name="Currency 5 3 5 5 4" xfId="10537" xr:uid="{50805D19-B1FA-442C-9E9E-FB4C127A5538}"/>
    <cellStyle name="Currency 5 3 5 5 5" xfId="18973" xr:uid="{F63D92B1-8AD5-4978-B47F-8F19ABF3399C}"/>
    <cellStyle name="Currency 5 3 5 6" xfId="2441" xr:uid="{00000000-0005-0000-0000-0000330D0000}"/>
    <cellStyle name="Currency 5 3 5 6 2" xfId="6726" xr:uid="{00000000-0005-0000-0000-0000340D0000}"/>
    <cellStyle name="Currency 5 3 5 6 2 2" xfId="15168" xr:uid="{66A5EF05-7EE6-4FEF-8A29-14B0E8114BB5}"/>
    <cellStyle name="Currency 5 3 5 6 2 3" xfId="23603" xr:uid="{E66D8AD6-DE80-4045-9908-9540B384BFFA}"/>
    <cellStyle name="Currency 5 3 5 6 3" xfId="10950" xr:uid="{49E858D7-7202-41B7-AABB-F86F78A97F22}"/>
    <cellStyle name="Currency 5 3 5 6 4" xfId="19386" xr:uid="{AD9D4FE2-C311-4617-A126-177F1DE26E88}"/>
    <cellStyle name="Currency 5 3 5 7" xfId="2738" xr:uid="{00000000-0005-0000-0000-0000350D0000}"/>
    <cellStyle name="Currency 5 3 5 8" xfId="2819" xr:uid="{00000000-0005-0000-0000-0000360D0000}"/>
    <cellStyle name="Currency 5 3 5 8 2" xfId="7043" xr:uid="{00000000-0005-0000-0000-0000370D0000}"/>
    <cellStyle name="Currency 5 3 5 8 2 2" xfId="15485" xr:uid="{E1FF94CF-0FBE-4DF4-99DD-0BF5DAB3DAB6}"/>
    <cellStyle name="Currency 5 3 5 8 2 3" xfId="23920" xr:uid="{E4B2B8F8-A1C8-4D87-AA92-67CA07C7B7BB}"/>
    <cellStyle name="Currency 5 3 5 8 3" xfId="11267" xr:uid="{C89EE17D-F56A-4C77-8B8A-8D817503E5ED}"/>
    <cellStyle name="Currency 5 3 5 8 4" xfId="19703" xr:uid="{8B5E74B3-CFB0-46F4-80E0-1B631CEDAAAF}"/>
    <cellStyle name="Currency 5 3 5 9" xfId="4660" xr:uid="{00000000-0005-0000-0000-0000380D0000}"/>
    <cellStyle name="Currency 5 3 5 9 2" xfId="13102" xr:uid="{8945606E-8A0D-4BE2-92C6-4F023F94FC76}"/>
    <cellStyle name="Currency 5 3 5 9 3" xfId="21537" xr:uid="{3E755D19-B720-4B9E-91C5-798204F40325}"/>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10 2" xfId="13103" xr:uid="{6D051FEC-7DC3-4CEA-B349-B403EB321858}"/>
    <cellStyle name="Currency 5 5 10 3" xfId="21538" xr:uid="{92FF9B2E-200B-48E2-B702-56AA6603EB8E}"/>
    <cellStyle name="Currency 5 5 11" xfId="8885" xr:uid="{7CCA99A3-5DC2-4283-8386-ED7FB4B17C6C}"/>
    <cellStyle name="Currency 5 5 12" xfId="17321" xr:uid="{591D8C91-C947-467B-98EE-61147D70836E}"/>
    <cellStyle name="Currency 5 5 2" xfId="220" xr:uid="{00000000-0005-0000-0000-00003D0D0000}"/>
    <cellStyle name="Currency 5 5 2 10" xfId="8886" xr:uid="{CA529D29-4CC9-41DC-9701-4DB5852A3458}"/>
    <cellStyle name="Currency 5 5 2 11" xfId="17322" xr:uid="{C031451F-EE0E-49D3-8981-3EECAA966525}"/>
    <cellStyle name="Currency 5 5 2 2" xfId="746" xr:uid="{00000000-0005-0000-0000-00003E0D0000}"/>
    <cellStyle name="Currency 5 5 2 2 2" xfId="2998" xr:uid="{00000000-0005-0000-0000-00003F0D0000}"/>
    <cellStyle name="Currency 5 5 2 2 2 2" xfId="7221" xr:uid="{00000000-0005-0000-0000-0000400D0000}"/>
    <cellStyle name="Currency 5 5 2 2 2 2 2" xfId="15663" xr:uid="{486C4057-D7AC-4626-874E-A699C50DA876}"/>
    <cellStyle name="Currency 5 5 2 2 2 2 3" xfId="24098" xr:uid="{EB09E844-487B-40B2-A5FD-EC076F7FC9DB}"/>
    <cellStyle name="Currency 5 5 2 2 2 3" xfId="11445" xr:uid="{3CA9CDC5-FD40-497D-A8BE-8B58B1C80F68}"/>
    <cellStyle name="Currency 5 5 2 2 2 4" xfId="19881" xr:uid="{9B3EBAF8-AA63-4033-9D9E-B46953D69D9F}"/>
    <cellStyle name="Currency 5 5 2 2 3" xfId="5076" xr:uid="{00000000-0005-0000-0000-0000410D0000}"/>
    <cellStyle name="Currency 5 5 2 2 3 2" xfId="13518" xr:uid="{F8ABE151-757D-452E-B560-F3266BB6B78C}"/>
    <cellStyle name="Currency 5 5 2 2 3 3" xfId="21953" xr:uid="{80A6E382-140E-437E-A65F-EDABEC1D06B0}"/>
    <cellStyle name="Currency 5 5 2 2 4" xfId="9300" xr:uid="{D5228E0E-B8D2-4947-97B4-7C6671EFE5CE}"/>
    <cellStyle name="Currency 5 5 2 2 5" xfId="17736" xr:uid="{9F31CE16-549E-4116-8973-6C33DF43C010}"/>
    <cellStyle name="Currency 5 5 2 3" xfId="1180" xr:uid="{00000000-0005-0000-0000-0000420D0000}"/>
    <cellStyle name="Currency 5 5 2 3 2" xfId="3411" xr:uid="{00000000-0005-0000-0000-0000430D0000}"/>
    <cellStyle name="Currency 5 5 2 3 2 2" xfId="7634" xr:uid="{00000000-0005-0000-0000-0000440D0000}"/>
    <cellStyle name="Currency 5 5 2 3 2 2 2" xfId="16076" xr:uid="{F628A819-AC35-4DB0-8F66-22C5CBAB4F3C}"/>
    <cellStyle name="Currency 5 5 2 3 2 2 3" xfId="24511" xr:uid="{A5E971D2-28E0-4535-92B8-BB9E434D4BFF}"/>
    <cellStyle name="Currency 5 5 2 3 2 3" xfId="11858" xr:uid="{F51DBC88-58DA-4DA5-8372-14C804DDED07}"/>
    <cellStyle name="Currency 5 5 2 3 2 4" xfId="20294" xr:uid="{D73A1DA9-2D48-4121-9922-DC27CA6D6F54}"/>
    <cellStyle name="Currency 5 5 2 3 3" xfId="5489" xr:uid="{00000000-0005-0000-0000-0000450D0000}"/>
    <cellStyle name="Currency 5 5 2 3 3 2" xfId="13931" xr:uid="{557A6800-5C2C-4C03-9474-A2DD39E04A0E}"/>
    <cellStyle name="Currency 5 5 2 3 3 3" xfId="22366" xr:uid="{DF21BE5F-6F6C-4EB9-9F5A-C08550892674}"/>
    <cellStyle name="Currency 5 5 2 3 4" xfId="9713" xr:uid="{616C1AE3-9263-4FD7-9F33-3E86EB8A680D}"/>
    <cellStyle name="Currency 5 5 2 3 5" xfId="18149" xr:uid="{F9905CCA-4774-4607-8057-507B859FE5A6}"/>
    <cellStyle name="Currency 5 5 2 4" xfId="1594" xr:uid="{00000000-0005-0000-0000-0000460D0000}"/>
    <cellStyle name="Currency 5 5 2 4 2" xfId="3824" xr:uid="{00000000-0005-0000-0000-0000470D0000}"/>
    <cellStyle name="Currency 5 5 2 4 2 2" xfId="8047" xr:uid="{00000000-0005-0000-0000-0000480D0000}"/>
    <cellStyle name="Currency 5 5 2 4 2 2 2" xfId="16489" xr:uid="{7C199769-0825-434B-93F3-553CC3F05331}"/>
    <cellStyle name="Currency 5 5 2 4 2 2 3" xfId="24924" xr:uid="{E949E310-0289-4C34-A41E-FEE89FFC3A94}"/>
    <cellStyle name="Currency 5 5 2 4 2 3" xfId="12271" xr:uid="{212CBC24-6F39-472F-90F7-6EFD72FE7CB3}"/>
    <cellStyle name="Currency 5 5 2 4 2 4" xfId="20707" xr:uid="{97D68646-FEF8-4CF8-A4A5-37FB605E9DAE}"/>
    <cellStyle name="Currency 5 5 2 4 3" xfId="5902" xr:uid="{00000000-0005-0000-0000-0000490D0000}"/>
    <cellStyle name="Currency 5 5 2 4 3 2" xfId="14344" xr:uid="{26754A29-B93B-4A0A-AF5E-91FFA7224989}"/>
    <cellStyle name="Currency 5 5 2 4 3 3" xfId="22779" xr:uid="{58302A24-1CD4-47AC-B6EC-35957E12434D}"/>
    <cellStyle name="Currency 5 5 2 4 4" xfId="10126" xr:uid="{5A2EE346-7663-4447-B1A7-421292D67F7C}"/>
    <cellStyle name="Currency 5 5 2 4 5" xfId="18562" xr:uid="{D0A8A31A-84C0-47C4-BFCC-4E028D4F2F95}"/>
    <cellStyle name="Currency 5 5 2 5" xfId="2008" xr:uid="{00000000-0005-0000-0000-00004A0D0000}"/>
    <cellStyle name="Currency 5 5 2 5 2" xfId="4237" xr:uid="{00000000-0005-0000-0000-00004B0D0000}"/>
    <cellStyle name="Currency 5 5 2 5 2 2" xfId="8460" xr:uid="{00000000-0005-0000-0000-00004C0D0000}"/>
    <cellStyle name="Currency 5 5 2 5 2 2 2" xfId="16902" xr:uid="{F3EE9158-2AA6-405E-A9CC-AF5D9C793120}"/>
    <cellStyle name="Currency 5 5 2 5 2 2 3" xfId="25337" xr:uid="{3382451D-67F4-4175-A189-0FDD16DD3589}"/>
    <cellStyle name="Currency 5 5 2 5 2 3" xfId="12684" xr:uid="{407AF371-B189-4BD2-9F7B-DBE950E3AFB0}"/>
    <cellStyle name="Currency 5 5 2 5 2 4" xfId="21120" xr:uid="{57996326-6B12-426C-A30E-972467B51D89}"/>
    <cellStyle name="Currency 5 5 2 5 3" xfId="6315" xr:uid="{00000000-0005-0000-0000-00004D0D0000}"/>
    <cellStyle name="Currency 5 5 2 5 3 2" xfId="14757" xr:uid="{960AFEF7-FEDA-486A-B86B-522919E46546}"/>
    <cellStyle name="Currency 5 5 2 5 3 3" xfId="23192" xr:uid="{42FB2698-6267-459D-99FC-058D83A9770D}"/>
    <cellStyle name="Currency 5 5 2 5 4" xfId="10539" xr:uid="{1A623776-C6D2-4F39-8FE8-ADE0427302CA}"/>
    <cellStyle name="Currency 5 5 2 5 5" xfId="18975" xr:uid="{A1D221E8-10D2-44CA-ADC5-5C54E09E58E4}"/>
    <cellStyle name="Currency 5 5 2 6" xfId="2443" xr:uid="{00000000-0005-0000-0000-00004E0D0000}"/>
    <cellStyle name="Currency 5 5 2 6 2" xfId="6728" xr:uid="{00000000-0005-0000-0000-00004F0D0000}"/>
    <cellStyle name="Currency 5 5 2 6 2 2" xfId="15170" xr:uid="{2ADA73FC-3FC4-476C-9254-72DF817BA559}"/>
    <cellStyle name="Currency 5 5 2 6 2 3" xfId="23605" xr:uid="{A181D227-0B8D-4B00-83A5-5129BE54C757}"/>
    <cellStyle name="Currency 5 5 2 6 3" xfId="10952" xr:uid="{B7377DA2-3322-4B04-B28F-CEFE05B8335F}"/>
    <cellStyle name="Currency 5 5 2 6 4" xfId="19388" xr:uid="{7DC8186A-3CD4-44D1-965E-A756B8232171}"/>
    <cellStyle name="Currency 5 5 2 7" xfId="2740" xr:uid="{00000000-0005-0000-0000-0000500D0000}"/>
    <cellStyle name="Currency 5 5 2 8" xfId="2821" xr:uid="{00000000-0005-0000-0000-0000510D0000}"/>
    <cellStyle name="Currency 5 5 2 8 2" xfId="7045" xr:uid="{00000000-0005-0000-0000-0000520D0000}"/>
    <cellStyle name="Currency 5 5 2 8 2 2" xfId="15487" xr:uid="{B4254D6B-1F49-4493-9613-FFBE84CE6D3D}"/>
    <cellStyle name="Currency 5 5 2 8 2 3" xfId="23922" xr:uid="{F0947355-CBF3-496B-94FD-57450397A4C6}"/>
    <cellStyle name="Currency 5 5 2 8 3" xfId="11269" xr:uid="{0A31465F-1B7B-432D-B35C-615EE6DC1207}"/>
    <cellStyle name="Currency 5 5 2 8 4" xfId="19705" xr:uid="{1A92137E-F32F-4B9A-8C66-ED3944FDE0E8}"/>
    <cellStyle name="Currency 5 5 2 9" xfId="4662" xr:uid="{00000000-0005-0000-0000-0000530D0000}"/>
    <cellStyle name="Currency 5 5 2 9 2" xfId="13104" xr:uid="{1BFC1F00-5A46-4CDE-BEF3-CB8B178C4A19}"/>
    <cellStyle name="Currency 5 5 2 9 3" xfId="21539" xr:uid="{9748D2B0-C23C-4F2B-9CCA-7B370342C9E1}"/>
    <cellStyle name="Currency 5 5 3" xfId="745" xr:uid="{00000000-0005-0000-0000-0000540D0000}"/>
    <cellStyle name="Currency 5 5 3 2" xfId="2997" xr:uid="{00000000-0005-0000-0000-0000550D0000}"/>
    <cellStyle name="Currency 5 5 3 2 2" xfId="7220" xr:uid="{00000000-0005-0000-0000-0000560D0000}"/>
    <cellStyle name="Currency 5 5 3 2 2 2" xfId="15662" xr:uid="{87E5A4DD-4E23-47DE-8A4B-0DBE3ECC1E55}"/>
    <cellStyle name="Currency 5 5 3 2 2 3" xfId="24097" xr:uid="{2677BA21-B574-4299-B38D-F2E2B6F266D0}"/>
    <cellStyle name="Currency 5 5 3 2 3" xfId="11444" xr:uid="{0C02F5E4-AE0D-44CA-8A5F-1A3A96C67FCF}"/>
    <cellStyle name="Currency 5 5 3 2 4" xfId="19880" xr:uid="{A3D15AE2-2DAD-44B5-990A-B42508AB7B12}"/>
    <cellStyle name="Currency 5 5 3 3" xfId="5075" xr:uid="{00000000-0005-0000-0000-0000570D0000}"/>
    <cellStyle name="Currency 5 5 3 3 2" xfId="13517" xr:uid="{A201A497-DF13-4E6A-8BA4-E99D6E8975F9}"/>
    <cellStyle name="Currency 5 5 3 3 3" xfId="21952" xr:uid="{B736419A-B998-4CDD-900E-3B637802B4F0}"/>
    <cellStyle name="Currency 5 5 3 4" xfId="9299" xr:uid="{17F28DAD-B778-4996-9C89-9858538F301E}"/>
    <cellStyle name="Currency 5 5 3 5" xfId="17735" xr:uid="{B5F2E16D-FB33-41AA-870F-F8AB70E36D13}"/>
    <cellStyle name="Currency 5 5 4" xfId="1179" xr:uid="{00000000-0005-0000-0000-0000580D0000}"/>
    <cellStyle name="Currency 5 5 4 2" xfId="3410" xr:uid="{00000000-0005-0000-0000-0000590D0000}"/>
    <cellStyle name="Currency 5 5 4 2 2" xfId="7633" xr:uid="{00000000-0005-0000-0000-00005A0D0000}"/>
    <cellStyle name="Currency 5 5 4 2 2 2" xfId="16075" xr:uid="{C9758915-0186-4DD1-8AD1-AE544C740FA6}"/>
    <cellStyle name="Currency 5 5 4 2 2 3" xfId="24510" xr:uid="{95643F4B-4131-4176-BC09-47D8BD3FB313}"/>
    <cellStyle name="Currency 5 5 4 2 3" xfId="11857" xr:uid="{5B8DF17E-8049-4506-8A64-8110AD084DA1}"/>
    <cellStyle name="Currency 5 5 4 2 4" xfId="20293" xr:uid="{609F1FAD-091C-4915-889A-DF86117EA88A}"/>
    <cellStyle name="Currency 5 5 4 3" xfId="5488" xr:uid="{00000000-0005-0000-0000-00005B0D0000}"/>
    <cellStyle name="Currency 5 5 4 3 2" xfId="13930" xr:uid="{F89D1464-9AA9-4865-A08B-50C1C1CE2574}"/>
    <cellStyle name="Currency 5 5 4 3 3" xfId="22365" xr:uid="{8F6A488E-69B6-49D5-B9D6-EE59590F01D5}"/>
    <cellStyle name="Currency 5 5 4 4" xfId="9712" xr:uid="{C0A25A4F-BC40-450A-BAA5-1A74BFE3111B}"/>
    <cellStyle name="Currency 5 5 4 5" xfId="18148" xr:uid="{B1D82CCB-64D2-4158-B773-EDE159A64F07}"/>
    <cellStyle name="Currency 5 5 5" xfId="1593" xr:uid="{00000000-0005-0000-0000-00005C0D0000}"/>
    <cellStyle name="Currency 5 5 5 2" xfId="3823" xr:uid="{00000000-0005-0000-0000-00005D0D0000}"/>
    <cellStyle name="Currency 5 5 5 2 2" xfId="8046" xr:uid="{00000000-0005-0000-0000-00005E0D0000}"/>
    <cellStyle name="Currency 5 5 5 2 2 2" xfId="16488" xr:uid="{11922166-472A-40BD-BC06-5E7EA952B4FF}"/>
    <cellStyle name="Currency 5 5 5 2 2 3" xfId="24923" xr:uid="{BD25E572-84FE-4B31-82D6-9FA8F7C062A5}"/>
    <cellStyle name="Currency 5 5 5 2 3" xfId="12270" xr:uid="{94A09595-633D-4A92-809F-7D4565D0C350}"/>
    <cellStyle name="Currency 5 5 5 2 4" xfId="20706" xr:uid="{0AD986F3-88E1-41ED-B4EF-F3E9A4F85CFB}"/>
    <cellStyle name="Currency 5 5 5 3" xfId="5901" xr:uid="{00000000-0005-0000-0000-00005F0D0000}"/>
    <cellStyle name="Currency 5 5 5 3 2" xfId="14343" xr:uid="{8751042A-5447-4704-BBA6-C32FE18E64AE}"/>
    <cellStyle name="Currency 5 5 5 3 3" xfId="22778" xr:uid="{65125F1E-100F-432C-B1E1-53507D717F2C}"/>
    <cellStyle name="Currency 5 5 5 4" xfId="10125" xr:uid="{4E7E919D-2C17-4D5B-9E2D-B5E643F0F354}"/>
    <cellStyle name="Currency 5 5 5 5" xfId="18561" xr:uid="{8CF8410B-1FAB-4FDE-8552-5E3AC9335E1B}"/>
    <cellStyle name="Currency 5 5 6" xfId="2007" xr:uid="{00000000-0005-0000-0000-0000600D0000}"/>
    <cellStyle name="Currency 5 5 6 2" xfId="4236" xr:uid="{00000000-0005-0000-0000-0000610D0000}"/>
    <cellStyle name="Currency 5 5 6 2 2" xfId="8459" xr:uid="{00000000-0005-0000-0000-0000620D0000}"/>
    <cellStyle name="Currency 5 5 6 2 2 2" xfId="16901" xr:uid="{A4DBBC8B-8C13-432E-BC20-590DAABE2B66}"/>
    <cellStyle name="Currency 5 5 6 2 2 3" xfId="25336" xr:uid="{B3852775-DFEE-40E5-9FA1-7EC66EF3DFEE}"/>
    <cellStyle name="Currency 5 5 6 2 3" xfId="12683" xr:uid="{A15D7CA9-03B1-4A22-81AC-24C9A6089BA3}"/>
    <cellStyle name="Currency 5 5 6 2 4" xfId="21119" xr:uid="{E1E77D2B-80F5-4D41-811F-74EA774C2013}"/>
    <cellStyle name="Currency 5 5 6 3" xfId="6314" xr:uid="{00000000-0005-0000-0000-0000630D0000}"/>
    <cellStyle name="Currency 5 5 6 3 2" xfId="14756" xr:uid="{6B113F92-A25B-4E60-A305-AC47B0D7B096}"/>
    <cellStyle name="Currency 5 5 6 3 3" xfId="23191" xr:uid="{FCE1B439-5487-4DE9-8142-BAA48931C94F}"/>
    <cellStyle name="Currency 5 5 6 4" xfId="10538" xr:uid="{F0B0D921-3D14-4D14-825F-B33559364CA1}"/>
    <cellStyle name="Currency 5 5 6 5" xfId="18974" xr:uid="{46315DFB-788E-433C-8133-39D05FA6E7DA}"/>
    <cellStyle name="Currency 5 5 7" xfId="2442" xr:uid="{00000000-0005-0000-0000-0000640D0000}"/>
    <cellStyle name="Currency 5 5 7 2" xfId="6727" xr:uid="{00000000-0005-0000-0000-0000650D0000}"/>
    <cellStyle name="Currency 5 5 7 2 2" xfId="15169" xr:uid="{BDD509DE-CD7D-4A43-B1F5-C5A6F7C05C81}"/>
    <cellStyle name="Currency 5 5 7 2 3" xfId="23604" xr:uid="{DDDE45A9-B299-4CE0-9B0D-B6D4DE71FC41}"/>
    <cellStyle name="Currency 5 5 7 3" xfId="10951" xr:uid="{29CEBE30-D43B-4E8F-992F-2DBF32D0A2A8}"/>
    <cellStyle name="Currency 5 5 7 4" xfId="19387" xr:uid="{1D424621-841A-4D08-8A48-F837CD13A9BE}"/>
    <cellStyle name="Currency 5 5 8" xfId="2739" xr:uid="{00000000-0005-0000-0000-0000660D0000}"/>
    <cellStyle name="Currency 5 5 9" xfId="2820" xr:uid="{00000000-0005-0000-0000-0000670D0000}"/>
    <cellStyle name="Currency 5 5 9 2" xfId="7044" xr:uid="{00000000-0005-0000-0000-0000680D0000}"/>
    <cellStyle name="Currency 5 5 9 2 2" xfId="15486" xr:uid="{E0687B6F-D91C-43F2-B6DE-550E31B08E8B}"/>
    <cellStyle name="Currency 5 5 9 2 3" xfId="23921" xr:uid="{354A0944-7DA5-4F4B-804F-DBC24628C541}"/>
    <cellStyle name="Currency 5 5 9 3" xfId="11268" xr:uid="{809F776D-23D3-4B90-81BC-A23B8ED54301}"/>
    <cellStyle name="Currency 5 5 9 4" xfId="19704" xr:uid="{F018BC66-45D4-4D9F-BA54-DDDB0B37C8C8}"/>
    <cellStyle name="Currency 5 6" xfId="221" xr:uid="{00000000-0005-0000-0000-0000690D0000}"/>
    <cellStyle name="Currency 5 6 10" xfId="8887" xr:uid="{DB7DF727-6544-48F9-9394-BEA29BB796D5}"/>
    <cellStyle name="Currency 5 6 11" xfId="17323" xr:uid="{5FC9F345-BA3B-438A-B08C-E4C69CB70997}"/>
    <cellStyle name="Currency 5 6 2" xfId="747" xr:uid="{00000000-0005-0000-0000-00006A0D0000}"/>
    <cellStyle name="Currency 5 6 2 2" xfId="2999" xr:uid="{00000000-0005-0000-0000-00006B0D0000}"/>
    <cellStyle name="Currency 5 6 2 2 2" xfId="7222" xr:uid="{00000000-0005-0000-0000-00006C0D0000}"/>
    <cellStyle name="Currency 5 6 2 2 2 2" xfId="15664" xr:uid="{DCBBE190-CCBC-4787-9E5F-31EACE2AC27A}"/>
    <cellStyle name="Currency 5 6 2 2 2 3" xfId="24099" xr:uid="{8D71CF6B-E454-4F88-AE2D-4CF261CB020F}"/>
    <cellStyle name="Currency 5 6 2 2 3" xfId="11446" xr:uid="{8ABC4DF9-72BA-44E5-A6CC-C46B4C5C985E}"/>
    <cellStyle name="Currency 5 6 2 2 4" xfId="19882" xr:uid="{F09D7CA3-F64F-4064-BDF5-DBF2BA72AB8C}"/>
    <cellStyle name="Currency 5 6 2 3" xfId="5077" xr:uid="{00000000-0005-0000-0000-00006D0D0000}"/>
    <cellStyle name="Currency 5 6 2 3 2" xfId="13519" xr:uid="{D4C35B9D-B7F3-48EA-BD7D-7B914447DEBC}"/>
    <cellStyle name="Currency 5 6 2 3 3" xfId="21954" xr:uid="{97413E08-E49B-4116-8A33-6284D0958BCE}"/>
    <cellStyle name="Currency 5 6 2 4" xfId="9301" xr:uid="{3F04DC58-1BB2-4D5A-BBB1-C728165A6FA0}"/>
    <cellStyle name="Currency 5 6 2 5" xfId="17737" xr:uid="{0F1CA85D-FA1B-4351-A4F7-EE2B7C02C994}"/>
    <cellStyle name="Currency 5 6 3" xfId="1181" xr:uid="{00000000-0005-0000-0000-00006E0D0000}"/>
    <cellStyle name="Currency 5 6 3 2" xfId="3412" xr:uid="{00000000-0005-0000-0000-00006F0D0000}"/>
    <cellStyle name="Currency 5 6 3 2 2" xfId="7635" xr:uid="{00000000-0005-0000-0000-0000700D0000}"/>
    <cellStyle name="Currency 5 6 3 2 2 2" xfId="16077" xr:uid="{E400789E-350B-44DC-BE32-713C5FA6CAC2}"/>
    <cellStyle name="Currency 5 6 3 2 2 3" xfId="24512" xr:uid="{0CBAAA07-F157-425D-9CEA-CA92B2BA527E}"/>
    <cellStyle name="Currency 5 6 3 2 3" xfId="11859" xr:uid="{12E877E4-DB6C-446F-8402-CB8894CB3C5D}"/>
    <cellStyle name="Currency 5 6 3 2 4" xfId="20295" xr:uid="{304CD963-DCDF-44B4-8E4D-5F97CFB0206A}"/>
    <cellStyle name="Currency 5 6 3 3" xfId="5490" xr:uid="{00000000-0005-0000-0000-0000710D0000}"/>
    <cellStyle name="Currency 5 6 3 3 2" xfId="13932" xr:uid="{E219FF6D-5DED-4483-8AA7-F05604AB7FDD}"/>
    <cellStyle name="Currency 5 6 3 3 3" xfId="22367" xr:uid="{5EE42369-058A-4E91-B563-B9E84B9FD301}"/>
    <cellStyle name="Currency 5 6 3 4" xfId="9714" xr:uid="{1B95C1BE-E60E-42E1-966C-DE20D2108D8C}"/>
    <cellStyle name="Currency 5 6 3 5" xfId="18150" xr:uid="{8FF95A9E-9542-4379-AFAD-177269F0104B}"/>
    <cellStyle name="Currency 5 6 4" xfId="1595" xr:uid="{00000000-0005-0000-0000-0000720D0000}"/>
    <cellStyle name="Currency 5 6 4 2" xfId="3825" xr:uid="{00000000-0005-0000-0000-0000730D0000}"/>
    <cellStyle name="Currency 5 6 4 2 2" xfId="8048" xr:uid="{00000000-0005-0000-0000-0000740D0000}"/>
    <cellStyle name="Currency 5 6 4 2 2 2" xfId="16490" xr:uid="{7B5FD0ED-1EF4-47C1-A033-CDE234FD1C6B}"/>
    <cellStyle name="Currency 5 6 4 2 2 3" xfId="24925" xr:uid="{628EF31C-BAB9-4EA9-947C-DA25BF67E499}"/>
    <cellStyle name="Currency 5 6 4 2 3" xfId="12272" xr:uid="{FE93A4EE-1400-4E98-984B-1C69C0A6281D}"/>
    <cellStyle name="Currency 5 6 4 2 4" xfId="20708" xr:uid="{0E6EFD9D-21CC-44DF-B4D0-7A6DCCF0C0C4}"/>
    <cellStyle name="Currency 5 6 4 3" xfId="5903" xr:uid="{00000000-0005-0000-0000-0000750D0000}"/>
    <cellStyle name="Currency 5 6 4 3 2" xfId="14345" xr:uid="{6D7EBD7E-7607-4287-AFB9-2FF3C028D41B}"/>
    <cellStyle name="Currency 5 6 4 3 3" xfId="22780" xr:uid="{0487D5B6-A583-4C55-9342-1F81FE3DD09B}"/>
    <cellStyle name="Currency 5 6 4 4" xfId="10127" xr:uid="{51186FAC-FDB6-4E90-AEA4-458F7969EF8B}"/>
    <cellStyle name="Currency 5 6 4 5" xfId="18563" xr:uid="{ACDE86B9-8A18-423B-9A9C-1C3B4E0B98F1}"/>
    <cellStyle name="Currency 5 6 5" xfId="2009" xr:uid="{00000000-0005-0000-0000-0000760D0000}"/>
    <cellStyle name="Currency 5 6 5 2" xfId="4238" xr:uid="{00000000-0005-0000-0000-0000770D0000}"/>
    <cellStyle name="Currency 5 6 5 2 2" xfId="8461" xr:uid="{00000000-0005-0000-0000-0000780D0000}"/>
    <cellStyle name="Currency 5 6 5 2 2 2" xfId="16903" xr:uid="{E7F85391-17C7-4D82-B04E-B64487AF5B41}"/>
    <cellStyle name="Currency 5 6 5 2 2 3" xfId="25338" xr:uid="{DAE89787-0B14-4399-B746-F88F036AFCE9}"/>
    <cellStyle name="Currency 5 6 5 2 3" xfId="12685" xr:uid="{F64D51F2-E28D-4C28-8930-34A5109130F2}"/>
    <cellStyle name="Currency 5 6 5 2 4" xfId="21121" xr:uid="{48CF9260-0ACA-4AAE-AFE5-0B53BA8BB351}"/>
    <cellStyle name="Currency 5 6 5 3" xfId="6316" xr:uid="{00000000-0005-0000-0000-0000790D0000}"/>
    <cellStyle name="Currency 5 6 5 3 2" xfId="14758" xr:uid="{6E6D5470-45C9-40E3-91B5-8274C964ED04}"/>
    <cellStyle name="Currency 5 6 5 3 3" xfId="23193" xr:uid="{6CA6FBB1-5461-4D61-8A1A-092D5386F099}"/>
    <cellStyle name="Currency 5 6 5 4" xfId="10540" xr:uid="{D2F2D471-D312-4E30-AA09-812E71497993}"/>
    <cellStyle name="Currency 5 6 5 5" xfId="18976" xr:uid="{77D4B98D-D588-4E19-8D3F-9DED6E277378}"/>
    <cellStyle name="Currency 5 6 6" xfId="2444" xr:uid="{00000000-0005-0000-0000-00007A0D0000}"/>
    <cellStyle name="Currency 5 6 6 2" xfId="6729" xr:uid="{00000000-0005-0000-0000-00007B0D0000}"/>
    <cellStyle name="Currency 5 6 6 2 2" xfId="15171" xr:uid="{5CF75355-1061-4943-B861-D3808C0263F4}"/>
    <cellStyle name="Currency 5 6 6 2 3" xfId="23606" xr:uid="{85A23844-649B-4E1D-A987-30AC74AB25FC}"/>
    <cellStyle name="Currency 5 6 6 3" xfId="10953" xr:uid="{9031BA19-D4C2-4408-B36B-3EAF6F7688D4}"/>
    <cellStyle name="Currency 5 6 6 4" xfId="19389" xr:uid="{B4495B5D-5762-43ED-A80D-2C045DE2A65A}"/>
    <cellStyle name="Currency 5 6 7" xfId="2741" xr:uid="{00000000-0005-0000-0000-00007C0D0000}"/>
    <cellStyle name="Currency 5 6 8" xfId="2822" xr:uid="{00000000-0005-0000-0000-00007D0D0000}"/>
    <cellStyle name="Currency 5 6 8 2" xfId="7046" xr:uid="{00000000-0005-0000-0000-00007E0D0000}"/>
    <cellStyle name="Currency 5 6 8 2 2" xfId="15488" xr:uid="{3943BBB1-67B6-44F2-B57F-2613BA592D87}"/>
    <cellStyle name="Currency 5 6 8 2 3" xfId="23923" xr:uid="{CD2BBD97-4606-4F9D-9DE7-2E432902E024}"/>
    <cellStyle name="Currency 5 6 8 3" xfId="11270" xr:uid="{9CF98F7A-8D35-4BFD-8470-AC83809788FF}"/>
    <cellStyle name="Currency 5 6 8 4" xfId="19706" xr:uid="{E4A913F4-181C-4003-B420-8C9EB874EA91}"/>
    <cellStyle name="Currency 5 6 9" xfId="4663" xr:uid="{00000000-0005-0000-0000-00007F0D0000}"/>
    <cellStyle name="Currency 5 6 9 2" xfId="13105" xr:uid="{5AB9EED1-E4F3-44C0-95D1-244B9E7D1F14}"/>
    <cellStyle name="Currency 5 6 9 3" xfId="21540" xr:uid="{42D897AB-5C5D-4D85-BC63-6AE93DFC52E2}"/>
    <cellStyle name="Currency 5 7" xfId="222" xr:uid="{00000000-0005-0000-0000-0000800D0000}"/>
    <cellStyle name="Currency 5 7 10" xfId="8888" xr:uid="{2BB8C1E7-E6C5-4D6F-8117-F78BCA0A2DBE}"/>
    <cellStyle name="Currency 5 7 11" xfId="17324" xr:uid="{343DB7E5-BB82-4244-AA2A-C4061255D8A9}"/>
    <cellStyle name="Currency 5 7 2" xfId="748" xr:uid="{00000000-0005-0000-0000-0000810D0000}"/>
    <cellStyle name="Currency 5 7 2 2" xfId="3000" xr:uid="{00000000-0005-0000-0000-0000820D0000}"/>
    <cellStyle name="Currency 5 7 2 2 2" xfId="7223" xr:uid="{00000000-0005-0000-0000-0000830D0000}"/>
    <cellStyle name="Currency 5 7 2 2 2 2" xfId="15665" xr:uid="{93B1469D-6365-434C-A0D0-096B062063CB}"/>
    <cellStyle name="Currency 5 7 2 2 2 3" xfId="24100" xr:uid="{0F449A71-8A0F-4ED7-8001-55FDFE203C90}"/>
    <cellStyle name="Currency 5 7 2 2 3" xfId="11447" xr:uid="{08518F36-F24D-45A3-B70A-392B8FEE52C4}"/>
    <cellStyle name="Currency 5 7 2 2 4" xfId="19883" xr:uid="{B65D2246-15C5-46B2-B554-9990E995B814}"/>
    <cellStyle name="Currency 5 7 2 3" xfId="5078" xr:uid="{00000000-0005-0000-0000-0000840D0000}"/>
    <cellStyle name="Currency 5 7 2 3 2" xfId="13520" xr:uid="{41387C7B-4356-45F3-B468-B567C9CBF15E}"/>
    <cellStyle name="Currency 5 7 2 3 3" xfId="21955" xr:uid="{DF47D47A-E074-41E1-B9CA-84F6C10B28A2}"/>
    <cellStyle name="Currency 5 7 2 4" xfId="9302" xr:uid="{C6C87100-1E29-4254-8DBC-0D56747963FF}"/>
    <cellStyle name="Currency 5 7 2 5" xfId="17738" xr:uid="{D64E1567-A4EB-4E9E-BA7C-389919E02C9B}"/>
    <cellStyle name="Currency 5 7 3" xfId="1182" xr:uid="{00000000-0005-0000-0000-0000850D0000}"/>
    <cellStyle name="Currency 5 7 3 2" xfId="3413" xr:uid="{00000000-0005-0000-0000-0000860D0000}"/>
    <cellStyle name="Currency 5 7 3 2 2" xfId="7636" xr:uid="{00000000-0005-0000-0000-0000870D0000}"/>
    <cellStyle name="Currency 5 7 3 2 2 2" xfId="16078" xr:uid="{DD95BBA3-41DF-4AAF-A601-E4884BBE218D}"/>
    <cellStyle name="Currency 5 7 3 2 2 3" xfId="24513" xr:uid="{3FD2FC64-5495-484B-9EE1-93545502A085}"/>
    <cellStyle name="Currency 5 7 3 2 3" xfId="11860" xr:uid="{A716D61C-99AF-4659-8E04-8E6B9C2D7E49}"/>
    <cellStyle name="Currency 5 7 3 2 4" xfId="20296" xr:uid="{B8FA7A1A-2AD9-489E-9D9F-1D81A10CB8B2}"/>
    <cellStyle name="Currency 5 7 3 3" xfId="5491" xr:uid="{00000000-0005-0000-0000-0000880D0000}"/>
    <cellStyle name="Currency 5 7 3 3 2" xfId="13933" xr:uid="{88085FC4-A9C1-4139-9B18-5926F7829C13}"/>
    <cellStyle name="Currency 5 7 3 3 3" xfId="22368" xr:uid="{4EB6E20D-3BBF-40DA-BD19-C9029C195859}"/>
    <cellStyle name="Currency 5 7 3 4" xfId="9715" xr:uid="{77253BF8-0FB9-4475-858E-0024F88B6AF8}"/>
    <cellStyle name="Currency 5 7 3 5" xfId="18151" xr:uid="{32758CCC-ED53-499F-B12A-B83CF7DB5C88}"/>
    <cellStyle name="Currency 5 7 4" xfId="1596" xr:uid="{00000000-0005-0000-0000-0000890D0000}"/>
    <cellStyle name="Currency 5 7 4 2" xfId="3826" xr:uid="{00000000-0005-0000-0000-00008A0D0000}"/>
    <cellStyle name="Currency 5 7 4 2 2" xfId="8049" xr:uid="{00000000-0005-0000-0000-00008B0D0000}"/>
    <cellStyle name="Currency 5 7 4 2 2 2" xfId="16491" xr:uid="{A5905FF1-AFC8-4648-A99D-F3485AC1E5EC}"/>
    <cellStyle name="Currency 5 7 4 2 2 3" xfId="24926" xr:uid="{1459857A-8DFF-409A-816B-C2A65C4D7FDD}"/>
    <cellStyle name="Currency 5 7 4 2 3" xfId="12273" xr:uid="{3DDE4031-3819-4C24-B321-1362A998DB96}"/>
    <cellStyle name="Currency 5 7 4 2 4" xfId="20709" xr:uid="{0D8C7B51-4350-4EF9-AB77-F4839216F6B7}"/>
    <cellStyle name="Currency 5 7 4 3" xfId="5904" xr:uid="{00000000-0005-0000-0000-00008C0D0000}"/>
    <cellStyle name="Currency 5 7 4 3 2" xfId="14346" xr:uid="{A18BECC6-D253-421C-BE0E-3C596303C2F3}"/>
    <cellStyle name="Currency 5 7 4 3 3" xfId="22781" xr:uid="{332F8DC0-860B-4770-891C-E8790A4DC79E}"/>
    <cellStyle name="Currency 5 7 4 4" xfId="10128" xr:uid="{FA20061D-76AF-4F20-A02A-DBACB14C9E5A}"/>
    <cellStyle name="Currency 5 7 4 5" xfId="18564" xr:uid="{85096577-96B6-438B-8F21-AF101378E7F0}"/>
    <cellStyle name="Currency 5 7 5" xfId="2010" xr:uid="{00000000-0005-0000-0000-00008D0D0000}"/>
    <cellStyle name="Currency 5 7 5 2" xfId="4239" xr:uid="{00000000-0005-0000-0000-00008E0D0000}"/>
    <cellStyle name="Currency 5 7 5 2 2" xfId="8462" xr:uid="{00000000-0005-0000-0000-00008F0D0000}"/>
    <cellStyle name="Currency 5 7 5 2 2 2" xfId="16904" xr:uid="{A85CB1B7-F46E-48E5-81EC-B0F04FB05FC5}"/>
    <cellStyle name="Currency 5 7 5 2 2 3" xfId="25339" xr:uid="{763DF8FB-EE9C-4D3E-897E-6D4864C7B37F}"/>
    <cellStyle name="Currency 5 7 5 2 3" xfId="12686" xr:uid="{E7D0BDA2-678A-49BE-9DDA-6D03FFF1FC8C}"/>
    <cellStyle name="Currency 5 7 5 2 4" xfId="21122" xr:uid="{6B5AD861-8199-4600-9860-28C7293276CD}"/>
    <cellStyle name="Currency 5 7 5 3" xfId="6317" xr:uid="{00000000-0005-0000-0000-0000900D0000}"/>
    <cellStyle name="Currency 5 7 5 3 2" xfId="14759" xr:uid="{CA456355-BC92-4B62-B62C-8CEE1CCA1760}"/>
    <cellStyle name="Currency 5 7 5 3 3" xfId="23194" xr:uid="{439252E5-F52F-439E-93D2-66F73BCB30A7}"/>
    <cellStyle name="Currency 5 7 5 4" xfId="10541" xr:uid="{ED1E0C4B-A923-4D1C-8CF5-45028F75CBCF}"/>
    <cellStyle name="Currency 5 7 5 5" xfId="18977" xr:uid="{039066C3-F828-4B2C-B20F-C78EEDB5D9CC}"/>
    <cellStyle name="Currency 5 7 6" xfId="2445" xr:uid="{00000000-0005-0000-0000-0000910D0000}"/>
    <cellStyle name="Currency 5 7 6 2" xfId="6730" xr:uid="{00000000-0005-0000-0000-0000920D0000}"/>
    <cellStyle name="Currency 5 7 6 2 2" xfId="15172" xr:uid="{86423718-7A1F-457C-8A7B-C942EBAE036F}"/>
    <cellStyle name="Currency 5 7 6 2 3" xfId="23607" xr:uid="{00944DD2-8800-401E-AA70-B6481A3E20D8}"/>
    <cellStyle name="Currency 5 7 6 3" xfId="10954" xr:uid="{642CFA9E-EF6B-449D-BFC5-0C5F576A7F5D}"/>
    <cellStyle name="Currency 5 7 6 4" xfId="19390" xr:uid="{F6428DC4-04CE-45BC-8C72-8821F56A3CF5}"/>
    <cellStyle name="Currency 5 7 7" xfId="2742" xr:uid="{00000000-0005-0000-0000-0000930D0000}"/>
    <cellStyle name="Currency 5 7 8" xfId="2823" xr:uid="{00000000-0005-0000-0000-0000940D0000}"/>
    <cellStyle name="Currency 5 7 8 2" xfId="7047" xr:uid="{00000000-0005-0000-0000-0000950D0000}"/>
    <cellStyle name="Currency 5 7 8 2 2" xfId="15489" xr:uid="{F4247278-0917-4A9E-9408-61A186C63257}"/>
    <cellStyle name="Currency 5 7 8 2 3" xfId="23924" xr:uid="{98B1447E-27F3-4A52-9E68-D071C6ECEA27}"/>
    <cellStyle name="Currency 5 7 8 3" xfId="11271" xr:uid="{5D01FA0B-18E0-4004-930F-8EFEC9BE378A}"/>
    <cellStyle name="Currency 5 7 8 4" xfId="19707" xr:uid="{C698BDFB-86DD-4044-9187-38A88EE51CD1}"/>
    <cellStyle name="Currency 5 7 9" xfId="4664" xr:uid="{00000000-0005-0000-0000-0000960D0000}"/>
    <cellStyle name="Currency 5 7 9 2" xfId="13106" xr:uid="{2C0D4676-E7E1-4207-BD29-B4A984465296}"/>
    <cellStyle name="Currency 5 7 9 3" xfId="21541" xr:uid="{A8E3ECE3-6DE3-4EC2-A48A-55E9B388969E}"/>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17164" xr:uid="{792B13B5-77FE-44AA-8959-7EE7EA9592C6}"/>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0 2 2" xfId="15173" xr:uid="{F86145E2-B360-46F5-9B56-6D572D45AA1B}"/>
    <cellStyle name="Normal 12 10 2 3" xfId="23608" xr:uid="{E728A087-B80D-4783-8CA8-8E78C18767B6}"/>
    <cellStyle name="Normal 12 10 3" xfId="10955" xr:uid="{E7449797-6A90-45CE-9F47-477CBFB187CF}"/>
    <cellStyle name="Normal 12 10 4" xfId="19391" xr:uid="{09D3BF57-F844-487E-A220-AD3EBCFE93A8}"/>
    <cellStyle name="Normal 12 11" xfId="4665" xr:uid="{00000000-0005-0000-0000-0000CC0D0000}"/>
    <cellStyle name="Normal 12 11 2" xfId="13107" xr:uid="{EB0E4E4D-7F61-4645-A042-4452B364CE52}"/>
    <cellStyle name="Normal 12 11 3" xfId="21542" xr:uid="{4EBE8BDB-65DD-42E5-BD2D-79DF935E91C5}"/>
    <cellStyle name="Normal 12 12" xfId="8889" xr:uid="{EC515713-2021-4441-89C4-9AD8F788097A}"/>
    <cellStyle name="Normal 12 13" xfId="17325" xr:uid="{B77B49AF-A83A-4ED8-8087-80332A9DC638}"/>
    <cellStyle name="Normal 12 2" xfId="260" xr:uid="{00000000-0005-0000-0000-0000CD0D0000}"/>
    <cellStyle name="Normal 12 2 10" xfId="8890" xr:uid="{115FC298-F6D7-40BE-812F-7755E48F6A04}"/>
    <cellStyle name="Normal 12 2 11" xfId="17326" xr:uid="{A036A08A-827A-4F1C-9A94-180B491A88B8}"/>
    <cellStyle name="Normal 12 2 2" xfId="261" xr:uid="{00000000-0005-0000-0000-0000CE0D0000}"/>
    <cellStyle name="Normal 12 2 2 10" xfId="17327" xr:uid="{AD3A6035-7A04-418E-9590-16A425E59CC7}"/>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2 2 2" xfId="15669" xr:uid="{0D44F619-FB98-43F9-8D96-2C00D0A0D987}"/>
    <cellStyle name="Normal 12 2 2 2 2 2 2 3" xfId="24104" xr:uid="{24753998-92D9-4539-9C10-315BAE0FB535}"/>
    <cellStyle name="Normal 12 2 2 2 2 2 3" xfId="11451" xr:uid="{961ABD7D-A424-49A2-9282-13B3BDDEAD00}"/>
    <cellStyle name="Normal 12 2 2 2 2 2 4" xfId="19887" xr:uid="{E9F55D7C-DD91-4AE2-B21B-189914C22397}"/>
    <cellStyle name="Normal 12 2 2 2 2 3" xfId="5082" xr:uid="{00000000-0005-0000-0000-0000D30D0000}"/>
    <cellStyle name="Normal 12 2 2 2 2 3 2" xfId="13524" xr:uid="{9A20F28D-6C58-4E51-A758-E7F26E353972}"/>
    <cellStyle name="Normal 12 2 2 2 2 3 3" xfId="21959" xr:uid="{1302262D-C1AF-411A-A070-1C257BD5CC02}"/>
    <cellStyle name="Normal 12 2 2 2 2 4" xfId="9306" xr:uid="{517014CF-D22B-4ADC-A0A8-3E05E468670B}"/>
    <cellStyle name="Normal 12 2 2 2 2 5" xfId="17742" xr:uid="{A9303409-14F9-4A4F-8B4B-366D5DAACC27}"/>
    <cellStyle name="Normal 12 2 2 2 3" xfId="1186" xr:uid="{00000000-0005-0000-0000-0000D40D0000}"/>
    <cellStyle name="Normal 12 2 2 2 3 2" xfId="3417" xr:uid="{00000000-0005-0000-0000-0000D50D0000}"/>
    <cellStyle name="Normal 12 2 2 2 3 2 2" xfId="7640" xr:uid="{00000000-0005-0000-0000-0000D60D0000}"/>
    <cellStyle name="Normal 12 2 2 2 3 2 2 2" xfId="16082" xr:uid="{2041C6AF-3E39-49F4-8C0C-D24C4ADC4DD0}"/>
    <cellStyle name="Normal 12 2 2 2 3 2 2 3" xfId="24517" xr:uid="{0D812503-4C3D-4A4F-A5E8-9F6D9FC5A236}"/>
    <cellStyle name="Normal 12 2 2 2 3 2 3" xfId="11864" xr:uid="{30ED1FC4-A3DC-494C-9574-44B84F2D4216}"/>
    <cellStyle name="Normal 12 2 2 2 3 2 4" xfId="20300" xr:uid="{80CC0CEE-939A-4923-BADF-76EB900630BD}"/>
    <cellStyle name="Normal 12 2 2 2 3 3" xfId="5495" xr:uid="{00000000-0005-0000-0000-0000D70D0000}"/>
    <cellStyle name="Normal 12 2 2 2 3 3 2" xfId="13937" xr:uid="{F8A227F9-C949-4541-A4D9-685583F667FB}"/>
    <cellStyle name="Normal 12 2 2 2 3 3 3" xfId="22372" xr:uid="{F1B95DF2-5E1E-44DD-A330-7623326FFE05}"/>
    <cellStyle name="Normal 12 2 2 2 3 4" xfId="9719" xr:uid="{3515D95F-DD67-467B-BF4E-9FAFC68384A9}"/>
    <cellStyle name="Normal 12 2 2 2 3 5" xfId="18155" xr:uid="{04823EAB-E2DE-445C-9B3B-68A60B2319A1}"/>
    <cellStyle name="Normal 12 2 2 2 4" xfId="1600" xr:uid="{00000000-0005-0000-0000-0000D80D0000}"/>
    <cellStyle name="Normal 12 2 2 2 4 2" xfId="3830" xr:uid="{00000000-0005-0000-0000-0000D90D0000}"/>
    <cellStyle name="Normal 12 2 2 2 4 2 2" xfId="8053" xr:uid="{00000000-0005-0000-0000-0000DA0D0000}"/>
    <cellStyle name="Normal 12 2 2 2 4 2 2 2" xfId="16495" xr:uid="{3E59BBE2-34C2-41D5-8908-A6B6C4B695CE}"/>
    <cellStyle name="Normal 12 2 2 2 4 2 2 3" xfId="24930" xr:uid="{DAD32233-4536-477C-B26A-A0459A904259}"/>
    <cellStyle name="Normal 12 2 2 2 4 2 3" xfId="12277" xr:uid="{11D38F63-7ADC-4865-BF09-46998EADC2EF}"/>
    <cellStyle name="Normal 12 2 2 2 4 2 4" xfId="20713" xr:uid="{5D0542C4-7D97-424E-81F7-F34210B0C711}"/>
    <cellStyle name="Normal 12 2 2 2 4 3" xfId="5908" xr:uid="{00000000-0005-0000-0000-0000DB0D0000}"/>
    <cellStyle name="Normal 12 2 2 2 4 3 2" xfId="14350" xr:uid="{840DB9FC-0F2E-46ED-8F02-322351EBDA8B}"/>
    <cellStyle name="Normal 12 2 2 2 4 3 3" xfId="22785" xr:uid="{86A84600-F660-4838-9FAA-C749EC50D156}"/>
    <cellStyle name="Normal 12 2 2 2 4 4" xfId="10132" xr:uid="{3FDB8650-CE69-4436-8FA1-49D2B31E28CE}"/>
    <cellStyle name="Normal 12 2 2 2 4 5" xfId="18568" xr:uid="{72D620E7-5770-43FD-9044-4A929AFD37A3}"/>
    <cellStyle name="Normal 12 2 2 2 5" xfId="2014" xr:uid="{00000000-0005-0000-0000-0000DC0D0000}"/>
    <cellStyle name="Normal 12 2 2 2 5 2" xfId="4243" xr:uid="{00000000-0005-0000-0000-0000DD0D0000}"/>
    <cellStyle name="Normal 12 2 2 2 5 2 2" xfId="8466" xr:uid="{00000000-0005-0000-0000-0000DE0D0000}"/>
    <cellStyle name="Normal 12 2 2 2 5 2 2 2" xfId="16908" xr:uid="{293A2B57-8C0A-4EEB-B844-5DA691EB22AC}"/>
    <cellStyle name="Normal 12 2 2 2 5 2 2 3" xfId="25343" xr:uid="{2143A3AE-3531-47FA-8D20-5E74FEC1EFC1}"/>
    <cellStyle name="Normal 12 2 2 2 5 2 3" xfId="12690" xr:uid="{DE1C589E-BBB9-4FE1-945E-94CFA8E57D77}"/>
    <cellStyle name="Normal 12 2 2 2 5 2 4" xfId="21126" xr:uid="{B01A95C1-F750-47DF-9906-3C0BA02C760C}"/>
    <cellStyle name="Normal 12 2 2 2 5 3" xfId="6321" xr:uid="{00000000-0005-0000-0000-0000DF0D0000}"/>
    <cellStyle name="Normal 12 2 2 2 5 3 2" xfId="14763" xr:uid="{2AC23C29-2301-4083-82D5-C79E5D97922B}"/>
    <cellStyle name="Normal 12 2 2 2 5 3 3" xfId="23198" xr:uid="{12397B07-9166-470D-9128-07F8E3C57859}"/>
    <cellStyle name="Normal 12 2 2 2 5 4" xfId="10545" xr:uid="{6FDED861-781D-425C-BCD5-8CE387CF43DE}"/>
    <cellStyle name="Normal 12 2 2 2 5 5" xfId="18981" xr:uid="{88025684-4C81-4785-9A35-5BF93FF30454}"/>
    <cellStyle name="Normal 12 2 2 2 6" xfId="2450" xr:uid="{00000000-0005-0000-0000-0000E00D0000}"/>
    <cellStyle name="Normal 12 2 2 2 6 2" xfId="6734" xr:uid="{00000000-0005-0000-0000-0000E10D0000}"/>
    <cellStyle name="Normal 12 2 2 2 6 2 2" xfId="15176" xr:uid="{4C596EE7-9D7A-4E59-8E6E-7AEBDA29DF14}"/>
    <cellStyle name="Normal 12 2 2 2 6 2 3" xfId="23611" xr:uid="{2AB49392-D99A-4D0E-9B40-B2F1DD7B132B}"/>
    <cellStyle name="Normal 12 2 2 2 6 3" xfId="10958" xr:uid="{48B13639-19B3-4699-8D40-5C12BCDFBDAE}"/>
    <cellStyle name="Normal 12 2 2 2 6 4" xfId="19394" xr:uid="{3F59A015-C0D1-497B-891E-446D2C6BE154}"/>
    <cellStyle name="Normal 12 2 2 2 7" xfId="4668" xr:uid="{00000000-0005-0000-0000-0000E20D0000}"/>
    <cellStyle name="Normal 12 2 2 2 7 2" xfId="13110" xr:uid="{3D729C4B-5191-4428-A88E-F3B9C50D3ADB}"/>
    <cellStyle name="Normal 12 2 2 2 7 3" xfId="21545" xr:uid="{79221B3B-9D6C-444D-9989-9DE67B2721BF}"/>
    <cellStyle name="Normal 12 2 2 2 8" xfId="8892" xr:uid="{F52A0CD8-3823-463D-9808-BE1CC491C5B2}"/>
    <cellStyle name="Normal 12 2 2 2 9" xfId="17328" xr:uid="{4EF07185-2E28-4D6A-B040-7F562CDAB46E}"/>
    <cellStyle name="Normal 12 2 2 3" xfId="762" xr:uid="{00000000-0005-0000-0000-0000E30D0000}"/>
    <cellStyle name="Normal 12 2 2 3 2" xfId="3003" xr:uid="{00000000-0005-0000-0000-0000E40D0000}"/>
    <cellStyle name="Normal 12 2 2 3 2 2" xfId="7226" xr:uid="{00000000-0005-0000-0000-0000E50D0000}"/>
    <cellStyle name="Normal 12 2 2 3 2 2 2" xfId="15668" xr:uid="{1C2403D5-DAE2-4C3E-8088-FB5D9C581CFE}"/>
    <cellStyle name="Normal 12 2 2 3 2 2 3" xfId="24103" xr:uid="{C49E6C0E-207A-42E6-9821-C9225EB93B6A}"/>
    <cellStyle name="Normal 12 2 2 3 2 3" xfId="11450" xr:uid="{91F5DB9A-62A8-4CD2-B2EA-76C5682C4264}"/>
    <cellStyle name="Normal 12 2 2 3 2 4" xfId="19886" xr:uid="{607B7B94-E108-4D17-99FB-813C03433674}"/>
    <cellStyle name="Normal 12 2 2 3 3" xfId="5081" xr:uid="{00000000-0005-0000-0000-0000E60D0000}"/>
    <cellStyle name="Normal 12 2 2 3 3 2" xfId="13523" xr:uid="{4EE4282D-88D3-490B-99EB-6B69365E43DD}"/>
    <cellStyle name="Normal 12 2 2 3 3 3" xfId="21958" xr:uid="{675715EA-37D0-4B44-BFE5-1A40840509F8}"/>
    <cellStyle name="Normal 12 2 2 3 4" xfId="9305" xr:uid="{97A6F67E-1DCF-44ED-897E-89BA5E06FF7C}"/>
    <cellStyle name="Normal 12 2 2 3 5" xfId="17741" xr:uid="{E306EEFC-E743-4A1C-A14E-330EE4F608F0}"/>
    <cellStyle name="Normal 12 2 2 4" xfId="1185" xr:uid="{00000000-0005-0000-0000-0000E70D0000}"/>
    <cellStyle name="Normal 12 2 2 4 2" xfId="3416" xr:uid="{00000000-0005-0000-0000-0000E80D0000}"/>
    <cellStyle name="Normal 12 2 2 4 2 2" xfId="7639" xr:uid="{00000000-0005-0000-0000-0000E90D0000}"/>
    <cellStyle name="Normal 12 2 2 4 2 2 2" xfId="16081" xr:uid="{E0729D33-9DDF-43F8-9381-CDC291477B54}"/>
    <cellStyle name="Normal 12 2 2 4 2 2 3" xfId="24516" xr:uid="{313940F4-51C2-4059-9ACC-5B6DDA16B9DA}"/>
    <cellStyle name="Normal 12 2 2 4 2 3" xfId="11863" xr:uid="{D85BA23B-9C14-4C53-AC93-F758C0964B7D}"/>
    <cellStyle name="Normal 12 2 2 4 2 4" xfId="20299" xr:uid="{B3B6E104-EE63-4D9E-9C3E-9BC6A95DBEA1}"/>
    <cellStyle name="Normal 12 2 2 4 3" xfId="5494" xr:uid="{00000000-0005-0000-0000-0000EA0D0000}"/>
    <cellStyle name="Normal 12 2 2 4 3 2" xfId="13936" xr:uid="{D602F56D-BBF6-4B87-8E04-B5AD93173960}"/>
    <cellStyle name="Normal 12 2 2 4 3 3" xfId="22371" xr:uid="{28DB74FF-CBEC-481A-BBB2-CC0DA299BF64}"/>
    <cellStyle name="Normal 12 2 2 4 4" xfId="9718" xr:uid="{71894F99-D906-453E-8AA0-F4FE5B661CEF}"/>
    <cellStyle name="Normal 12 2 2 4 5" xfId="18154" xr:uid="{48A89069-D05A-48B5-8D64-3E31839C33E0}"/>
    <cellStyle name="Normal 12 2 2 5" xfId="1599" xr:uid="{00000000-0005-0000-0000-0000EB0D0000}"/>
    <cellStyle name="Normal 12 2 2 5 2" xfId="3829" xr:uid="{00000000-0005-0000-0000-0000EC0D0000}"/>
    <cellStyle name="Normal 12 2 2 5 2 2" xfId="8052" xr:uid="{00000000-0005-0000-0000-0000ED0D0000}"/>
    <cellStyle name="Normal 12 2 2 5 2 2 2" xfId="16494" xr:uid="{4B34D8CA-97E0-4AA5-8A04-3678B18753AF}"/>
    <cellStyle name="Normal 12 2 2 5 2 2 3" xfId="24929" xr:uid="{EFAECDED-78B8-4672-B4AC-7661A89069E8}"/>
    <cellStyle name="Normal 12 2 2 5 2 3" xfId="12276" xr:uid="{C33AD7C7-4E0E-4F50-9F40-650C206A98D4}"/>
    <cellStyle name="Normal 12 2 2 5 2 4" xfId="20712" xr:uid="{B428D2CB-2119-4151-978E-2B2294A1C94D}"/>
    <cellStyle name="Normal 12 2 2 5 3" xfId="5907" xr:uid="{00000000-0005-0000-0000-0000EE0D0000}"/>
    <cellStyle name="Normal 12 2 2 5 3 2" xfId="14349" xr:uid="{E927DE54-4745-4132-BC29-BDDE3E68C251}"/>
    <cellStyle name="Normal 12 2 2 5 3 3" xfId="22784" xr:uid="{ED322295-D790-49EC-9436-28094D6B1030}"/>
    <cellStyle name="Normal 12 2 2 5 4" xfId="10131" xr:uid="{CF20F2D8-2C49-4C3E-9C4B-7F509C9E8676}"/>
    <cellStyle name="Normal 12 2 2 5 5" xfId="18567" xr:uid="{9A0831B8-B688-4158-9803-A991C81A70E5}"/>
    <cellStyle name="Normal 12 2 2 6" xfId="2013" xr:uid="{00000000-0005-0000-0000-0000EF0D0000}"/>
    <cellStyle name="Normal 12 2 2 6 2" xfId="4242" xr:uid="{00000000-0005-0000-0000-0000F00D0000}"/>
    <cellStyle name="Normal 12 2 2 6 2 2" xfId="8465" xr:uid="{00000000-0005-0000-0000-0000F10D0000}"/>
    <cellStyle name="Normal 12 2 2 6 2 2 2" xfId="16907" xr:uid="{B9593882-DD26-4BCF-8DB0-AD251DEB8C65}"/>
    <cellStyle name="Normal 12 2 2 6 2 2 3" xfId="25342" xr:uid="{5D334E61-1786-4FD0-A12E-60F6F62E7AB2}"/>
    <cellStyle name="Normal 12 2 2 6 2 3" xfId="12689" xr:uid="{12B3BD25-A7A9-4506-9525-41585043D3C2}"/>
    <cellStyle name="Normal 12 2 2 6 2 4" xfId="21125" xr:uid="{86AE6B75-193C-4CB5-9C78-A4DD21898B93}"/>
    <cellStyle name="Normal 12 2 2 6 3" xfId="6320" xr:uid="{00000000-0005-0000-0000-0000F20D0000}"/>
    <cellStyle name="Normal 12 2 2 6 3 2" xfId="14762" xr:uid="{26AC5653-45C7-44E8-8354-AEE6CB87D544}"/>
    <cellStyle name="Normal 12 2 2 6 3 3" xfId="23197" xr:uid="{67EF0686-A284-4C59-979C-2495D488B2EB}"/>
    <cellStyle name="Normal 12 2 2 6 4" xfId="10544" xr:uid="{BE9CB359-10D2-4199-904C-5104F8EE7354}"/>
    <cellStyle name="Normal 12 2 2 6 5" xfId="18980" xr:uid="{86AB0643-0528-403C-A06E-B901DCBA19ED}"/>
    <cellStyle name="Normal 12 2 2 7" xfId="2449" xr:uid="{00000000-0005-0000-0000-0000F30D0000}"/>
    <cellStyle name="Normal 12 2 2 7 2" xfId="6733" xr:uid="{00000000-0005-0000-0000-0000F40D0000}"/>
    <cellStyle name="Normal 12 2 2 7 2 2" xfId="15175" xr:uid="{DF8FB327-74E3-42FC-8C7B-3100355B2C0A}"/>
    <cellStyle name="Normal 12 2 2 7 2 3" xfId="23610" xr:uid="{5049FDAB-8F04-4FFF-8DBF-F8A799A91022}"/>
    <cellStyle name="Normal 12 2 2 7 3" xfId="10957" xr:uid="{5AD51DC3-F1A8-4300-B7DE-849D8D1DB9AB}"/>
    <cellStyle name="Normal 12 2 2 7 4" xfId="19393" xr:uid="{70CFE280-1CC3-433E-A71A-803F6F0ADCC1}"/>
    <cellStyle name="Normal 12 2 2 8" xfId="4667" xr:uid="{00000000-0005-0000-0000-0000F50D0000}"/>
    <cellStyle name="Normal 12 2 2 8 2" xfId="13109" xr:uid="{2D598373-DCCD-48ED-8C8D-CF58F07AB0A3}"/>
    <cellStyle name="Normal 12 2 2 8 3" xfId="21544" xr:uid="{2B95C9DD-255C-4690-B568-C26594234CBD}"/>
    <cellStyle name="Normal 12 2 2 9" xfId="8891" xr:uid="{1D37E213-141D-4A74-8F7D-61D1518E6585}"/>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2 2 2" xfId="15670" xr:uid="{116BFC94-896E-477C-9D97-4B331A5FD43F}"/>
    <cellStyle name="Normal 12 2 3 2 2 2 3" xfId="24105" xr:uid="{4B711B51-8066-4D53-9023-00C0C83377B2}"/>
    <cellStyle name="Normal 12 2 3 2 2 3" xfId="11452" xr:uid="{6EF7DFE5-FE66-4196-ABCE-EC3DDFDBEB2A}"/>
    <cellStyle name="Normal 12 2 3 2 2 4" xfId="19888" xr:uid="{A93F112A-5E18-4D05-90E7-D96DE832332A}"/>
    <cellStyle name="Normal 12 2 3 2 3" xfId="5083" xr:uid="{00000000-0005-0000-0000-0000FA0D0000}"/>
    <cellStyle name="Normal 12 2 3 2 3 2" xfId="13525" xr:uid="{F525D92F-10AD-4CB4-B6EB-91C10BD275C7}"/>
    <cellStyle name="Normal 12 2 3 2 3 3" xfId="21960" xr:uid="{637F0AA6-0009-4A4F-BC33-4DF9FF0D8C37}"/>
    <cellStyle name="Normal 12 2 3 2 4" xfId="9307" xr:uid="{51613131-B55F-4630-A9C7-487A8D741AFC}"/>
    <cellStyle name="Normal 12 2 3 2 5" xfId="17743" xr:uid="{1D90109A-F6C6-4984-8A73-2660AFE948C6}"/>
    <cellStyle name="Normal 12 2 3 3" xfId="1187" xr:uid="{00000000-0005-0000-0000-0000FB0D0000}"/>
    <cellStyle name="Normal 12 2 3 3 2" xfId="3418" xr:uid="{00000000-0005-0000-0000-0000FC0D0000}"/>
    <cellStyle name="Normal 12 2 3 3 2 2" xfId="7641" xr:uid="{00000000-0005-0000-0000-0000FD0D0000}"/>
    <cellStyle name="Normal 12 2 3 3 2 2 2" xfId="16083" xr:uid="{FC25DE2D-552B-4606-9B6B-29DD444609FF}"/>
    <cellStyle name="Normal 12 2 3 3 2 2 3" xfId="24518" xr:uid="{AD63F14C-B887-475A-A4FF-EADAA2F931EB}"/>
    <cellStyle name="Normal 12 2 3 3 2 3" xfId="11865" xr:uid="{D405B1D7-264F-415F-844F-3075C8EB4D71}"/>
    <cellStyle name="Normal 12 2 3 3 2 4" xfId="20301" xr:uid="{1DE5EBEC-FFB7-46E0-90D3-C7C16FAE6022}"/>
    <cellStyle name="Normal 12 2 3 3 3" xfId="5496" xr:uid="{00000000-0005-0000-0000-0000FE0D0000}"/>
    <cellStyle name="Normal 12 2 3 3 3 2" xfId="13938" xr:uid="{D2887274-5B3F-43F4-8709-53B8130FF6C1}"/>
    <cellStyle name="Normal 12 2 3 3 3 3" xfId="22373" xr:uid="{7A6FDC77-F478-4AA7-8639-A884202BD4F6}"/>
    <cellStyle name="Normal 12 2 3 3 4" xfId="9720" xr:uid="{088F5631-D93F-4449-B521-0A7AC0739C35}"/>
    <cellStyle name="Normal 12 2 3 3 5" xfId="18156" xr:uid="{ADB462EF-2219-409B-8307-FA1BA60C4363}"/>
    <cellStyle name="Normal 12 2 3 4" xfId="1601" xr:uid="{00000000-0005-0000-0000-0000FF0D0000}"/>
    <cellStyle name="Normal 12 2 3 4 2" xfId="3831" xr:uid="{00000000-0005-0000-0000-0000000E0000}"/>
    <cellStyle name="Normal 12 2 3 4 2 2" xfId="8054" xr:uid="{00000000-0005-0000-0000-0000010E0000}"/>
    <cellStyle name="Normal 12 2 3 4 2 2 2" xfId="16496" xr:uid="{AF16C74D-3460-4AC8-BF1D-834CC3607F34}"/>
    <cellStyle name="Normal 12 2 3 4 2 2 3" xfId="24931" xr:uid="{6ACD9EDB-4349-4BBF-8E75-0EC4C15BECB4}"/>
    <cellStyle name="Normal 12 2 3 4 2 3" xfId="12278" xr:uid="{BFEBB38E-62F3-4165-BFA7-8BFAB456BFC3}"/>
    <cellStyle name="Normal 12 2 3 4 2 4" xfId="20714" xr:uid="{2619434E-4985-44C3-A433-65469FE0C308}"/>
    <cellStyle name="Normal 12 2 3 4 3" xfId="5909" xr:uid="{00000000-0005-0000-0000-0000020E0000}"/>
    <cellStyle name="Normal 12 2 3 4 3 2" xfId="14351" xr:uid="{CD3C09FC-63BE-4E9C-92F7-F7864E62BA95}"/>
    <cellStyle name="Normal 12 2 3 4 3 3" xfId="22786" xr:uid="{0B45C024-CC68-49D4-979D-62A7787CFBB9}"/>
    <cellStyle name="Normal 12 2 3 4 4" xfId="10133" xr:uid="{866433A6-58AA-46C4-A98F-0DD1D15ADE2A}"/>
    <cellStyle name="Normal 12 2 3 4 5" xfId="18569" xr:uid="{B7CA26CE-4389-4ABD-BF30-072101249A67}"/>
    <cellStyle name="Normal 12 2 3 5" xfId="2015" xr:uid="{00000000-0005-0000-0000-0000030E0000}"/>
    <cellStyle name="Normal 12 2 3 5 2" xfId="4244" xr:uid="{00000000-0005-0000-0000-0000040E0000}"/>
    <cellStyle name="Normal 12 2 3 5 2 2" xfId="8467" xr:uid="{00000000-0005-0000-0000-0000050E0000}"/>
    <cellStyle name="Normal 12 2 3 5 2 2 2" xfId="16909" xr:uid="{3714D4F2-5155-433D-9B23-9D5AD8C82835}"/>
    <cellStyle name="Normal 12 2 3 5 2 2 3" xfId="25344" xr:uid="{B6B51556-1495-4DE4-B503-10F56AFB0A14}"/>
    <cellStyle name="Normal 12 2 3 5 2 3" xfId="12691" xr:uid="{97AD872E-E85E-4143-AB04-1B7BC2B0E008}"/>
    <cellStyle name="Normal 12 2 3 5 2 4" xfId="21127" xr:uid="{37202983-20B1-46E3-ABC2-84C03189DD82}"/>
    <cellStyle name="Normal 12 2 3 5 3" xfId="6322" xr:uid="{00000000-0005-0000-0000-0000060E0000}"/>
    <cellStyle name="Normal 12 2 3 5 3 2" xfId="14764" xr:uid="{8893BD39-2766-416E-A847-11B932E01ADB}"/>
    <cellStyle name="Normal 12 2 3 5 3 3" xfId="23199" xr:uid="{A1F9489E-B13B-4182-9E23-69639F53FE59}"/>
    <cellStyle name="Normal 12 2 3 5 4" xfId="10546" xr:uid="{9061D3FC-10A7-497C-9D43-F68F34FAD005}"/>
    <cellStyle name="Normal 12 2 3 5 5" xfId="18982" xr:uid="{A03BA7BC-09CF-489D-BC6B-BB08E4D459BE}"/>
    <cellStyle name="Normal 12 2 3 6" xfId="2451" xr:uid="{00000000-0005-0000-0000-0000070E0000}"/>
    <cellStyle name="Normal 12 2 3 6 2" xfId="6735" xr:uid="{00000000-0005-0000-0000-0000080E0000}"/>
    <cellStyle name="Normal 12 2 3 6 2 2" xfId="15177" xr:uid="{254A899D-715C-4F58-8A07-D254D0E57D09}"/>
    <cellStyle name="Normal 12 2 3 6 2 3" xfId="23612" xr:uid="{B7362B12-C99F-4C9F-9FCC-606D7D55BB7F}"/>
    <cellStyle name="Normal 12 2 3 6 3" xfId="10959" xr:uid="{E427AE8E-1919-4736-882B-2A77F0D6BF69}"/>
    <cellStyle name="Normal 12 2 3 6 4" xfId="19395" xr:uid="{91A7E235-87D1-4B4B-998C-7643B9B7B260}"/>
    <cellStyle name="Normal 12 2 3 7" xfId="4669" xr:uid="{00000000-0005-0000-0000-0000090E0000}"/>
    <cellStyle name="Normal 12 2 3 7 2" xfId="13111" xr:uid="{02D71354-8DA3-4C68-A68F-482132C558CA}"/>
    <cellStyle name="Normal 12 2 3 7 3" xfId="21546" xr:uid="{120DED0A-A9AB-4BD2-9A19-7824C2BB5965}"/>
    <cellStyle name="Normal 12 2 3 8" xfId="8893" xr:uid="{9BB5F792-F2FC-413A-B489-50E278A3901A}"/>
    <cellStyle name="Normal 12 2 3 9" xfId="17329" xr:uid="{E06E3736-ECB6-454E-8557-8DF9B9DC8108}"/>
    <cellStyle name="Normal 12 2 4" xfId="761" xr:uid="{00000000-0005-0000-0000-00000A0E0000}"/>
    <cellStyle name="Normal 12 2 4 2" xfId="3002" xr:uid="{00000000-0005-0000-0000-00000B0E0000}"/>
    <cellStyle name="Normal 12 2 4 2 2" xfId="7225" xr:uid="{00000000-0005-0000-0000-00000C0E0000}"/>
    <cellStyle name="Normal 12 2 4 2 2 2" xfId="15667" xr:uid="{4761760A-F5D7-4E13-A0DA-9AA9269BFE80}"/>
    <cellStyle name="Normal 12 2 4 2 2 3" xfId="24102" xr:uid="{2E518446-AD9D-4914-8A98-EBD506D3F686}"/>
    <cellStyle name="Normal 12 2 4 2 3" xfId="11449" xr:uid="{AB9DEBF9-6E02-4A99-823C-0B2F148B1F44}"/>
    <cellStyle name="Normal 12 2 4 2 4" xfId="19885" xr:uid="{63A74017-FC30-46E2-9965-962D062533DB}"/>
    <cellStyle name="Normal 12 2 4 3" xfId="5080" xr:uid="{00000000-0005-0000-0000-00000D0E0000}"/>
    <cellStyle name="Normal 12 2 4 3 2" xfId="13522" xr:uid="{722434C3-C7ED-4B3A-A244-B470AFD16589}"/>
    <cellStyle name="Normal 12 2 4 3 3" xfId="21957" xr:uid="{AABB0A07-6A83-4099-BECA-422A235B539E}"/>
    <cellStyle name="Normal 12 2 4 4" xfId="9304" xr:uid="{9A2D40D7-DC39-4559-B8A4-F1CD44130278}"/>
    <cellStyle name="Normal 12 2 4 5" xfId="17740" xr:uid="{D0D58459-BCB8-41A4-8860-AA7666AECCCC}"/>
    <cellStyle name="Normal 12 2 5" xfId="1184" xr:uid="{00000000-0005-0000-0000-00000E0E0000}"/>
    <cellStyle name="Normal 12 2 5 2" xfId="3415" xr:uid="{00000000-0005-0000-0000-00000F0E0000}"/>
    <cellStyle name="Normal 12 2 5 2 2" xfId="7638" xr:uid="{00000000-0005-0000-0000-0000100E0000}"/>
    <cellStyle name="Normal 12 2 5 2 2 2" xfId="16080" xr:uid="{0C553F81-DAA3-4EDE-8CC0-B59C6F853299}"/>
    <cellStyle name="Normal 12 2 5 2 2 3" xfId="24515" xr:uid="{4D87222D-DABD-4803-A98A-7DD853016B8B}"/>
    <cellStyle name="Normal 12 2 5 2 3" xfId="11862" xr:uid="{95831095-F129-4FD0-AFF8-BCECDC135E86}"/>
    <cellStyle name="Normal 12 2 5 2 4" xfId="20298" xr:uid="{C9609B8A-89F4-44AA-8131-0394B69BAD76}"/>
    <cellStyle name="Normal 12 2 5 3" xfId="5493" xr:uid="{00000000-0005-0000-0000-0000110E0000}"/>
    <cellStyle name="Normal 12 2 5 3 2" xfId="13935" xr:uid="{02B0DB4C-8FB8-45EB-B5E2-8B1B448645EB}"/>
    <cellStyle name="Normal 12 2 5 3 3" xfId="22370" xr:uid="{B8DF8242-5855-4822-AE24-84051BB96DF6}"/>
    <cellStyle name="Normal 12 2 5 4" xfId="9717" xr:uid="{A4227E7D-B3BB-418C-8253-6A8CA6EF4B82}"/>
    <cellStyle name="Normal 12 2 5 5" xfId="18153" xr:uid="{AE3A9D3E-0FEA-45D0-857F-7459438E0F22}"/>
    <cellStyle name="Normal 12 2 6" xfId="1598" xr:uid="{00000000-0005-0000-0000-0000120E0000}"/>
    <cellStyle name="Normal 12 2 6 2" xfId="3828" xr:uid="{00000000-0005-0000-0000-0000130E0000}"/>
    <cellStyle name="Normal 12 2 6 2 2" xfId="8051" xr:uid="{00000000-0005-0000-0000-0000140E0000}"/>
    <cellStyle name="Normal 12 2 6 2 2 2" xfId="16493" xr:uid="{CFAA33F9-9EF0-4DD2-B74E-E17FF5BC3F72}"/>
    <cellStyle name="Normal 12 2 6 2 2 3" xfId="24928" xr:uid="{EA512F3C-C4A1-4FF5-9892-2D89FD26F60F}"/>
    <cellStyle name="Normal 12 2 6 2 3" xfId="12275" xr:uid="{AD1E789A-624C-4F93-9DE2-5DCEAB2FCC3D}"/>
    <cellStyle name="Normal 12 2 6 2 4" xfId="20711" xr:uid="{174BC566-BAE2-44FA-9CE3-DA1201638F17}"/>
    <cellStyle name="Normal 12 2 6 3" xfId="5906" xr:uid="{00000000-0005-0000-0000-0000150E0000}"/>
    <cellStyle name="Normal 12 2 6 3 2" xfId="14348" xr:uid="{1CD88588-362B-476C-940C-9825616EB4DD}"/>
    <cellStyle name="Normal 12 2 6 3 3" xfId="22783" xr:uid="{215DF148-307B-4643-B1EA-16C4E5A62706}"/>
    <cellStyle name="Normal 12 2 6 4" xfId="10130" xr:uid="{C1B0C16D-CCC2-4EC9-BAFC-330E5B0CB036}"/>
    <cellStyle name="Normal 12 2 6 5" xfId="18566" xr:uid="{B61E39F2-DD04-48EA-80EB-B28132232D93}"/>
    <cellStyle name="Normal 12 2 7" xfId="2012" xr:uid="{00000000-0005-0000-0000-0000160E0000}"/>
    <cellStyle name="Normal 12 2 7 2" xfId="4241" xr:uid="{00000000-0005-0000-0000-0000170E0000}"/>
    <cellStyle name="Normal 12 2 7 2 2" xfId="8464" xr:uid="{00000000-0005-0000-0000-0000180E0000}"/>
    <cellStyle name="Normal 12 2 7 2 2 2" xfId="16906" xr:uid="{C336BFD6-CC27-4A2B-8854-C4DA1EF89F80}"/>
    <cellStyle name="Normal 12 2 7 2 2 3" xfId="25341" xr:uid="{B8024D10-1BC8-4EB3-BF01-DBD2CA4B316C}"/>
    <cellStyle name="Normal 12 2 7 2 3" xfId="12688" xr:uid="{94832D7B-1344-47BC-81BC-FDF5F14EBBBE}"/>
    <cellStyle name="Normal 12 2 7 2 4" xfId="21124" xr:uid="{C16A5C5B-CCDC-4650-9224-8AF5F604E45B}"/>
    <cellStyle name="Normal 12 2 7 3" xfId="6319" xr:uid="{00000000-0005-0000-0000-0000190E0000}"/>
    <cellStyle name="Normal 12 2 7 3 2" xfId="14761" xr:uid="{F25F5EC0-87AC-4514-8ADB-872CC049A611}"/>
    <cellStyle name="Normal 12 2 7 3 3" xfId="23196" xr:uid="{E0C04E87-F5EC-4895-9459-D414A68FB140}"/>
    <cellStyle name="Normal 12 2 7 4" xfId="10543" xr:uid="{BBE6FAFB-BFE9-4A75-B7BC-BC2EA5AB89C8}"/>
    <cellStyle name="Normal 12 2 7 5" xfId="18979" xr:uid="{EBCAAF19-A771-43A5-BEB3-CE6AFC0E1814}"/>
    <cellStyle name="Normal 12 2 8" xfId="2448" xr:uid="{00000000-0005-0000-0000-00001A0E0000}"/>
    <cellStyle name="Normal 12 2 8 2" xfId="6732" xr:uid="{00000000-0005-0000-0000-00001B0E0000}"/>
    <cellStyle name="Normal 12 2 8 2 2" xfId="15174" xr:uid="{7CC6F82C-3DE6-41BE-A159-4368B04331BD}"/>
    <cellStyle name="Normal 12 2 8 2 3" xfId="23609" xr:uid="{DB804068-20CA-408A-B2CB-9405EE342CD4}"/>
    <cellStyle name="Normal 12 2 8 3" xfId="10956" xr:uid="{56EEDD56-5587-403E-8BCD-05A7D6C19FF2}"/>
    <cellStyle name="Normal 12 2 8 4" xfId="19392" xr:uid="{47F184E8-A631-4937-A071-2EB7AFE1F14D}"/>
    <cellStyle name="Normal 12 2 9" xfId="4666" xr:uid="{00000000-0005-0000-0000-00001C0E0000}"/>
    <cellStyle name="Normal 12 2 9 2" xfId="13108" xr:uid="{A271CFE5-2F93-445A-97FB-4FF1A52C0262}"/>
    <cellStyle name="Normal 12 2 9 3" xfId="21543" xr:uid="{0DA92944-439D-4CD9-BB78-C7FA183176BC}"/>
    <cellStyle name="Normal 12 3" xfId="264" xr:uid="{00000000-0005-0000-0000-00001D0E0000}"/>
    <cellStyle name="Normal 12 3 10" xfId="17330" xr:uid="{35E55F4C-6E19-4747-88CF-55DD306D7DE6}"/>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2 2 2" xfId="15672" xr:uid="{E50210A4-DF40-45BA-8A30-D70EA1F89A00}"/>
    <cellStyle name="Normal 12 3 2 2 2 2 3" xfId="24107" xr:uid="{D248E66D-C4E6-4852-9F57-9E614BAE965A}"/>
    <cellStyle name="Normal 12 3 2 2 2 3" xfId="11454" xr:uid="{1EC537D6-7F9D-4FC4-BA83-9F63F7C2A442}"/>
    <cellStyle name="Normal 12 3 2 2 2 4" xfId="19890" xr:uid="{A67CD351-E775-4AA6-A02E-03B59591E2E1}"/>
    <cellStyle name="Normal 12 3 2 2 3" xfId="5085" xr:uid="{00000000-0005-0000-0000-0000220E0000}"/>
    <cellStyle name="Normal 12 3 2 2 3 2" xfId="13527" xr:uid="{F1FAA8CA-4385-4A26-B33D-05A328393D04}"/>
    <cellStyle name="Normal 12 3 2 2 3 3" xfId="21962" xr:uid="{CAF8BEE9-4CCD-47D1-AA9E-A837392D327D}"/>
    <cellStyle name="Normal 12 3 2 2 4" xfId="9309" xr:uid="{377B35B8-56ED-4177-879C-111796EEFFC0}"/>
    <cellStyle name="Normal 12 3 2 2 5" xfId="17745" xr:uid="{DF99C459-E0D6-4CB8-A5EB-2FB369CDC287}"/>
    <cellStyle name="Normal 12 3 2 3" xfId="1189" xr:uid="{00000000-0005-0000-0000-0000230E0000}"/>
    <cellStyle name="Normal 12 3 2 3 2" xfId="3420" xr:uid="{00000000-0005-0000-0000-0000240E0000}"/>
    <cellStyle name="Normal 12 3 2 3 2 2" xfId="7643" xr:uid="{00000000-0005-0000-0000-0000250E0000}"/>
    <cellStyle name="Normal 12 3 2 3 2 2 2" xfId="16085" xr:uid="{9D97592F-72A9-4826-A04B-F4B63AFE1FAD}"/>
    <cellStyle name="Normal 12 3 2 3 2 2 3" xfId="24520" xr:uid="{8E5B51DA-C1AC-43D0-8033-1C9A8E2A5C72}"/>
    <cellStyle name="Normal 12 3 2 3 2 3" xfId="11867" xr:uid="{E1CA8426-5FC7-4649-A1DD-77ACCBE5A750}"/>
    <cellStyle name="Normal 12 3 2 3 2 4" xfId="20303" xr:uid="{A2EABE0D-839E-48B3-80E5-B68946869FBB}"/>
    <cellStyle name="Normal 12 3 2 3 3" xfId="5498" xr:uid="{00000000-0005-0000-0000-0000260E0000}"/>
    <cellStyle name="Normal 12 3 2 3 3 2" xfId="13940" xr:uid="{698DC934-ACB6-4001-B2AD-7C608A58E277}"/>
    <cellStyle name="Normal 12 3 2 3 3 3" xfId="22375" xr:uid="{BEBA4607-455E-4992-96CC-E1A673ED20A3}"/>
    <cellStyle name="Normal 12 3 2 3 4" xfId="9722" xr:uid="{293D731A-FCB6-49C7-B8B7-C60E7482CEEC}"/>
    <cellStyle name="Normal 12 3 2 3 5" xfId="18158" xr:uid="{58EE31B2-2D16-48C3-8A14-136E20A70D6D}"/>
    <cellStyle name="Normal 12 3 2 4" xfId="1603" xr:uid="{00000000-0005-0000-0000-0000270E0000}"/>
    <cellStyle name="Normal 12 3 2 4 2" xfId="3833" xr:uid="{00000000-0005-0000-0000-0000280E0000}"/>
    <cellStyle name="Normal 12 3 2 4 2 2" xfId="8056" xr:uid="{00000000-0005-0000-0000-0000290E0000}"/>
    <cellStyle name="Normal 12 3 2 4 2 2 2" xfId="16498" xr:uid="{F3AA0F3C-4FDA-4B06-BC33-0A62D5ACF6B7}"/>
    <cellStyle name="Normal 12 3 2 4 2 2 3" xfId="24933" xr:uid="{E595CBE4-24F7-4314-B37C-81165AA6C6E2}"/>
    <cellStyle name="Normal 12 3 2 4 2 3" xfId="12280" xr:uid="{C6F47CD8-C93A-4210-9677-FD3E859C2838}"/>
    <cellStyle name="Normal 12 3 2 4 2 4" xfId="20716" xr:uid="{DAD033E5-32E2-41C2-932D-307C0800CAD4}"/>
    <cellStyle name="Normal 12 3 2 4 3" xfId="5911" xr:uid="{00000000-0005-0000-0000-00002A0E0000}"/>
    <cellStyle name="Normal 12 3 2 4 3 2" xfId="14353" xr:uid="{7C51C1BD-FEC3-4FED-B734-2266EF55EA95}"/>
    <cellStyle name="Normal 12 3 2 4 3 3" xfId="22788" xr:uid="{D63CF1F0-CD8E-4B2E-8ACB-5A148F2CED54}"/>
    <cellStyle name="Normal 12 3 2 4 4" xfId="10135" xr:uid="{5194A4F1-368B-4158-9DDC-78648A284116}"/>
    <cellStyle name="Normal 12 3 2 4 5" xfId="18571" xr:uid="{46786DAB-FDD5-4FF3-ABF1-684BDA843E89}"/>
    <cellStyle name="Normal 12 3 2 5" xfId="2017" xr:uid="{00000000-0005-0000-0000-00002B0E0000}"/>
    <cellStyle name="Normal 12 3 2 5 2" xfId="4246" xr:uid="{00000000-0005-0000-0000-00002C0E0000}"/>
    <cellStyle name="Normal 12 3 2 5 2 2" xfId="8469" xr:uid="{00000000-0005-0000-0000-00002D0E0000}"/>
    <cellStyle name="Normal 12 3 2 5 2 2 2" xfId="16911" xr:uid="{15B94906-14DE-49B5-BD77-31E96EB82C4B}"/>
    <cellStyle name="Normal 12 3 2 5 2 2 3" xfId="25346" xr:uid="{A5A4AC32-02D3-4495-BC6C-369FEBA95F7E}"/>
    <cellStyle name="Normal 12 3 2 5 2 3" xfId="12693" xr:uid="{8DA6A366-328C-4C73-A318-992519ABF593}"/>
    <cellStyle name="Normal 12 3 2 5 2 4" xfId="21129" xr:uid="{ECDE8FDF-B71A-4FBA-B3F4-46661698938E}"/>
    <cellStyle name="Normal 12 3 2 5 3" xfId="6324" xr:uid="{00000000-0005-0000-0000-00002E0E0000}"/>
    <cellStyle name="Normal 12 3 2 5 3 2" xfId="14766" xr:uid="{6BC44EDA-220A-4FBC-BB2C-67E13A92C12A}"/>
    <cellStyle name="Normal 12 3 2 5 3 3" xfId="23201" xr:uid="{B7CB74F5-4F46-4D03-8382-CD251CD03828}"/>
    <cellStyle name="Normal 12 3 2 5 4" xfId="10548" xr:uid="{AECBB16B-D0F8-4004-98FE-2B7700E39610}"/>
    <cellStyle name="Normal 12 3 2 5 5" xfId="18984" xr:uid="{2DC1526D-E76C-45B8-8959-EE5CA82B9043}"/>
    <cellStyle name="Normal 12 3 2 6" xfId="2453" xr:uid="{00000000-0005-0000-0000-00002F0E0000}"/>
    <cellStyle name="Normal 12 3 2 6 2" xfId="6737" xr:uid="{00000000-0005-0000-0000-0000300E0000}"/>
    <cellStyle name="Normal 12 3 2 6 2 2" xfId="15179" xr:uid="{9D713305-67E7-4E61-89A2-6D798BED5604}"/>
    <cellStyle name="Normal 12 3 2 6 2 3" xfId="23614" xr:uid="{18D08D21-9B5D-4AE3-AAD5-6D5B34E27515}"/>
    <cellStyle name="Normal 12 3 2 6 3" xfId="10961" xr:uid="{0774E544-F73F-4042-AC5F-A29FCAE9DE42}"/>
    <cellStyle name="Normal 12 3 2 6 4" xfId="19397" xr:uid="{D9CF2AFA-7FB5-49D7-B1C5-07FC8A65C929}"/>
    <cellStyle name="Normal 12 3 2 7" xfId="4671" xr:uid="{00000000-0005-0000-0000-0000310E0000}"/>
    <cellStyle name="Normal 12 3 2 7 2" xfId="13113" xr:uid="{F2F3D846-3CEF-48DE-BDCC-1376DDD1925A}"/>
    <cellStyle name="Normal 12 3 2 7 3" xfId="21548" xr:uid="{210B5CB7-E4C5-46DC-AAB1-6B93A5C3B29C}"/>
    <cellStyle name="Normal 12 3 2 8" xfId="8895" xr:uid="{124374B3-F394-4A08-994D-047F544F211D}"/>
    <cellStyle name="Normal 12 3 2 9" xfId="17331" xr:uid="{149E7E35-6459-4147-AC43-DC0EF0CB143C}"/>
    <cellStyle name="Normal 12 3 3" xfId="765" xr:uid="{00000000-0005-0000-0000-0000320E0000}"/>
    <cellStyle name="Normal 12 3 3 2" xfId="3006" xr:uid="{00000000-0005-0000-0000-0000330E0000}"/>
    <cellStyle name="Normal 12 3 3 2 2" xfId="7229" xr:uid="{00000000-0005-0000-0000-0000340E0000}"/>
    <cellStyle name="Normal 12 3 3 2 2 2" xfId="15671" xr:uid="{C9BE8027-3F1D-45A8-A9F5-51042E6E9F44}"/>
    <cellStyle name="Normal 12 3 3 2 2 3" xfId="24106" xr:uid="{1725C472-6F9A-4B68-9F82-7769B0CF5753}"/>
    <cellStyle name="Normal 12 3 3 2 3" xfId="11453" xr:uid="{55F9E1CA-5A5B-48BC-B766-573A487DAD9B}"/>
    <cellStyle name="Normal 12 3 3 2 4" xfId="19889" xr:uid="{D832CE95-BBD7-439B-9225-A70E3C78AD9E}"/>
    <cellStyle name="Normal 12 3 3 3" xfId="5084" xr:uid="{00000000-0005-0000-0000-0000350E0000}"/>
    <cellStyle name="Normal 12 3 3 3 2" xfId="13526" xr:uid="{51578395-E53B-4DA1-8F6D-41934652789D}"/>
    <cellStyle name="Normal 12 3 3 3 3" xfId="21961" xr:uid="{FCFFD077-052F-45DF-9108-F943CD88BD67}"/>
    <cellStyle name="Normal 12 3 3 4" xfId="9308" xr:uid="{B11D6E09-BE16-491C-9F15-0FCE2CE4A575}"/>
    <cellStyle name="Normal 12 3 3 5" xfId="17744" xr:uid="{55490EA5-857B-458A-92C3-81B7ECF48F3B}"/>
    <cellStyle name="Normal 12 3 4" xfId="1188" xr:uid="{00000000-0005-0000-0000-0000360E0000}"/>
    <cellStyle name="Normal 12 3 4 2" xfId="3419" xr:uid="{00000000-0005-0000-0000-0000370E0000}"/>
    <cellStyle name="Normal 12 3 4 2 2" xfId="7642" xr:uid="{00000000-0005-0000-0000-0000380E0000}"/>
    <cellStyle name="Normal 12 3 4 2 2 2" xfId="16084" xr:uid="{D99A89BF-1799-4117-AF8C-9389F9DABDB3}"/>
    <cellStyle name="Normal 12 3 4 2 2 3" xfId="24519" xr:uid="{3CAEF37E-4A93-451C-935A-28F42E55B37D}"/>
    <cellStyle name="Normal 12 3 4 2 3" xfId="11866" xr:uid="{AF6423E4-3C40-4BE5-901A-B4A3D0B76314}"/>
    <cellStyle name="Normal 12 3 4 2 4" xfId="20302" xr:uid="{15CC954B-CFE0-492A-A7B6-C9FDA62B0B7F}"/>
    <cellStyle name="Normal 12 3 4 3" xfId="5497" xr:uid="{00000000-0005-0000-0000-0000390E0000}"/>
    <cellStyle name="Normal 12 3 4 3 2" xfId="13939" xr:uid="{0AB7A53B-DE53-4B80-90F5-473DA7CA3AB3}"/>
    <cellStyle name="Normal 12 3 4 3 3" xfId="22374" xr:uid="{5FAC95C1-3C29-4BE6-A09E-1B87B3E97603}"/>
    <cellStyle name="Normal 12 3 4 4" xfId="9721" xr:uid="{305CB9EC-9527-41EB-A96C-C4B874130CF0}"/>
    <cellStyle name="Normal 12 3 4 5" xfId="18157" xr:uid="{A1E1BFE1-8039-4B93-8493-BB94FE9106F3}"/>
    <cellStyle name="Normal 12 3 5" xfId="1602" xr:uid="{00000000-0005-0000-0000-00003A0E0000}"/>
    <cellStyle name="Normal 12 3 5 2" xfId="3832" xr:uid="{00000000-0005-0000-0000-00003B0E0000}"/>
    <cellStyle name="Normal 12 3 5 2 2" xfId="8055" xr:uid="{00000000-0005-0000-0000-00003C0E0000}"/>
    <cellStyle name="Normal 12 3 5 2 2 2" xfId="16497" xr:uid="{9414C0B4-0CEE-4048-ADBE-F8218C55B6A7}"/>
    <cellStyle name="Normal 12 3 5 2 2 3" xfId="24932" xr:uid="{9BFC82D8-7AD7-4B30-9A71-A69B2DA1CFF5}"/>
    <cellStyle name="Normal 12 3 5 2 3" xfId="12279" xr:uid="{C5522627-BECC-4B41-933B-455CDCE845F2}"/>
    <cellStyle name="Normal 12 3 5 2 4" xfId="20715" xr:uid="{D5028E25-1B20-415D-B83C-0F7D37DAF585}"/>
    <cellStyle name="Normal 12 3 5 3" xfId="5910" xr:uid="{00000000-0005-0000-0000-00003D0E0000}"/>
    <cellStyle name="Normal 12 3 5 3 2" xfId="14352" xr:uid="{31A27EB0-71E4-4C8B-95D2-FCDEABF29DF0}"/>
    <cellStyle name="Normal 12 3 5 3 3" xfId="22787" xr:uid="{D0905EBB-8258-43D5-A8F2-7C6E402F7D70}"/>
    <cellStyle name="Normal 12 3 5 4" xfId="10134" xr:uid="{6E9E845A-6144-4368-948F-5A8A6A4BAFE7}"/>
    <cellStyle name="Normal 12 3 5 5" xfId="18570" xr:uid="{0762AAE3-C46A-4B9F-8E7C-5B9C61D78C50}"/>
    <cellStyle name="Normal 12 3 6" xfId="2016" xr:uid="{00000000-0005-0000-0000-00003E0E0000}"/>
    <cellStyle name="Normal 12 3 6 2" xfId="4245" xr:uid="{00000000-0005-0000-0000-00003F0E0000}"/>
    <cellStyle name="Normal 12 3 6 2 2" xfId="8468" xr:uid="{00000000-0005-0000-0000-0000400E0000}"/>
    <cellStyle name="Normal 12 3 6 2 2 2" xfId="16910" xr:uid="{A414B535-F971-4442-BB40-586B55BC8183}"/>
    <cellStyle name="Normal 12 3 6 2 2 3" xfId="25345" xr:uid="{51D1935C-25E4-498C-B5C9-8047BA020814}"/>
    <cellStyle name="Normal 12 3 6 2 3" xfId="12692" xr:uid="{8DD964CB-2345-4FC1-BB3E-13B70D4C7591}"/>
    <cellStyle name="Normal 12 3 6 2 4" xfId="21128" xr:uid="{F2058C1E-BEB5-48D1-801F-CC66A89BBDAA}"/>
    <cellStyle name="Normal 12 3 6 3" xfId="6323" xr:uid="{00000000-0005-0000-0000-0000410E0000}"/>
    <cellStyle name="Normal 12 3 6 3 2" xfId="14765" xr:uid="{70EDD9F6-9004-4D7A-9A64-DA176F706320}"/>
    <cellStyle name="Normal 12 3 6 3 3" xfId="23200" xr:uid="{33157491-BB2F-4908-B5EA-4D22DB36583B}"/>
    <cellStyle name="Normal 12 3 6 4" xfId="10547" xr:uid="{2C445049-99B5-481C-B979-7C530C671BFF}"/>
    <cellStyle name="Normal 12 3 6 5" xfId="18983" xr:uid="{748F9E28-36BC-4904-80CF-D935D773DE57}"/>
    <cellStyle name="Normal 12 3 7" xfId="2452" xr:uid="{00000000-0005-0000-0000-0000420E0000}"/>
    <cellStyle name="Normal 12 3 7 2" xfId="6736" xr:uid="{00000000-0005-0000-0000-0000430E0000}"/>
    <cellStyle name="Normal 12 3 7 2 2" xfId="15178" xr:uid="{12C384D0-EF38-44E9-A978-7F2AE85F686B}"/>
    <cellStyle name="Normal 12 3 7 2 3" xfId="23613" xr:uid="{F81C302F-C8F4-485D-9FB9-89E221DAC653}"/>
    <cellStyle name="Normal 12 3 7 3" xfId="10960" xr:uid="{D869F396-355A-4226-9A95-F6F151F6D458}"/>
    <cellStyle name="Normal 12 3 7 4" xfId="19396" xr:uid="{E87554FA-E45B-4835-9710-6E8FB9B7D38D}"/>
    <cellStyle name="Normal 12 3 8" xfId="4670" xr:uid="{00000000-0005-0000-0000-0000440E0000}"/>
    <cellStyle name="Normal 12 3 8 2" xfId="13112" xr:uid="{2214E8F5-857D-4661-AE3D-D00DEE065E81}"/>
    <cellStyle name="Normal 12 3 8 3" xfId="21547" xr:uid="{5B0AFB4C-EB9F-4E02-AFB8-B1C6B77D8AF3}"/>
    <cellStyle name="Normal 12 3 9" xfId="8894" xr:uid="{D2DEC28E-1F71-412F-B5F3-82209D8EA7F8}"/>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2 2 2" xfId="15673" xr:uid="{5FDB2765-3ABB-4F0A-AEC8-A5B550A998D7}"/>
    <cellStyle name="Normal 12 4 2 2 2 3" xfId="24108" xr:uid="{BD2EF444-CB02-43A3-94AB-385D33E723DA}"/>
    <cellStyle name="Normal 12 4 2 2 3" xfId="11455" xr:uid="{0EEF186A-E35F-44F3-A6E2-1A0A2A16CF5C}"/>
    <cellStyle name="Normal 12 4 2 2 4" xfId="19891" xr:uid="{8C61D00E-82D0-4C9C-9FFD-8E3D6541BEB4}"/>
    <cellStyle name="Normal 12 4 2 3" xfId="5086" xr:uid="{00000000-0005-0000-0000-0000490E0000}"/>
    <cellStyle name="Normal 12 4 2 3 2" xfId="13528" xr:uid="{00AFA1E4-2339-4E1A-A40C-F47FA30462D4}"/>
    <cellStyle name="Normal 12 4 2 3 3" xfId="21963" xr:uid="{47B1729C-B1FE-4CCC-9006-4C6DC63F8B94}"/>
    <cellStyle name="Normal 12 4 2 4" xfId="9310" xr:uid="{489D645A-ECD9-4627-BF70-C9592F65FE47}"/>
    <cellStyle name="Normal 12 4 2 5" xfId="17746" xr:uid="{8BC89D54-276E-4297-A3CA-DCB8F007CE77}"/>
    <cellStyle name="Normal 12 4 3" xfId="1190" xr:uid="{00000000-0005-0000-0000-00004A0E0000}"/>
    <cellStyle name="Normal 12 4 3 2" xfId="3421" xr:uid="{00000000-0005-0000-0000-00004B0E0000}"/>
    <cellStyle name="Normal 12 4 3 2 2" xfId="7644" xr:uid="{00000000-0005-0000-0000-00004C0E0000}"/>
    <cellStyle name="Normal 12 4 3 2 2 2" xfId="16086" xr:uid="{9D05301A-6A36-4DEF-8B7E-3FF633EFB9E3}"/>
    <cellStyle name="Normal 12 4 3 2 2 3" xfId="24521" xr:uid="{050E86FA-A48F-4C1B-89AD-ACE166129AC7}"/>
    <cellStyle name="Normal 12 4 3 2 3" xfId="11868" xr:uid="{39745329-CAD0-4B90-9ED6-84068A37B139}"/>
    <cellStyle name="Normal 12 4 3 2 4" xfId="20304" xr:uid="{70F9F01D-1BFE-4114-8E16-2183290A2307}"/>
    <cellStyle name="Normal 12 4 3 3" xfId="5499" xr:uid="{00000000-0005-0000-0000-00004D0E0000}"/>
    <cellStyle name="Normal 12 4 3 3 2" xfId="13941" xr:uid="{7142FABF-50B8-4D49-9B2D-902D28EE0D13}"/>
    <cellStyle name="Normal 12 4 3 3 3" xfId="22376" xr:uid="{59A1DCFA-4627-4A18-BD93-DAF246BC75CB}"/>
    <cellStyle name="Normal 12 4 3 4" xfId="9723" xr:uid="{738C806B-1E5F-46A5-9135-1CAEFBEA9F50}"/>
    <cellStyle name="Normal 12 4 3 5" xfId="18159" xr:uid="{774B128F-1152-4046-A750-1C9256AEEBC3}"/>
    <cellStyle name="Normal 12 4 4" xfId="1604" xr:uid="{00000000-0005-0000-0000-00004E0E0000}"/>
    <cellStyle name="Normal 12 4 4 2" xfId="3834" xr:uid="{00000000-0005-0000-0000-00004F0E0000}"/>
    <cellStyle name="Normal 12 4 4 2 2" xfId="8057" xr:uid="{00000000-0005-0000-0000-0000500E0000}"/>
    <cellStyle name="Normal 12 4 4 2 2 2" xfId="16499" xr:uid="{A1E83687-C765-4866-B268-6B228C67E5D0}"/>
    <cellStyle name="Normal 12 4 4 2 2 3" xfId="24934" xr:uid="{13159136-060D-410A-9832-FD2A865B580B}"/>
    <cellStyle name="Normal 12 4 4 2 3" xfId="12281" xr:uid="{8EE6AB02-7287-4AA8-B5B7-F337A79EDDA1}"/>
    <cellStyle name="Normal 12 4 4 2 4" xfId="20717" xr:uid="{86CD031E-81D0-4E83-8A8C-A58E8D23DCB7}"/>
    <cellStyle name="Normal 12 4 4 3" xfId="5912" xr:uid="{00000000-0005-0000-0000-0000510E0000}"/>
    <cellStyle name="Normal 12 4 4 3 2" xfId="14354" xr:uid="{974CA87D-481B-4268-8874-EEB893A775B2}"/>
    <cellStyle name="Normal 12 4 4 3 3" xfId="22789" xr:uid="{7366634B-A1DD-4BF1-8FFE-433F11F4D339}"/>
    <cellStyle name="Normal 12 4 4 4" xfId="10136" xr:uid="{7A01223F-7A53-4589-99E7-4CB7D03FA49C}"/>
    <cellStyle name="Normal 12 4 4 5" xfId="18572" xr:uid="{EE7B261A-6FAC-4650-92F4-7617516DFECC}"/>
    <cellStyle name="Normal 12 4 5" xfId="2018" xr:uid="{00000000-0005-0000-0000-0000520E0000}"/>
    <cellStyle name="Normal 12 4 5 2" xfId="4247" xr:uid="{00000000-0005-0000-0000-0000530E0000}"/>
    <cellStyle name="Normal 12 4 5 2 2" xfId="8470" xr:uid="{00000000-0005-0000-0000-0000540E0000}"/>
    <cellStyle name="Normal 12 4 5 2 2 2" xfId="16912" xr:uid="{A1B1DBC1-EBD9-45A0-8567-C3C385DB397B}"/>
    <cellStyle name="Normal 12 4 5 2 2 3" xfId="25347" xr:uid="{C3579ED7-17D0-4929-AED1-2EE3A38BD1C1}"/>
    <cellStyle name="Normal 12 4 5 2 3" xfId="12694" xr:uid="{481C0825-9D98-41A1-A594-EC3875F0B628}"/>
    <cellStyle name="Normal 12 4 5 2 4" xfId="21130" xr:uid="{B89AA945-30BD-4C82-9EBD-930CCED2E927}"/>
    <cellStyle name="Normal 12 4 5 3" xfId="6325" xr:uid="{00000000-0005-0000-0000-0000550E0000}"/>
    <cellStyle name="Normal 12 4 5 3 2" xfId="14767" xr:uid="{C86F634B-50BA-4B3D-87DB-4FD0D41EA82E}"/>
    <cellStyle name="Normal 12 4 5 3 3" xfId="23202" xr:uid="{508F734E-B1F0-4B37-9283-132DEC71F4C5}"/>
    <cellStyle name="Normal 12 4 5 4" xfId="10549" xr:uid="{A5A69B6D-F3E8-4272-A6BC-1DF3C167831A}"/>
    <cellStyle name="Normal 12 4 5 5" xfId="18985" xr:uid="{C7E7CD73-9985-4861-88E8-351C55E64BE7}"/>
    <cellStyle name="Normal 12 4 6" xfId="2454" xr:uid="{00000000-0005-0000-0000-0000560E0000}"/>
    <cellStyle name="Normal 12 4 6 2" xfId="6738" xr:uid="{00000000-0005-0000-0000-0000570E0000}"/>
    <cellStyle name="Normal 12 4 6 2 2" xfId="15180" xr:uid="{2F8D24D4-1D4E-4350-BB7F-56EDF834B597}"/>
    <cellStyle name="Normal 12 4 6 2 3" xfId="23615" xr:uid="{306A08FF-1542-4B9F-82B2-DA9AEF5D9355}"/>
    <cellStyle name="Normal 12 4 6 3" xfId="10962" xr:uid="{92E37478-596A-4AE4-82EE-B51476892A8C}"/>
    <cellStyle name="Normal 12 4 6 4" xfId="19398" xr:uid="{063EDE4D-49D5-4A9F-B143-1B69A3A82E15}"/>
    <cellStyle name="Normal 12 4 7" xfId="4672" xr:uid="{00000000-0005-0000-0000-0000580E0000}"/>
    <cellStyle name="Normal 12 4 7 2" xfId="13114" xr:uid="{E366B9A8-BCF9-46CA-AF22-868DD23E236E}"/>
    <cellStyle name="Normal 12 4 7 3" xfId="21549" xr:uid="{FF982967-BA79-4522-AD4E-9D6081BBBE3A}"/>
    <cellStyle name="Normal 12 4 8" xfId="8896" xr:uid="{16244E79-AF41-4F87-BEFA-B4D7ECEDE5C1}"/>
    <cellStyle name="Normal 12 4 9" xfId="17332" xr:uid="{4F32B8E3-ED43-46F4-AB47-1916A1A2BE78}"/>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2 2 2" xfId="15666" xr:uid="{A79C09A3-3B54-459D-BF7D-EA5220D2B3CD}"/>
    <cellStyle name="Normal 12 6 2 2 3" xfId="24101" xr:uid="{9E1CA6DE-147F-4D52-82CA-3982332CFEE7}"/>
    <cellStyle name="Normal 12 6 2 3" xfId="11448" xr:uid="{4395A4CE-2F7E-4E83-BDA2-9A06BE72EE93}"/>
    <cellStyle name="Normal 12 6 2 4" xfId="19884" xr:uid="{AF55BAAF-FC5A-4C40-881D-560B65F5712D}"/>
    <cellStyle name="Normal 12 6 3" xfId="5079" xr:uid="{00000000-0005-0000-0000-00005D0E0000}"/>
    <cellStyle name="Normal 12 6 3 2" xfId="13521" xr:uid="{D5ECC74F-4EAD-44E7-B2AE-2D9DB5E16C5E}"/>
    <cellStyle name="Normal 12 6 3 3" xfId="21956" xr:uid="{C258DCF8-3AE3-482E-AF3C-C76FB643A7AA}"/>
    <cellStyle name="Normal 12 6 4" xfId="9303" xr:uid="{09416481-1480-4E6D-886F-A3BEAB99D246}"/>
    <cellStyle name="Normal 12 6 5" xfId="17739" xr:uid="{C249C97F-7181-4ED7-B03B-244C089008B8}"/>
    <cellStyle name="Normal 12 7" xfId="1183" xr:uid="{00000000-0005-0000-0000-00005E0E0000}"/>
    <cellStyle name="Normal 12 7 2" xfId="3414" xr:uid="{00000000-0005-0000-0000-00005F0E0000}"/>
    <cellStyle name="Normal 12 7 2 2" xfId="7637" xr:uid="{00000000-0005-0000-0000-0000600E0000}"/>
    <cellStyle name="Normal 12 7 2 2 2" xfId="16079" xr:uid="{E82F4BC9-EAF7-413F-91E3-0E6E1ECFDEF8}"/>
    <cellStyle name="Normal 12 7 2 2 3" xfId="24514" xr:uid="{1552114A-390E-4F59-9A8A-BD6FCF956ABD}"/>
    <cellStyle name="Normal 12 7 2 3" xfId="11861" xr:uid="{64CC64BA-FE00-4FFD-8D64-ECA061E941A7}"/>
    <cellStyle name="Normal 12 7 2 4" xfId="20297" xr:uid="{AB2B9905-AFAF-43CF-90F8-B8ED123AF03E}"/>
    <cellStyle name="Normal 12 7 3" xfId="5492" xr:uid="{00000000-0005-0000-0000-0000610E0000}"/>
    <cellStyle name="Normal 12 7 3 2" xfId="13934" xr:uid="{DB5DECA2-29D3-4401-9E78-81857FA8F361}"/>
    <cellStyle name="Normal 12 7 3 3" xfId="22369" xr:uid="{5DCAA31B-F00B-4034-A381-98878B6FB13E}"/>
    <cellStyle name="Normal 12 7 4" xfId="9716" xr:uid="{D7EB4794-CB0C-4FA9-ABF7-E7CA8259609D}"/>
    <cellStyle name="Normal 12 7 5" xfId="18152" xr:uid="{C755C5D0-C75B-431D-B3D8-582879A620D5}"/>
    <cellStyle name="Normal 12 8" xfId="1597" xr:uid="{00000000-0005-0000-0000-0000620E0000}"/>
    <cellStyle name="Normal 12 8 2" xfId="3827" xr:uid="{00000000-0005-0000-0000-0000630E0000}"/>
    <cellStyle name="Normal 12 8 2 2" xfId="8050" xr:uid="{00000000-0005-0000-0000-0000640E0000}"/>
    <cellStyle name="Normal 12 8 2 2 2" xfId="16492" xr:uid="{09F5F73F-65D0-4801-87FE-0CF7A19A340B}"/>
    <cellStyle name="Normal 12 8 2 2 3" xfId="24927" xr:uid="{3D768FF5-5A94-4E48-9796-6452C58AF0D3}"/>
    <cellStyle name="Normal 12 8 2 3" xfId="12274" xr:uid="{D5022BC5-76AF-4D5D-9024-FAFB383BF2E0}"/>
    <cellStyle name="Normal 12 8 2 4" xfId="20710" xr:uid="{FEDA9200-C84E-4890-94F3-3E606A93EBA4}"/>
    <cellStyle name="Normal 12 8 3" xfId="5905" xr:uid="{00000000-0005-0000-0000-0000650E0000}"/>
    <cellStyle name="Normal 12 8 3 2" xfId="14347" xr:uid="{76926E04-8762-49F3-9EA2-8D88AC51BD29}"/>
    <cellStyle name="Normal 12 8 3 3" xfId="22782" xr:uid="{45D353D3-2AB5-4A3B-A220-6CD4DF8A8E0D}"/>
    <cellStyle name="Normal 12 8 4" xfId="10129" xr:uid="{F324B502-DE6F-4156-8634-A7AA0B9913D8}"/>
    <cellStyle name="Normal 12 8 5" xfId="18565" xr:uid="{6A133C50-6DAA-4643-8339-0D542B0FF0AD}"/>
    <cellStyle name="Normal 12 9" xfId="2011" xr:uid="{00000000-0005-0000-0000-0000660E0000}"/>
    <cellStyle name="Normal 12 9 2" xfId="4240" xr:uid="{00000000-0005-0000-0000-0000670E0000}"/>
    <cellStyle name="Normal 12 9 2 2" xfId="8463" xr:uid="{00000000-0005-0000-0000-0000680E0000}"/>
    <cellStyle name="Normal 12 9 2 2 2" xfId="16905" xr:uid="{ECE538C9-058E-43E0-9CCD-7CCBFB5D6A92}"/>
    <cellStyle name="Normal 12 9 2 2 3" xfId="25340" xr:uid="{85D5EEF6-3A83-48BE-AC12-2C3FBDF75411}"/>
    <cellStyle name="Normal 12 9 2 3" xfId="12687" xr:uid="{F2B5490B-AE0F-4739-9BD1-372EDA670D4A}"/>
    <cellStyle name="Normal 12 9 2 4" xfId="21123" xr:uid="{C21D0DDA-3A4D-40D7-AC86-759798599AB7}"/>
    <cellStyle name="Normal 12 9 3" xfId="6318" xr:uid="{00000000-0005-0000-0000-0000690E0000}"/>
    <cellStyle name="Normal 12 9 3 2" xfId="14760" xr:uid="{429CD70F-E572-4F47-905D-30BCC2FB8093}"/>
    <cellStyle name="Normal 12 9 3 3" xfId="23195" xr:uid="{A7DBF2F5-33EE-47A8-B8A2-12611EB699F6}"/>
    <cellStyle name="Normal 12 9 4" xfId="10542" xr:uid="{9FCA23DD-5F7D-4F51-8E65-A40598C07B71}"/>
    <cellStyle name="Normal 12 9 5" xfId="18978" xr:uid="{AAE90AE7-BF0A-451C-983B-A3E93B547454}"/>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2 2 2" xfId="15674" xr:uid="{43D3EAD2-FB06-4086-9ADF-895A03398ECA}"/>
    <cellStyle name="Normal 14 2 2 2 3" xfId="24109" xr:uid="{8B6794ED-93C6-4609-AE55-BF89F680E5AB}"/>
    <cellStyle name="Normal 14 2 2 3" xfId="11456" xr:uid="{B863F117-01F3-4843-A760-7870899CC5D2}"/>
    <cellStyle name="Normal 14 2 2 4" xfId="19892" xr:uid="{9D93E04D-B22A-4DCF-8428-3070EB2CE749}"/>
    <cellStyle name="Normal 14 2 3" xfId="5087" xr:uid="{00000000-0005-0000-0000-0000700E0000}"/>
    <cellStyle name="Normal 14 2 3 2" xfId="13529" xr:uid="{A7A90E41-A4A3-4792-9EAC-4A2294AB58BE}"/>
    <cellStyle name="Normal 14 2 3 3" xfId="21964" xr:uid="{8B22EC0E-B06B-4A60-B2D0-BE2CA27067D3}"/>
    <cellStyle name="Normal 14 2 4" xfId="9311" xr:uid="{A5B92D5C-33F1-430C-9671-FCE667BA0B21}"/>
    <cellStyle name="Normal 14 2 5" xfId="17747" xr:uid="{1784CFC5-7D94-45EB-96AF-9AAEB0557D3B}"/>
    <cellStyle name="Normal 14 3" xfId="1191" xr:uid="{00000000-0005-0000-0000-0000710E0000}"/>
    <cellStyle name="Normal 14 3 2" xfId="3422" xr:uid="{00000000-0005-0000-0000-0000720E0000}"/>
    <cellStyle name="Normal 14 3 2 2" xfId="7645" xr:uid="{00000000-0005-0000-0000-0000730E0000}"/>
    <cellStyle name="Normal 14 3 2 2 2" xfId="16087" xr:uid="{50D1C5B5-5BF8-4E96-B0DE-E02E0202C8D2}"/>
    <cellStyle name="Normal 14 3 2 2 3" xfId="24522" xr:uid="{A5F90DF8-B268-441F-8DAE-FDEB4AD4E3A2}"/>
    <cellStyle name="Normal 14 3 2 3" xfId="11869" xr:uid="{0B13C8D0-0094-4E73-82CD-7D3BF0D22A04}"/>
    <cellStyle name="Normal 14 3 2 4" xfId="20305" xr:uid="{13F8249E-9011-4FCB-A652-C13325552B54}"/>
    <cellStyle name="Normal 14 3 3" xfId="5500" xr:uid="{00000000-0005-0000-0000-0000740E0000}"/>
    <cellStyle name="Normal 14 3 3 2" xfId="13942" xr:uid="{6385FF8A-6847-4EF8-A772-6351833D23E9}"/>
    <cellStyle name="Normal 14 3 3 3" xfId="22377" xr:uid="{85B32340-E521-4277-A79E-4889CC32D7D6}"/>
    <cellStyle name="Normal 14 3 4" xfId="9724" xr:uid="{5AAE1E15-07CA-4696-AD6E-DA40B6AEB1D4}"/>
    <cellStyle name="Normal 14 3 5" xfId="18160" xr:uid="{062BD8C2-E0A5-4224-9F4F-B9923D3163DA}"/>
    <cellStyle name="Normal 14 4" xfId="1605" xr:uid="{00000000-0005-0000-0000-0000750E0000}"/>
    <cellStyle name="Normal 14 4 2" xfId="3835" xr:uid="{00000000-0005-0000-0000-0000760E0000}"/>
    <cellStyle name="Normal 14 4 2 2" xfId="8058" xr:uid="{00000000-0005-0000-0000-0000770E0000}"/>
    <cellStyle name="Normal 14 4 2 2 2" xfId="16500" xr:uid="{ED76F06D-D035-4FA1-9F94-11C9318A3AE4}"/>
    <cellStyle name="Normal 14 4 2 2 3" xfId="24935" xr:uid="{852494BB-FD01-4B7D-BC83-1B35E7811367}"/>
    <cellStyle name="Normal 14 4 2 3" xfId="12282" xr:uid="{6663E435-B17C-4ECD-B3EB-5606E02926C1}"/>
    <cellStyle name="Normal 14 4 2 4" xfId="20718" xr:uid="{238A1EC7-24D0-4E6F-93FB-63543B0532BC}"/>
    <cellStyle name="Normal 14 4 3" xfId="5913" xr:uid="{00000000-0005-0000-0000-0000780E0000}"/>
    <cellStyle name="Normal 14 4 3 2" xfId="14355" xr:uid="{2E708D57-E019-4B65-9003-89A821117285}"/>
    <cellStyle name="Normal 14 4 3 3" xfId="22790" xr:uid="{F958548A-820D-4077-B765-543FFF5644A3}"/>
    <cellStyle name="Normal 14 4 4" xfId="10137" xr:uid="{499A87AC-CD88-4650-9B25-9AD07EDFD97A}"/>
    <cellStyle name="Normal 14 4 5" xfId="18573" xr:uid="{E757758B-764A-4CE7-B7DB-1D8633B8B022}"/>
    <cellStyle name="Normal 14 5" xfId="2019" xr:uid="{00000000-0005-0000-0000-0000790E0000}"/>
    <cellStyle name="Normal 14 5 2" xfId="4248" xr:uid="{00000000-0005-0000-0000-00007A0E0000}"/>
    <cellStyle name="Normal 14 5 2 2" xfId="8471" xr:uid="{00000000-0005-0000-0000-00007B0E0000}"/>
    <cellStyle name="Normal 14 5 2 2 2" xfId="16913" xr:uid="{691C9039-5752-46C5-BBED-6A14601B3137}"/>
    <cellStyle name="Normal 14 5 2 2 3" xfId="25348" xr:uid="{A1595CD0-87AE-4CA4-A56F-AD6319A79AEC}"/>
    <cellStyle name="Normal 14 5 2 3" xfId="12695" xr:uid="{20B31512-7A2C-44FC-9C49-FF591CA2E5A8}"/>
    <cellStyle name="Normal 14 5 2 4" xfId="21131" xr:uid="{EB1FDBA9-234D-487C-B9A1-83ACE694D9CD}"/>
    <cellStyle name="Normal 14 5 3" xfId="6326" xr:uid="{00000000-0005-0000-0000-00007C0E0000}"/>
    <cellStyle name="Normal 14 5 3 2" xfId="14768" xr:uid="{5B5C25FA-9B50-4775-BD1B-CB1ED17DC4E3}"/>
    <cellStyle name="Normal 14 5 3 3" xfId="23203" xr:uid="{8CE0EF52-8CA0-443D-BC16-0DEB6370293C}"/>
    <cellStyle name="Normal 14 5 4" xfId="10550" xr:uid="{DF94E09B-32C4-4C38-9333-FCDE0A711F6F}"/>
    <cellStyle name="Normal 14 5 5" xfId="18986" xr:uid="{8538C884-C726-4E6A-8EEA-5848CDCB696A}"/>
    <cellStyle name="Normal 14 6" xfId="2455" xr:uid="{00000000-0005-0000-0000-00007D0E0000}"/>
    <cellStyle name="Normal 14 6 2" xfId="6739" xr:uid="{00000000-0005-0000-0000-00007E0E0000}"/>
    <cellStyle name="Normal 14 6 2 2" xfId="15181" xr:uid="{5BCF2790-A85F-46CE-BAEE-81F55B20DB0B}"/>
    <cellStyle name="Normal 14 6 2 3" xfId="23616" xr:uid="{20182215-DCF5-41A3-B42C-2813CA29885D}"/>
    <cellStyle name="Normal 14 6 3" xfId="10963" xr:uid="{6BA5669C-F515-479B-A398-BEAB355F42EF}"/>
    <cellStyle name="Normal 14 6 4" xfId="19399" xr:uid="{DCA9172D-56EF-4D91-BB22-34ECADF391CE}"/>
    <cellStyle name="Normal 14 7" xfId="4673" xr:uid="{00000000-0005-0000-0000-00007F0E0000}"/>
    <cellStyle name="Normal 14 7 2" xfId="13115" xr:uid="{62B72BFF-5FA6-4275-AC3D-A746DE4CBFDD}"/>
    <cellStyle name="Normal 14 7 3" xfId="21550" xr:uid="{454A204F-B12C-4585-92C9-A544EA836520}"/>
    <cellStyle name="Normal 14 8" xfId="8897" xr:uid="{34D467FD-4F79-4B6D-9948-82680FA9585B}"/>
    <cellStyle name="Normal 14 9" xfId="17333" xr:uid="{CA31D793-C7CF-4905-9467-458519CBF7BF}"/>
    <cellStyle name="Normal 15" xfId="4496" xr:uid="{00000000-0005-0000-0000-0000800E0000}"/>
    <cellStyle name="Normal 15 2" xfId="12941" xr:uid="{A8B9C803-F439-4EC1-B8C9-B6D9C7DC15E5}"/>
    <cellStyle name="Normal 15 3" xfId="21376" xr:uid="{A5454116-DC6D-424F-A074-FBAE7FC7686A}"/>
    <cellStyle name="Normal 16" xfId="4500" xr:uid="{00000000-0005-0000-0000-0000810E0000}"/>
    <cellStyle name="Normal 16 2" xfId="8716" xr:uid="{00000000-0005-0000-0000-0000820E0000}"/>
    <cellStyle name="Normal 16 2 2" xfId="17158" xr:uid="{DFC3A10B-20D0-42C6-98D6-83D61DDA90AE}"/>
    <cellStyle name="Normal 16 2 3" xfId="25593" xr:uid="{827AF2ED-208B-427B-AD34-4FDFC133DB7C}"/>
    <cellStyle name="Normal 16 3" xfId="8719" xr:uid="{3DE1BEEB-61FA-4094-B10F-9E0444F68763}"/>
    <cellStyle name="Normal 16 3 2" xfId="8723" xr:uid="{FE0BC069-4698-40B2-814D-8E09719245E9}"/>
    <cellStyle name="Normal 16 3 2 2" xfId="8726" xr:uid="{D3E9609F-293A-4CFC-B194-1FF2F92D621D}"/>
    <cellStyle name="Normal 16 3 3" xfId="17161" xr:uid="{FDA93F73-2F80-431F-8113-38AD39257E63}"/>
    <cellStyle name="Normal 16 3 4" xfId="25596" xr:uid="{46CBCA3F-512A-464B-AF19-566B707C35A2}"/>
    <cellStyle name="Normal 16 4" xfId="12944" xr:uid="{687EAC7D-D5AE-4A3A-A65F-EA85F092CBB5}"/>
    <cellStyle name="Normal 16 5" xfId="21379" xr:uid="{5A7F6A8E-AB2C-4AAB-88A8-C43075E52CD6}"/>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2 2 2" xfId="16914" xr:uid="{1AD25D5E-8B11-4E14-9E1A-7054072925FF}"/>
    <cellStyle name="Normal 2 4 2 10 2 2 3" xfId="25349" xr:uid="{2341707B-2658-4922-8572-105ED79AEE82}"/>
    <cellStyle name="Normal 2 4 2 10 2 3" xfId="12696" xr:uid="{DCC25427-F955-43D9-8FCC-A760058BC52D}"/>
    <cellStyle name="Normal 2 4 2 10 2 4" xfId="21132" xr:uid="{5F14687C-3C90-40D6-B87F-61830C202CCF}"/>
    <cellStyle name="Normal 2 4 2 10 3" xfId="6327" xr:uid="{00000000-0005-0000-0000-0000910E0000}"/>
    <cellStyle name="Normal 2 4 2 10 3 2" xfId="14769" xr:uid="{9DA28B48-B5C8-4EDC-A00A-9E6A088BB20A}"/>
    <cellStyle name="Normal 2 4 2 10 3 3" xfId="23204" xr:uid="{3074DB0B-06EF-41E9-8018-D3F50A8D1C90}"/>
    <cellStyle name="Normal 2 4 2 10 4" xfId="10551" xr:uid="{615C9C09-ACFB-4864-9ACA-E4D74B6753A8}"/>
    <cellStyle name="Normal 2 4 2 10 5" xfId="18987" xr:uid="{5BA8CE9A-3039-45EC-9E17-5B8416B9AFD2}"/>
    <cellStyle name="Normal 2 4 2 11" xfId="2456" xr:uid="{00000000-0005-0000-0000-0000920E0000}"/>
    <cellStyle name="Normal 2 4 2 11 2" xfId="6740" xr:uid="{00000000-0005-0000-0000-0000930E0000}"/>
    <cellStyle name="Normal 2 4 2 11 2 2" xfId="15182" xr:uid="{F850B16F-E1A7-41C0-8F9C-72523817D05C}"/>
    <cellStyle name="Normal 2 4 2 11 2 3" xfId="23617" xr:uid="{A5FD624F-C8AB-4D9B-9CB5-89ED4CCF9437}"/>
    <cellStyle name="Normal 2 4 2 11 3" xfId="10964" xr:uid="{669DC4CC-D205-4319-B4C6-380479A98F8B}"/>
    <cellStyle name="Normal 2 4 2 11 4" xfId="19400" xr:uid="{3EF754A5-4DE4-4987-BDBF-0F23AF3615C0}"/>
    <cellStyle name="Normal 2 4 2 12" xfId="4674" xr:uid="{00000000-0005-0000-0000-0000940E0000}"/>
    <cellStyle name="Normal 2 4 2 12 2" xfId="13116" xr:uid="{609BE736-8155-4E6A-A5F0-23E6F24AE693}"/>
    <cellStyle name="Normal 2 4 2 12 3" xfId="21551" xr:uid="{3F8A27E3-FA86-47A7-AAFF-5099348D615B}"/>
    <cellStyle name="Normal 2 4 2 13" xfId="8898" xr:uid="{DC6E659E-7DF2-416E-9F57-488C6BE6466F}"/>
    <cellStyle name="Normal 2 4 2 14" xfId="17334" xr:uid="{964B4E0B-F389-4E84-A9CE-DAEDBEEA2EE8}"/>
    <cellStyle name="Normal 2 4 2 2" xfId="280" xr:uid="{00000000-0005-0000-0000-0000950E0000}"/>
    <cellStyle name="Normal 2 4 2 3" xfId="281" xr:uid="{00000000-0005-0000-0000-0000960E0000}"/>
    <cellStyle name="Normal 2 4 2 3 10" xfId="4675" xr:uid="{00000000-0005-0000-0000-0000970E0000}"/>
    <cellStyle name="Normal 2 4 2 3 10 2" xfId="13117" xr:uid="{F2B5B49F-0CEC-486D-8600-22E4FBBA2794}"/>
    <cellStyle name="Normal 2 4 2 3 10 3" xfId="21552" xr:uid="{9418BF2A-683F-45D1-8B24-FE953CFF4D68}"/>
    <cellStyle name="Normal 2 4 2 3 11" xfId="8899" xr:uid="{C5163B3C-1995-410C-967E-DD06D7AAB194}"/>
    <cellStyle name="Normal 2 4 2 3 12" xfId="17335" xr:uid="{D549EEEE-85F0-4A66-A266-A28E015557BC}"/>
    <cellStyle name="Normal 2 4 2 3 2" xfId="282" xr:uid="{00000000-0005-0000-0000-0000980E0000}"/>
    <cellStyle name="Normal 2 4 2 3 2 10" xfId="8900" xr:uid="{1B7FD967-B9D8-483E-8CA0-3FF61D5B0B23}"/>
    <cellStyle name="Normal 2 4 2 3 2 11" xfId="17336" xr:uid="{06CC877E-3303-4DAF-9D04-658B5F9F720F}"/>
    <cellStyle name="Normal 2 4 2 3 2 2" xfId="283" xr:uid="{00000000-0005-0000-0000-0000990E0000}"/>
    <cellStyle name="Normal 2 4 2 3 2 2 10" xfId="17337" xr:uid="{A11F5C9A-BBD9-46F1-8DB1-7A04BA7C99EA}"/>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2 2 2" xfId="15679" xr:uid="{BCF30BD8-CF88-48A0-BC03-4A972E95A0AC}"/>
    <cellStyle name="Normal 2 4 2 3 2 2 2 2 2 2 3" xfId="24114" xr:uid="{42794DD5-A62F-478F-8146-BF637AFCB89E}"/>
    <cellStyle name="Normal 2 4 2 3 2 2 2 2 2 3" xfId="11461" xr:uid="{2F849898-08CE-4E30-B5F4-3E02E5A76E01}"/>
    <cellStyle name="Normal 2 4 2 3 2 2 2 2 2 4" xfId="19897" xr:uid="{D60821AD-4C57-4B50-B34D-AF2494CB0C5A}"/>
    <cellStyle name="Normal 2 4 2 3 2 2 2 2 3" xfId="5092" xr:uid="{00000000-0005-0000-0000-00009E0E0000}"/>
    <cellStyle name="Normal 2 4 2 3 2 2 2 2 3 2" xfId="13534" xr:uid="{5E2EF882-1749-4C91-BD12-538B6FFD965B}"/>
    <cellStyle name="Normal 2 4 2 3 2 2 2 2 3 3" xfId="21969" xr:uid="{6C470F4A-A6CA-41E7-ACD7-E8F7E55C07B1}"/>
    <cellStyle name="Normal 2 4 2 3 2 2 2 2 4" xfId="9316" xr:uid="{8B19743A-CACF-4A62-AA7E-8E66EF9FE5E0}"/>
    <cellStyle name="Normal 2 4 2 3 2 2 2 2 5" xfId="17752" xr:uid="{DCD71946-E321-4AFC-B955-83F7CEBCFEAC}"/>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2 2 2" xfId="16092" xr:uid="{E33FCF9B-FBD9-4F33-9581-AB9C074FC842}"/>
    <cellStyle name="Normal 2 4 2 3 2 2 2 3 2 2 3" xfId="24527" xr:uid="{C6207E80-182B-4851-9F80-91B0151BCAB3}"/>
    <cellStyle name="Normal 2 4 2 3 2 2 2 3 2 3" xfId="11874" xr:uid="{EF3F4AC8-6350-4754-AA62-F23F25734D37}"/>
    <cellStyle name="Normal 2 4 2 3 2 2 2 3 2 4" xfId="20310" xr:uid="{6275702C-5EE7-465A-8FE2-2040B26E47F4}"/>
    <cellStyle name="Normal 2 4 2 3 2 2 2 3 3" xfId="5505" xr:uid="{00000000-0005-0000-0000-0000A20E0000}"/>
    <cellStyle name="Normal 2 4 2 3 2 2 2 3 3 2" xfId="13947" xr:uid="{6731783D-30D2-4184-A3DE-A4756760D261}"/>
    <cellStyle name="Normal 2 4 2 3 2 2 2 3 3 3" xfId="22382" xr:uid="{FFEB6AE2-D346-48EA-958D-AC1ACC560C3E}"/>
    <cellStyle name="Normal 2 4 2 3 2 2 2 3 4" xfId="9729" xr:uid="{D130725F-C764-4484-BAAE-E864965423F2}"/>
    <cellStyle name="Normal 2 4 2 3 2 2 2 3 5" xfId="18165" xr:uid="{AF979380-C697-4196-BD22-F53267904FCF}"/>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2 2 2" xfId="16505" xr:uid="{7B9188F7-CE93-407C-976E-699174E87732}"/>
    <cellStyle name="Normal 2 4 2 3 2 2 2 4 2 2 3" xfId="24940" xr:uid="{2090F48B-8316-4F29-AB5B-696D9B65DD50}"/>
    <cellStyle name="Normal 2 4 2 3 2 2 2 4 2 3" xfId="12287" xr:uid="{F74636AA-3966-485F-92F2-B4A66576E3BF}"/>
    <cellStyle name="Normal 2 4 2 3 2 2 2 4 2 4" xfId="20723" xr:uid="{DCA1C04D-27B9-4C51-A7E3-9D36D0B3C70D}"/>
    <cellStyle name="Normal 2 4 2 3 2 2 2 4 3" xfId="5918" xr:uid="{00000000-0005-0000-0000-0000A60E0000}"/>
    <cellStyle name="Normal 2 4 2 3 2 2 2 4 3 2" xfId="14360" xr:uid="{66543162-151B-4E38-8526-3FACC0E55AFF}"/>
    <cellStyle name="Normal 2 4 2 3 2 2 2 4 3 3" xfId="22795" xr:uid="{D3E84D36-BCAC-42CA-A747-7F0B42331956}"/>
    <cellStyle name="Normal 2 4 2 3 2 2 2 4 4" xfId="10142" xr:uid="{DFF43123-8624-4747-A3F3-F67FD0381435}"/>
    <cellStyle name="Normal 2 4 2 3 2 2 2 4 5" xfId="18578" xr:uid="{20242B44-4E9A-4E00-955D-B0B1447A8882}"/>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2 2 2" xfId="16918" xr:uid="{811460A8-EE25-448B-A2C6-DF80D0BD9452}"/>
    <cellStyle name="Normal 2 4 2 3 2 2 2 5 2 2 3" xfId="25353" xr:uid="{3DF42E54-43B7-4E7A-B45B-11B444C4D7DE}"/>
    <cellStyle name="Normal 2 4 2 3 2 2 2 5 2 3" xfId="12700" xr:uid="{F5A76326-999A-4B97-AA66-E3F136E2D3B8}"/>
    <cellStyle name="Normal 2 4 2 3 2 2 2 5 2 4" xfId="21136" xr:uid="{9D15E729-7F8E-4263-8595-F464116AA192}"/>
    <cellStyle name="Normal 2 4 2 3 2 2 2 5 3" xfId="6331" xr:uid="{00000000-0005-0000-0000-0000AA0E0000}"/>
    <cellStyle name="Normal 2 4 2 3 2 2 2 5 3 2" xfId="14773" xr:uid="{C4F717CA-F4FC-4355-B086-354FF0AB531E}"/>
    <cellStyle name="Normal 2 4 2 3 2 2 2 5 3 3" xfId="23208" xr:uid="{BF903DBD-8CB9-4039-A7CE-EAF3532DEBE5}"/>
    <cellStyle name="Normal 2 4 2 3 2 2 2 5 4" xfId="10555" xr:uid="{6D053230-3CE1-4484-8FD8-391F9B03DF98}"/>
    <cellStyle name="Normal 2 4 2 3 2 2 2 5 5" xfId="18991" xr:uid="{4F41AD5F-7ACC-41E0-A98E-23CE1310FF45}"/>
    <cellStyle name="Normal 2 4 2 3 2 2 2 6" xfId="2460" xr:uid="{00000000-0005-0000-0000-0000AB0E0000}"/>
    <cellStyle name="Normal 2 4 2 3 2 2 2 6 2" xfId="6744" xr:uid="{00000000-0005-0000-0000-0000AC0E0000}"/>
    <cellStyle name="Normal 2 4 2 3 2 2 2 6 2 2" xfId="15186" xr:uid="{9E57BCB9-631D-4B16-B7B8-6AAF53B8736A}"/>
    <cellStyle name="Normal 2 4 2 3 2 2 2 6 2 3" xfId="23621" xr:uid="{D594228E-1310-4476-8866-A0061E8164D7}"/>
    <cellStyle name="Normal 2 4 2 3 2 2 2 6 3" xfId="10968" xr:uid="{1F83F057-33B1-4C29-9845-6186F0687F97}"/>
    <cellStyle name="Normal 2 4 2 3 2 2 2 6 4" xfId="19404" xr:uid="{0CB208ED-ADB3-44B5-8FB9-10F11B2E2E6E}"/>
    <cellStyle name="Normal 2 4 2 3 2 2 2 7" xfId="4678" xr:uid="{00000000-0005-0000-0000-0000AD0E0000}"/>
    <cellStyle name="Normal 2 4 2 3 2 2 2 7 2" xfId="13120" xr:uid="{B6253344-7A96-442D-BEA7-B95EECCA0633}"/>
    <cellStyle name="Normal 2 4 2 3 2 2 2 7 3" xfId="21555" xr:uid="{5910FDBC-967D-4DE8-BAD1-0754DAB406A1}"/>
    <cellStyle name="Normal 2 4 2 3 2 2 2 8" xfId="8902" xr:uid="{25BD5506-4B91-4301-8703-5B42E11269F4}"/>
    <cellStyle name="Normal 2 4 2 3 2 2 2 9" xfId="17338" xr:uid="{A5E3AC36-E3E2-4C35-A638-A2C5690B8E25}"/>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2 2 2" xfId="15678" xr:uid="{CCF41798-4BC3-46B6-8F0C-72A0790F24B5}"/>
    <cellStyle name="Normal 2 4 2 3 2 2 3 2 2 3" xfId="24113" xr:uid="{9CA5428A-F783-485E-894A-C79392120DBA}"/>
    <cellStyle name="Normal 2 4 2 3 2 2 3 2 3" xfId="11460" xr:uid="{684161FC-8B17-4C0C-AC4A-475A08BA3D64}"/>
    <cellStyle name="Normal 2 4 2 3 2 2 3 2 4" xfId="19896" xr:uid="{9DF151EC-17D2-4EFC-A176-301513E7CDAC}"/>
    <cellStyle name="Normal 2 4 2 3 2 2 3 3" xfId="5091" xr:uid="{00000000-0005-0000-0000-0000B10E0000}"/>
    <cellStyle name="Normal 2 4 2 3 2 2 3 3 2" xfId="13533" xr:uid="{B8B057E8-9D9E-4625-AD52-4057E76B3C31}"/>
    <cellStyle name="Normal 2 4 2 3 2 2 3 3 3" xfId="21968" xr:uid="{C233A1B3-908D-4FE3-919D-7CBBEBD46462}"/>
    <cellStyle name="Normal 2 4 2 3 2 2 3 4" xfId="9315" xr:uid="{BD84D0F4-72E6-4963-B345-AA20772D2690}"/>
    <cellStyle name="Normal 2 4 2 3 2 2 3 5" xfId="17751" xr:uid="{330CE429-4E99-4BCA-9E82-367CC2D7A6D1}"/>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2 2 2" xfId="16091" xr:uid="{95C383FD-B705-4AFB-B988-9A8092DE1478}"/>
    <cellStyle name="Normal 2 4 2 3 2 2 4 2 2 3" xfId="24526" xr:uid="{47ECC9C5-5189-4622-B5ED-7A874041D25B}"/>
    <cellStyle name="Normal 2 4 2 3 2 2 4 2 3" xfId="11873" xr:uid="{7EE39C26-4142-458F-B109-787F67E234D1}"/>
    <cellStyle name="Normal 2 4 2 3 2 2 4 2 4" xfId="20309" xr:uid="{3CAB62FA-F328-4424-81EC-E3803C532E0C}"/>
    <cellStyle name="Normal 2 4 2 3 2 2 4 3" xfId="5504" xr:uid="{00000000-0005-0000-0000-0000B50E0000}"/>
    <cellStyle name="Normal 2 4 2 3 2 2 4 3 2" xfId="13946" xr:uid="{A283C39C-9934-44C4-A13C-7C212E0C7085}"/>
    <cellStyle name="Normal 2 4 2 3 2 2 4 3 3" xfId="22381" xr:uid="{8FA22C33-1C86-4AFE-91AA-6DCD4897A6B8}"/>
    <cellStyle name="Normal 2 4 2 3 2 2 4 4" xfId="9728" xr:uid="{6F1B199C-FB14-4DB1-895F-19D1F5DCEA6A}"/>
    <cellStyle name="Normal 2 4 2 3 2 2 4 5" xfId="18164" xr:uid="{1AC98945-40B8-41B8-BBB0-DA5161F1F997}"/>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2 2 2" xfId="16504" xr:uid="{6337A03A-6728-4916-902E-3F0BB517391F}"/>
    <cellStyle name="Normal 2 4 2 3 2 2 5 2 2 3" xfId="24939" xr:uid="{3C1F8155-31CA-46D0-834F-8145F8F390E4}"/>
    <cellStyle name="Normal 2 4 2 3 2 2 5 2 3" xfId="12286" xr:uid="{AEBD77B3-7F5D-47F4-B643-ADADB0C1264C}"/>
    <cellStyle name="Normal 2 4 2 3 2 2 5 2 4" xfId="20722" xr:uid="{728AD4CD-509F-4D84-A6B7-C33DFCA7D614}"/>
    <cellStyle name="Normal 2 4 2 3 2 2 5 3" xfId="5917" xr:uid="{00000000-0005-0000-0000-0000B90E0000}"/>
    <cellStyle name="Normal 2 4 2 3 2 2 5 3 2" xfId="14359" xr:uid="{65A12BBC-B732-41DB-AA65-6A3D23A368C5}"/>
    <cellStyle name="Normal 2 4 2 3 2 2 5 3 3" xfId="22794" xr:uid="{0354FC3F-2AA6-44F1-9853-4C06758B4757}"/>
    <cellStyle name="Normal 2 4 2 3 2 2 5 4" xfId="10141" xr:uid="{AAE300F6-8780-4597-A5D0-D8B8A3724AED}"/>
    <cellStyle name="Normal 2 4 2 3 2 2 5 5" xfId="18577" xr:uid="{180B69AD-284F-47EC-8CE1-301DFB335E0A}"/>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2 2 2" xfId="16917" xr:uid="{49A8CC71-6424-48D6-8D76-4B46A1AE66C0}"/>
    <cellStyle name="Normal 2 4 2 3 2 2 6 2 2 3" xfId="25352" xr:uid="{4BAA7265-7B25-4A61-8A3D-E40D1CBB1739}"/>
    <cellStyle name="Normal 2 4 2 3 2 2 6 2 3" xfId="12699" xr:uid="{EABE5258-A1AE-45EA-B661-6B0AEF0154B1}"/>
    <cellStyle name="Normal 2 4 2 3 2 2 6 2 4" xfId="21135" xr:uid="{1CE084D0-CB55-442A-B95C-2D5C9D109128}"/>
    <cellStyle name="Normal 2 4 2 3 2 2 6 3" xfId="6330" xr:uid="{00000000-0005-0000-0000-0000BD0E0000}"/>
    <cellStyle name="Normal 2 4 2 3 2 2 6 3 2" xfId="14772" xr:uid="{678BE34C-98FF-4407-9C70-4243F70FF741}"/>
    <cellStyle name="Normal 2 4 2 3 2 2 6 3 3" xfId="23207" xr:uid="{C783A9C5-5DBE-4553-A66A-831E1CB5BAE0}"/>
    <cellStyle name="Normal 2 4 2 3 2 2 6 4" xfId="10554" xr:uid="{B761DB90-9138-4EA9-A0DA-9A6781E6CF6A}"/>
    <cellStyle name="Normal 2 4 2 3 2 2 6 5" xfId="18990" xr:uid="{E3F7B9E9-FA29-480B-B855-434576F31F09}"/>
    <cellStyle name="Normal 2 4 2 3 2 2 7" xfId="2459" xr:uid="{00000000-0005-0000-0000-0000BE0E0000}"/>
    <cellStyle name="Normal 2 4 2 3 2 2 7 2" xfId="6743" xr:uid="{00000000-0005-0000-0000-0000BF0E0000}"/>
    <cellStyle name="Normal 2 4 2 3 2 2 7 2 2" xfId="15185" xr:uid="{4E66DDC9-66C0-4235-9EAD-BBFB5B327842}"/>
    <cellStyle name="Normal 2 4 2 3 2 2 7 2 3" xfId="23620" xr:uid="{3A0D0F09-2F98-4E36-AB49-D642BFE2F4AD}"/>
    <cellStyle name="Normal 2 4 2 3 2 2 7 3" xfId="10967" xr:uid="{29AF52EB-2A3D-4193-9118-0E552773093E}"/>
    <cellStyle name="Normal 2 4 2 3 2 2 7 4" xfId="19403" xr:uid="{A62E8194-D402-45E6-B70B-B193EBA9E9D3}"/>
    <cellStyle name="Normal 2 4 2 3 2 2 8" xfId="4677" xr:uid="{00000000-0005-0000-0000-0000C00E0000}"/>
    <cellStyle name="Normal 2 4 2 3 2 2 8 2" xfId="13119" xr:uid="{ED643867-4F9B-4132-B7ED-91B80EF03958}"/>
    <cellStyle name="Normal 2 4 2 3 2 2 8 3" xfId="21554" xr:uid="{6FEA67C6-C8B3-4C77-89FC-DA2EDEB8A10A}"/>
    <cellStyle name="Normal 2 4 2 3 2 2 9" xfId="8901" xr:uid="{880874B4-E042-45D9-AF0B-7873B0B3419A}"/>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2 2 2" xfId="15680" xr:uid="{0FF316CA-DF6F-4C0E-AB0C-61FB7F60B85C}"/>
    <cellStyle name="Normal 2 4 2 3 2 3 2 2 2 3" xfId="24115" xr:uid="{5C900F6C-95BC-4B34-9EB9-E43D73E4279A}"/>
    <cellStyle name="Normal 2 4 2 3 2 3 2 2 3" xfId="11462" xr:uid="{55A5B0D1-CECE-4D13-9380-007A8CF229E2}"/>
    <cellStyle name="Normal 2 4 2 3 2 3 2 2 4" xfId="19898" xr:uid="{9E46B684-13A7-41CB-9812-C6A9AF937C55}"/>
    <cellStyle name="Normal 2 4 2 3 2 3 2 3" xfId="5093" xr:uid="{00000000-0005-0000-0000-0000C50E0000}"/>
    <cellStyle name="Normal 2 4 2 3 2 3 2 3 2" xfId="13535" xr:uid="{BCE2A2BE-23DB-4C0D-B016-2C3B58529D3B}"/>
    <cellStyle name="Normal 2 4 2 3 2 3 2 3 3" xfId="21970" xr:uid="{B8771048-2854-4C5F-94F1-F3D2BFAFF0FD}"/>
    <cellStyle name="Normal 2 4 2 3 2 3 2 4" xfId="9317" xr:uid="{802E81B8-FBC4-4073-B902-11B64AAE09BB}"/>
    <cellStyle name="Normal 2 4 2 3 2 3 2 5" xfId="17753" xr:uid="{0E7AE4BD-E857-4A23-9A91-F62F5DAC0873}"/>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2 2 2" xfId="16093" xr:uid="{AD301206-47C1-4B0C-A6B3-E9907D90176B}"/>
    <cellStyle name="Normal 2 4 2 3 2 3 3 2 2 3" xfId="24528" xr:uid="{6CDF6507-2C0F-4BB2-A39A-048BA40D9B1E}"/>
    <cellStyle name="Normal 2 4 2 3 2 3 3 2 3" xfId="11875" xr:uid="{26883B32-CC68-4822-96CF-317DB548E9A0}"/>
    <cellStyle name="Normal 2 4 2 3 2 3 3 2 4" xfId="20311" xr:uid="{3C227136-1C80-418C-9CEA-F8FC8B7B3A70}"/>
    <cellStyle name="Normal 2 4 2 3 2 3 3 3" xfId="5506" xr:uid="{00000000-0005-0000-0000-0000C90E0000}"/>
    <cellStyle name="Normal 2 4 2 3 2 3 3 3 2" xfId="13948" xr:uid="{6D9770B0-0578-4812-9FAD-2619427275FC}"/>
    <cellStyle name="Normal 2 4 2 3 2 3 3 3 3" xfId="22383" xr:uid="{3A6467E4-1F4F-4DE8-B8BE-53345EF2559A}"/>
    <cellStyle name="Normal 2 4 2 3 2 3 3 4" xfId="9730" xr:uid="{02617A0F-5A50-4751-A61F-720D0D586404}"/>
    <cellStyle name="Normal 2 4 2 3 2 3 3 5" xfId="18166" xr:uid="{B4C1B8C6-9D89-47BE-89DB-95124E239419}"/>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2 2 2" xfId="16506" xr:uid="{69AC139F-BEF8-40C8-BF41-375F860B25DC}"/>
    <cellStyle name="Normal 2 4 2 3 2 3 4 2 2 3" xfId="24941" xr:uid="{E48A7827-37E5-4C80-8FDF-57B63F2A6FB9}"/>
    <cellStyle name="Normal 2 4 2 3 2 3 4 2 3" xfId="12288" xr:uid="{05F4A63D-EE76-4213-8BA3-B24C1393381D}"/>
    <cellStyle name="Normal 2 4 2 3 2 3 4 2 4" xfId="20724" xr:uid="{F702DEC6-6C3C-407B-9C53-C1B4D826C180}"/>
    <cellStyle name="Normal 2 4 2 3 2 3 4 3" xfId="5919" xr:uid="{00000000-0005-0000-0000-0000CD0E0000}"/>
    <cellStyle name="Normal 2 4 2 3 2 3 4 3 2" xfId="14361" xr:uid="{ACE17272-169F-4E9D-9CF7-5BF375C52F40}"/>
    <cellStyle name="Normal 2 4 2 3 2 3 4 3 3" xfId="22796" xr:uid="{31741E18-12FC-4B12-ACD6-F7B1C0987449}"/>
    <cellStyle name="Normal 2 4 2 3 2 3 4 4" xfId="10143" xr:uid="{9C927D44-C615-463F-A143-233CC724AA0D}"/>
    <cellStyle name="Normal 2 4 2 3 2 3 4 5" xfId="18579" xr:uid="{9AC3CB50-06C8-4ABA-A662-5FEE0F20A94B}"/>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2 2 2" xfId="16919" xr:uid="{EEF2D147-7147-458B-A669-CB9509D5A718}"/>
    <cellStyle name="Normal 2 4 2 3 2 3 5 2 2 3" xfId="25354" xr:uid="{1CD9031E-CD2D-414E-ACD1-141281EB8042}"/>
    <cellStyle name="Normal 2 4 2 3 2 3 5 2 3" xfId="12701" xr:uid="{42DB57ED-91E4-4F80-B59D-EF21EEE37EF2}"/>
    <cellStyle name="Normal 2 4 2 3 2 3 5 2 4" xfId="21137" xr:uid="{93D42AF1-25AC-4FD8-9B21-F07C12DBB3FF}"/>
    <cellStyle name="Normal 2 4 2 3 2 3 5 3" xfId="6332" xr:uid="{00000000-0005-0000-0000-0000D10E0000}"/>
    <cellStyle name="Normal 2 4 2 3 2 3 5 3 2" xfId="14774" xr:uid="{398767D9-4C6A-434F-A639-D93853261EC0}"/>
    <cellStyle name="Normal 2 4 2 3 2 3 5 3 3" xfId="23209" xr:uid="{7EAA4067-7A41-4523-9B91-8A71AA6AD553}"/>
    <cellStyle name="Normal 2 4 2 3 2 3 5 4" xfId="10556" xr:uid="{9DF3E4B5-8FB5-4677-84CB-51E87C51417F}"/>
    <cellStyle name="Normal 2 4 2 3 2 3 5 5" xfId="18992" xr:uid="{F4DA5C44-94F2-4CF6-AB28-0382AAAD5E0A}"/>
    <cellStyle name="Normal 2 4 2 3 2 3 6" xfId="2461" xr:uid="{00000000-0005-0000-0000-0000D20E0000}"/>
    <cellStyle name="Normal 2 4 2 3 2 3 6 2" xfId="6745" xr:uid="{00000000-0005-0000-0000-0000D30E0000}"/>
    <cellStyle name="Normal 2 4 2 3 2 3 6 2 2" xfId="15187" xr:uid="{481F61CF-8D18-4742-875A-715498ED374A}"/>
    <cellStyle name="Normal 2 4 2 3 2 3 6 2 3" xfId="23622" xr:uid="{23D7B78D-644D-4DE2-B07E-E40DC450443D}"/>
    <cellStyle name="Normal 2 4 2 3 2 3 6 3" xfId="10969" xr:uid="{B38DD035-873A-4AD2-9387-9E83FE4A011F}"/>
    <cellStyle name="Normal 2 4 2 3 2 3 6 4" xfId="19405" xr:uid="{46E346E5-E07E-4654-838F-B5EE67E74A91}"/>
    <cellStyle name="Normal 2 4 2 3 2 3 7" xfId="4679" xr:uid="{00000000-0005-0000-0000-0000D40E0000}"/>
    <cellStyle name="Normal 2 4 2 3 2 3 7 2" xfId="13121" xr:uid="{D8815354-5D5F-4386-9232-E5F94D64E647}"/>
    <cellStyle name="Normal 2 4 2 3 2 3 7 3" xfId="21556" xr:uid="{E4571F89-ADCE-4AE1-A1C1-64A5E40992B6}"/>
    <cellStyle name="Normal 2 4 2 3 2 3 8" xfId="8903" xr:uid="{7893B4A7-2E09-4575-99AC-54FEAEF6102B}"/>
    <cellStyle name="Normal 2 4 2 3 2 3 9" xfId="17339" xr:uid="{A0B9C0A6-8099-4EC1-B0AC-3BED13C6F8FB}"/>
    <cellStyle name="Normal 2 4 2 3 2 4" xfId="773" xr:uid="{00000000-0005-0000-0000-0000D50E0000}"/>
    <cellStyle name="Normal 2 4 2 3 2 4 2" xfId="3012" xr:uid="{00000000-0005-0000-0000-0000D60E0000}"/>
    <cellStyle name="Normal 2 4 2 3 2 4 2 2" xfId="7235" xr:uid="{00000000-0005-0000-0000-0000D70E0000}"/>
    <cellStyle name="Normal 2 4 2 3 2 4 2 2 2" xfId="15677" xr:uid="{69D34621-EE7A-4416-8872-EEFDF37407DA}"/>
    <cellStyle name="Normal 2 4 2 3 2 4 2 2 3" xfId="24112" xr:uid="{38BB9219-DED1-4EEA-93D6-4A06A15CA78D}"/>
    <cellStyle name="Normal 2 4 2 3 2 4 2 3" xfId="11459" xr:uid="{F91FE466-A529-4DED-B6DB-E679C33ABA68}"/>
    <cellStyle name="Normal 2 4 2 3 2 4 2 4" xfId="19895" xr:uid="{36A364B9-62A7-4385-9510-FC3B339E11ED}"/>
    <cellStyle name="Normal 2 4 2 3 2 4 3" xfId="5090" xr:uid="{00000000-0005-0000-0000-0000D80E0000}"/>
    <cellStyle name="Normal 2 4 2 3 2 4 3 2" xfId="13532" xr:uid="{0AA4DD6D-5AA0-47BF-995C-3F3F5B50A29B}"/>
    <cellStyle name="Normal 2 4 2 3 2 4 3 3" xfId="21967" xr:uid="{72A1D74C-B13E-47C2-B0FD-93BD78A7523E}"/>
    <cellStyle name="Normal 2 4 2 3 2 4 4" xfId="9314" xr:uid="{40760680-CA40-4F9B-8AC7-2A74B8912268}"/>
    <cellStyle name="Normal 2 4 2 3 2 4 5" xfId="17750" xr:uid="{13438527-9EBD-482F-93FB-7F01E88B1DC7}"/>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2 2 2" xfId="16090" xr:uid="{5895BB93-BFC4-455C-A8DA-A6D403171EE1}"/>
    <cellStyle name="Normal 2 4 2 3 2 5 2 2 3" xfId="24525" xr:uid="{6D85A9C3-11A4-488D-8A55-4A4F88C34F74}"/>
    <cellStyle name="Normal 2 4 2 3 2 5 2 3" xfId="11872" xr:uid="{F95B2ED2-80E0-45B5-A03F-25172AB75DD5}"/>
    <cellStyle name="Normal 2 4 2 3 2 5 2 4" xfId="20308" xr:uid="{0DF32E90-541A-4719-B693-A10BF622D2E0}"/>
    <cellStyle name="Normal 2 4 2 3 2 5 3" xfId="5503" xr:uid="{00000000-0005-0000-0000-0000DC0E0000}"/>
    <cellStyle name="Normal 2 4 2 3 2 5 3 2" xfId="13945" xr:uid="{C74339C5-F3D7-4A92-9CE2-C36B14872C67}"/>
    <cellStyle name="Normal 2 4 2 3 2 5 3 3" xfId="22380" xr:uid="{BDB39F74-62EA-4231-933A-90EEEC993B73}"/>
    <cellStyle name="Normal 2 4 2 3 2 5 4" xfId="9727" xr:uid="{448766ED-F829-4F80-A368-B7661BBA2548}"/>
    <cellStyle name="Normal 2 4 2 3 2 5 5" xfId="18163" xr:uid="{5A0E5E26-61C5-4FBB-BF42-167A8CC414B8}"/>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2 2 2" xfId="16503" xr:uid="{33E28C43-289C-49E2-B902-2A60AC8CE437}"/>
    <cellStyle name="Normal 2 4 2 3 2 6 2 2 3" xfId="24938" xr:uid="{8263327D-9345-4B6E-9EDD-B0DFD4E0E6F4}"/>
    <cellStyle name="Normal 2 4 2 3 2 6 2 3" xfId="12285" xr:uid="{59DF1BEA-B94C-4414-8487-FC41CFD046F8}"/>
    <cellStyle name="Normal 2 4 2 3 2 6 2 4" xfId="20721" xr:uid="{08D8A4BE-81F1-4267-A7F1-325A21A49AAB}"/>
    <cellStyle name="Normal 2 4 2 3 2 6 3" xfId="5916" xr:uid="{00000000-0005-0000-0000-0000E00E0000}"/>
    <cellStyle name="Normal 2 4 2 3 2 6 3 2" xfId="14358" xr:uid="{CE86CF86-94C8-4471-A026-D680AF91FF30}"/>
    <cellStyle name="Normal 2 4 2 3 2 6 3 3" xfId="22793" xr:uid="{6CF5364C-24D0-44C1-92E4-DB1562261401}"/>
    <cellStyle name="Normal 2 4 2 3 2 6 4" xfId="10140" xr:uid="{7AE3F6B3-CE7F-4CB0-BDB7-68125C3CF6FD}"/>
    <cellStyle name="Normal 2 4 2 3 2 6 5" xfId="18576" xr:uid="{FB232124-94D8-4ED2-8333-F8E36F0792A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2 2 2" xfId="16916" xr:uid="{9ABAA957-2F36-4416-820F-B5AA9BA61226}"/>
    <cellStyle name="Normal 2 4 2 3 2 7 2 2 3" xfId="25351" xr:uid="{96110059-B7EE-4094-8ECB-C06750DB11B5}"/>
    <cellStyle name="Normal 2 4 2 3 2 7 2 3" xfId="12698" xr:uid="{CD9B3DE0-6B18-4C52-8F6C-F623F0F392B2}"/>
    <cellStyle name="Normal 2 4 2 3 2 7 2 4" xfId="21134" xr:uid="{790FF806-51B0-4AD2-A381-09F1C26D70DF}"/>
    <cellStyle name="Normal 2 4 2 3 2 7 3" xfId="6329" xr:uid="{00000000-0005-0000-0000-0000E40E0000}"/>
    <cellStyle name="Normal 2 4 2 3 2 7 3 2" xfId="14771" xr:uid="{B6F88F19-6521-4332-B90B-95B80510508A}"/>
    <cellStyle name="Normal 2 4 2 3 2 7 3 3" xfId="23206" xr:uid="{000588E5-E4CF-41B3-AB2E-FC05FFBB00AC}"/>
    <cellStyle name="Normal 2 4 2 3 2 7 4" xfId="10553" xr:uid="{9FEC3E31-9533-4EE9-A72A-66230314DE79}"/>
    <cellStyle name="Normal 2 4 2 3 2 7 5" xfId="18989" xr:uid="{606971FB-D4E0-424C-9774-35E7505E6D86}"/>
    <cellStyle name="Normal 2 4 2 3 2 8" xfId="2458" xr:uid="{00000000-0005-0000-0000-0000E50E0000}"/>
    <cellStyle name="Normal 2 4 2 3 2 8 2" xfId="6742" xr:uid="{00000000-0005-0000-0000-0000E60E0000}"/>
    <cellStyle name="Normal 2 4 2 3 2 8 2 2" xfId="15184" xr:uid="{C224A3B0-6D30-4A61-AD8A-C7F3987B0652}"/>
    <cellStyle name="Normal 2 4 2 3 2 8 2 3" xfId="23619" xr:uid="{27B636EB-5A34-41D9-8711-4F7D1F0D4ACC}"/>
    <cellStyle name="Normal 2 4 2 3 2 8 3" xfId="10966" xr:uid="{73A77778-769D-4AE5-934D-FF2F8C9A61BF}"/>
    <cellStyle name="Normal 2 4 2 3 2 8 4" xfId="19402" xr:uid="{D5A4C3D1-C2A0-48F6-9A69-3D0A4C3F7357}"/>
    <cellStyle name="Normal 2 4 2 3 2 9" xfId="4676" xr:uid="{00000000-0005-0000-0000-0000E70E0000}"/>
    <cellStyle name="Normal 2 4 2 3 2 9 2" xfId="13118" xr:uid="{1AD24E2F-D806-4342-B687-492AAEB7943B}"/>
    <cellStyle name="Normal 2 4 2 3 2 9 3" xfId="21553" xr:uid="{3E3D5C91-8469-48E2-B4D1-FCB48CE1C6AF}"/>
    <cellStyle name="Normal 2 4 2 3 3" xfId="286" xr:uid="{00000000-0005-0000-0000-0000E80E0000}"/>
    <cellStyle name="Normal 2 4 2 3 3 10" xfId="17340" xr:uid="{C4B6AB6A-4483-49D7-867C-9EC2A8EE3B01}"/>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2 2 2" xfId="15682" xr:uid="{D2558A49-0CDA-4905-B074-784B35185581}"/>
    <cellStyle name="Normal 2 4 2 3 3 2 2 2 2 3" xfId="24117" xr:uid="{48BCB02A-18E7-44DA-8B43-66AAA4111B6C}"/>
    <cellStyle name="Normal 2 4 2 3 3 2 2 2 3" xfId="11464" xr:uid="{F54958CA-0775-4D7C-B018-4635C834F849}"/>
    <cellStyle name="Normal 2 4 2 3 3 2 2 2 4" xfId="19900" xr:uid="{173901F5-CD90-4FDA-997E-FFEDC5A7A038}"/>
    <cellStyle name="Normal 2 4 2 3 3 2 2 3" xfId="5095" xr:uid="{00000000-0005-0000-0000-0000ED0E0000}"/>
    <cellStyle name="Normal 2 4 2 3 3 2 2 3 2" xfId="13537" xr:uid="{7B283492-C730-41C4-A530-38F1E8448F2B}"/>
    <cellStyle name="Normal 2 4 2 3 3 2 2 3 3" xfId="21972" xr:uid="{A97CD6DE-B1C5-4F6A-953B-474FFFA96DEF}"/>
    <cellStyle name="Normal 2 4 2 3 3 2 2 4" xfId="9319" xr:uid="{04A0B0EA-71B8-4136-BE53-21D07B8472E5}"/>
    <cellStyle name="Normal 2 4 2 3 3 2 2 5" xfId="17755" xr:uid="{756638D8-45F1-44B7-86DB-43509CF5142B}"/>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2 2 2" xfId="16095" xr:uid="{9908E966-0F24-4BDC-B428-DC2BBEBB2A38}"/>
    <cellStyle name="Normal 2 4 2 3 3 2 3 2 2 3" xfId="24530" xr:uid="{52A4BA9C-5D52-4970-ACBA-798B3A48DAAF}"/>
    <cellStyle name="Normal 2 4 2 3 3 2 3 2 3" xfId="11877" xr:uid="{8C5666B7-9E41-4A4F-AE99-899846F60C6B}"/>
    <cellStyle name="Normal 2 4 2 3 3 2 3 2 4" xfId="20313" xr:uid="{8F8EF7AE-8E4D-4811-82BB-9BA52E313F14}"/>
    <cellStyle name="Normal 2 4 2 3 3 2 3 3" xfId="5508" xr:uid="{00000000-0005-0000-0000-0000F10E0000}"/>
    <cellStyle name="Normal 2 4 2 3 3 2 3 3 2" xfId="13950" xr:uid="{AB93D4E4-9C93-46FA-A70A-855899C77B30}"/>
    <cellStyle name="Normal 2 4 2 3 3 2 3 3 3" xfId="22385" xr:uid="{0AB3CCB4-A1B2-4DDF-84C8-D53BB6A911FE}"/>
    <cellStyle name="Normal 2 4 2 3 3 2 3 4" xfId="9732" xr:uid="{33DDE73A-AF56-4109-9B22-C8EDD9CB6559}"/>
    <cellStyle name="Normal 2 4 2 3 3 2 3 5" xfId="18168" xr:uid="{34103628-A642-4CA6-B516-32BCA088310F}"/>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2 2 2" xfId="16508" xr:uid="{E349E05E-16D7-4EF0-99AA-0B3EDEF3171E}"/>
    <cellStyle name="Normal 2 4 2 3 3 2 4 2 2 3" xfId="24943" xr:uid="{4270BD94-F188-4D07-AB22-3EDB56C6E789}"/>
    <cellStyle name="Normal 2 4 2 3 3 2 4 2 3" xfId="12290" xr:uid="{B4C62947-1076-450C-8B4B-E4909E05473F}"/>
    <cellStyle name="Normal 2 4 2 3 3 2 4 2 4" xfId="20726" xr:uid="{E068642C-B225-4EAA-944A-0063693D395D}"/>
    <cellStyle name="Normal 2 4 2 3 3 2 4 3" xfId="5921" xr:uid="{00000000-0005-0000-0000-0000F50E0000}"/>
    <cellStyle name="Normal 2 4 2 3 3 2 4 3 2" xfId="14363" xr:uid="{FE5E16C3-4E0D-49A3-A4F0-AB462C3A4CCC}"/>
    <cellStyle name="Normal 2 4 2 3 3 2 4 3 3" xfId="22798" xr:uid="{031EF080-BD6D-426C-AE93-B3C55103A360}"/>
    <cellStyle name="Normal 2 4 2 3 3 2 4 4" xfId="10145" xr:uid="{8D218922-9579-48CE-87DF-0B95CA889F49}"/>
    <cellStyle name="Normal 2 4 2 3 3 2 4 5" xfId="18581" xr:uid="{F3B74F90-929C-40C3-B4CF-D53772504D26}"/>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2 2 2" xfId="16921" xr:uid="{80B85DBF-6D59-4521-845D-2CC366336D4A}"/>
    <cellStyle name="Normal 2 4 2 3 3 2 5 2 2 3" xfId="25356" xr:uid="{789C9F7B-4CC7-4B30-9AC8-AD108B418EC5}"/>
    <cellStyle name="Normal 2 4 2 3 3 2 5 2 3" xfId="12703" xr:uid="{0DA48B57-6E1A-439C-9AE4-3AC1BD2F362C}"/>
    <cellStyle name="Normal 2 4 2 3 3 2 5 2 4" xfId="21139" xr:uid="{1A0F9F89-E5BA-451B-A5A0-87959975B2A0}"/>
    <cellStyle name="Normal 2 4 2 3 3 2 5 3" xfId="6334" xr:uid="{00000000-0005-0000-0000-0000F90E0000}"/>
    <cellStyle name="Normal 2 4 2 3 3 2 5 3 2" xfId="14776" xr:uid="{A9C5D828-6059-482A-9EB9-90AAC277BDE4}"/>
    <cellStyle name="Normal 2 4 2 3 3 2 5 3 3" xfId="23211" xr:uid="{D5602C06-2D80-4FF3-A21E-EECB49AEEA2C}"/>
    <cellStyle name="Normal 2 4 2 3 3 2 5 4" xfId="10558" xr:uid="{2B6CD1EC-C4D2-49B9-8BB3-65002986DE07}"/>
    <cellStyle name="Normal 2 4 2 3 3 2 5 5" xfId="18994" xr:uid="{6A60C5CB-1E5A-4CC8-9399-D890FB490BAA}"/>
    <cellStyle name="Normal 2 4 2 3 3 2 6" xfId="2463" xr:uid="{00000000-0005-0000-0000-0000FA0E0000}"/>
    <cellStyle name="Normal 2 4 2 3 3 2 6 2" xfId="6747" xr:uid="{00000000-0005-0000-0000-0000FB0E0000}"/>
    <cellStyle name="Normal 2 4 2 3 3 2 6 2 2" xfId="15189" xr:uid="{A2C4878F-55E1-4FE6-A136-76065D6CA8BE}"/>
    <cellStyle name="Normal 2 4 2 3 3 2 6 2 3" xfId="23624" xr:uid="{02E4F898-F9F7-46F2-B67C-07DC48601488}"/>
    <cellStyle name="Normal 2 4 2 3 3 2 6 3" xfId="10971" xr:uid="{2617679D-042B-407C-8862-099D779A6414}"/>
    <cellStyle name="Normal 2 4 2 3 3 2 6 4" xfId="19407" xr:uid="{13A09705-65FF-4DF8-B2F6-F072B7972547}"/>
    <cellStyle name="Normal 2 4 2 3 3 2 7" xfId="4681" xr:uid="{00000000-0005-0000-0000-0000FC0E0000}"/>
    <cellStyle name="Normal 2 4 2 3 3 2 7 2" xfId="13123" xr:uid="{AD2BCBFC-CCF7-47BA-9717-4AACCBA0295A}"/>
    <cellStyle name="Normal 2 4 2 3 3 2 7 3" xfId="21558" xr:uid="{33AE12E6-BEAC-464E-9142-78F58C67DDEE}"/>
    <cellStyle name="Normal 2 4 2 3 3 2 8" xfId="8905" xr:uid="{3773073B-0D47-4F57-89D5-491A909B891B}"/>
    <cellStyle name="Normal 2 4 2 3 3 2 9" xfId="17341" xr:uid="{5767161D-75B6-406B-AD3C-42F55F699923}"/>
    <cellStyle name="Normal 2 4 2 3 3 3" xfId="777" xr:uid="{00000000-0005-0000-0000-0000FD0E0000}"/>
    <cellStyle name="Normal 2 4 2 3 3 3 2" xfId="3016" xr:uid="{00000000-0005-0000-0000-0000FE0E0000}"/>
    <cellStyle name="Normal 2 4 2 3 3 3 2 2" xfId="7239" xr:uid="{00000000-0005-0000-0000-0000FF0E0000}"/>
    <cellStyle name="Normal 2 4 2 3 3 3 2 2 2" xfId="15681" xr:uid="{9E16F823-2813-4E39-A4D2-20CCF0493914}"/>
    <cellStyle name="Normal 2 4 2 3 3 3 2 2 3" xfId="24116" xr:uid="{69856F23-C26B-47C5-A564-F369DD60042F}"/>
    <cellStyle name="Normal 2 4 2 3 3 3 2 3" xfId="11463" xr:uid="{EC17D3F9-17AD-41E6-BEA1-64F5EADF41DA}"/>
    <cellStyle name="Normal 2 4 2 3 3 3 2 4" xfId="19899" xr:uid="{CE81C836-15E8-4FD8-A8EC-B4F2611413EE}"/>
    <cellStyle name="Normal 2 4 2 3 3 3 3" xfId="5094" xr:uid="{00000000-0005-0000-0000-0000000F0000}"/>
    <cellStyle name="Normal 2 4 2 3 3 3 3 2" xfId="13536" xr:uid="{6AB7D27C-1E04-4D4C-9B49-C3EDD95584F3}"/>
    <cellStyle name="Normal 2 4 2 3 3 3 3 3" xfId="21971" xr:uid="{42B2A183-3C4E-42D8-A0DB-6779AB4477C1}"/>
    <cellStyle name="Normal 2 4 2 3 3 3 4" xfId="9318" xr:uid="{5C12BCC1-D410-4BA1-B35D-E6D3EF0E52F9}"/>
    <cellStyle name="Normal 2 4 2 3 3 3 5" xfId="17754" xr:uid="{6D00214A-3E27-49E4-9739-95BAAB29F6DD}"/>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2 2 2" xfId="16094" xr:uid="{51B8826E-3C87-45D8-9644-C870942042F7}"/>
    <cellStyle name="Normal 2 4 2 3 3 4 2 2 3" xfId="24529" xr:uid="{47374AA7-EAE9-4434-B26D-31CEBC170F9A}"/>
    <cellStyle name="Normal 2 4 2 3 3 4 2 3" xfId="11876" xr:uid="{78594E36-9FFB-4B3F-A143-12F3B560AB37}"/>
    <cellStyle name="Normal 2 4 2 3 3 4 2 4" xfId="20312" xr:uid="{08DA13D9-EEF9-436B-A9E9-00CB31BBBC45}"/>
    <cellStyle name="Normal 2 4 2 3 3 4 3" xfId="5507" xr:uid="{00000000-0005-0000-0000-0000040F0000}"/>
    <cellStyle name="Normal 2 4 2 3 3 4 3 2" xfId="13949" xr:uid="{B9C9B2DA-1B36-4B04-94F4-F6F3B0C66F45}"/>
    <cellStyle name="Normal 2 4 2 3 3 4 3 3" xfId="22384" xr:uid="{034841E9-E8D7-48E3-A2D7-E8433D4CDB16}"/>
    <cellStyle name="Normal 2 4 2 3 3 4 4" xfId="9731" xr:uid="{E4A1F485-5DFB-4988-8E5F-85478DA7FE86}"/>
    <cellStyle name="Normal 2 4 2 3 3 4 5" xfId="18167" xr:uid="{6F514E17-0AED-495D-B7D4-86FDC5681742}"/>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2 2 2" xfId="16507" xr:uid="{AB71BD52-EA46-478E-ABFA-A88DF38E6DFA}"/>
    <cellStyle name="Normal 2 4 2 3 3 5 2 2 3" xfId="24942" xr:uid="{5381DDF7-6469-45EF-82D6-8D16F1C19210}"/>
    <cellStyle name="Normal 2 4 2 3 3 5 2 3" xfId="12289" xr:uid="{7D5B97B7-A06A-4D1A-8DBA-BA87B8743BB7}"/>
    <cellStyle name="Normal 2 4 2 3 3 5 2 4" xfId="20725" xr:uid="{C54B1D56-7B21-4A09-954A-1C81112F13BC}"/>
    <cellStyle name="Normal 2 4 2 3 3 5 3" xfId="5920" xr:uid="{00000000-0005-0000-0000-0000080F0000}"/>
    <cellStyle name="Normal 2 4 2 3 3 5 3 2" xfId="14362" xr:uid="{3D59638B-D739-4F32-B196-C850A49D4B4D}"/>
    <cellStyle name="Normal 2 4 2 3 3 5 3 3" xfId="22797" xr:uid="{28B2115F-7C07-4519-B856-14AE14952513}"/>
    <cellStyle name="Normal 2 4 2 3 3 5 4" xfId="10144" xr:uid="{E1E3E342-1BE2-4FBA-814D-EBE4043BA199}"/>
    <cellStyle name="Normal 2 4 2 3 3 5 5" xfId="18580" xr:uid="{1E97DCC9-7570-4FEE-BDC3-CDC4F2F3A8CD}"/>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2 2 2" xfId="16920" xr:uid="{CC9E2974-7F8E-48D1-ADCC-6A40BB301393}"/>
    <cellStyle name="Normal 2 4 2 3 3 6 2 2 3" xfId="25355" xr:uid="{C75A707E-14FA-4576-B85E-1342401C563D}"/>
    <cellStyle name="Normal 2 4 2 3 3 6 2 3" xfId="12702" xr:uid="{89043CD7-ED48-4168-9D96-066275A9B01E}"/>
    <cellStyle name="Normal 2 4 2 3 3 6 2 4" xfId="21138" xr:uid="{6FD4B3E9-395E-4CFF-8E19-285B915A3D9F}"/>
    <cellStyle name="Normal 2 4 2 3 3 6 3" xfId="6333" xr:uid="{00000000-0005-0000-0000-00000C0F0000}"/>
    <cellStyle name="Normal 2 4 2 3 3 6 3 2" xfId="14775" xr:uid="{476308D6-EAFE-416A-BE44-E59C8F856838}"/>
    <cellStyle name="Normal 2 4 2 3 3 6 3 3" xfId="23210" xr:uid="{D95A4DD6-F480-4A97-A2E5-017D826D769C}"/>
    <cellStyle name="Normal 2 4 2 3 3 6 4" xfId="10557" xr:uid="{4CAF6291-0EE9-4B07-962C-E4F72C7788BF}"/>
    <cellStyle name="Normal 2 4 2 3 3 6 5" xfId="18993" xr:uid="{062B0DEE-397A-45CA-8FC5-1D9E9DD37545}"/>
    <cellStyle name="Normal 2 4 2 3 3 7" xfId="2462" xr:uid="{00000000-0005-0000-0000-00000D0F0000}"/>
    <cellStyle name="Normal 2 4 2 3 3 7 2" xfId="6746" xr:uid="{00000000-0005-0000-0000-00000E0F0000}"/>
    <cellStyle name="Normal 2 4 2 3 3 7 2 2" xfId="15188" xr:uid="{46A18FAA-1E8A-4FD0-BBC7-DC6FF71C824B}"/>
    <cellStyle name="Normal 2 4 2 3 3 7 2 3" xfId="23623" xr:uid="{9F997341-38A0-4373-9522-5E61C0EA0EC2}"/>
    <cellStyle name="Normal 2 4 2 3 3 7 3" xfId="10970" xr:uid="{BEF01B90-B1A4-416D-8B79-F2369F0F72DC}"/>
    <cellStyle name="Normal 2 4 2 3 3 7 4" xfId="19406" xr:uid="{8F14A2E4-BD7D-4B25-A125-A713134EE073}"/>
    <cellStyle name="Normal 2 4 2 3 3 8" xfId="4680" xr:uid="{00000000-0005-0000-0000-00000F0F0000}"/>
    <cellStyle name="Normal 2 4 2 3 3 8 2" xfId="13122" xr:uid="{36FF77AD-2820-4ADC-9970-1AE1CC2ADD8F}"/>
    <cellStyle name="Normal 2 4 2 3 3 8 3" xfId="21557" xr:uid="{19BF1932-8C4B-43E5-A933-433E3AA588DD}"/>
    <cellStyle name="Normal 2 4 2 3 3 9" xfId="8904" xr:uid="{70F637E2-A391-4361-A590-980894D88B2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2 2 2" xfId="15683" xr:uid="{172245C0-543C-46F3-A5D1-18027734496C}"/>
    <cellStyle name="Normal 2 4 2 3 4 2 2 2 3" xfId="24118" xr:uid="{4FE1188B-8418-4926-94CF-C1EC0F97C885}"/>
    <cellStyle name="Normal 2 4 2 3 4 2 2 3" xfId="11465" xr:uid="{215D3CED-56D1-4E73-BCF9-B14E5E8BFB2E}"/>
    <cellStyle name="Normal 2 4 2 3 4 2 2 4" xfId="19901" xr:uid="{16BCD58A-E8A9-4F95-BB05-3F6B54CB1569}"/>
    <cellStyle name="Normal 2 4 2 3 4 2 3" xfId="5096" xr:uid="{00000000-0005-0000-0000-0000140F0000}"/>
    <cellStyle name="Normal 2 4 2 3 4 2 3 2" xfId="13538" xr:uid="{A16CDEA9-F5BA-42F5-8C5C-9F25AFA443E4}"/>
    <cellStyle name="Normal 2 4 2 3 4 2 3 3" xfId="21973" xr:uid="{902F193B-6252-4BFA-9EE8-870FC7421C38}"/>
    <cellStyle name="Normal 2 4 2 3 4 2 4" xfId="9320" xr:uid="{28216A25-9030-4892-8791-07D7E39607C1}"/>
    <cellStyle name="Normal 2 4 2 3 4 2 5" xfId="17756" xr:uid="{B2DB8DFD-08F0-4DBD-9322-511D8A2E4FD8}"/>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2 2 2" xfId="16096" xr:uid="{6F0A1C46-4B48-4288-8D9E-442764A8D36E}"/>
    <cellStyle name="Normal 2 4 2 3 4 3 2 2 3" xfId="24531" xr:uid="{7FD4BE89-A809-46AF-ACF7-12494F54212C}"/>
    <cellStyle name="Normal 2 4 2 3 4 3 2 3" xfId="11878" xr:uid="{254433AC-FF81-4866-9A01-2FCDB6506AA9}"/>
    <cellStyle name="Normal 2 4 2 3 4 3 2 4" xfId="20314" xr:uid="{3CBCBE13-536E-4E85-AF61-92263527BC81}"/>
    <cellStyle name="Normal 2 4 2 3 4 3 3" xfId="5509" xr:uid="{00000000-0005-0000-0000-0000180F0000}"/>
    <cellStyle name="Normal 2 4 2 3 4 3 3 2" xfId="13951" xr:uid="{5B9A74DE-D261-4700-BD7B-6F791204B320}"/>
    <cellStyle name="Normal 2 4 2 3 4 3 3 3" xfId="22386" xr:uid="{10E17BA2-DCFF-4F07-B512-A6F6B7FF4A90}"/>
    <cellStyle name="Normal 2 4 2 3 4 3 4" xfId="9733" xr:uid="{014A62AB-F531-411F-91ED-AD4EED1FEE08}"/>
    <cellStyle name="Normal 2 4 2 3 4 3 5" xfId="18169" xr:uid="{AC1C5D4F-5441-4873-8D2A-2942396379A3}"/>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2 2 2" xfId="16509" xr:uid="{116EBC89-F008-4D10-9DDE-65BD14265D86}"/>
    <cellStyle name="Normal 2 4 2 3 4 4 2 2 3" xfId="24944" xr:uid="{FF6DA497-6745-4152-9BFC-DF8993C7EF74}"/>
    <cellStyle name="Normal 2 4 2 3 4 4 2 3" xfId="12291" xr:uid="{0DA93F73-F0FB-4F6E-BE8D-290CFFDEE96B}"/>
    <cellStyle name="Normal 2 4 2 3 4 4 2 4" xfId="20727" xr:uid="{C6CC86E6-A5DC-4340-A336-553EBB6AC461}"/>
    <cellStyle name="Normal 2 4 2 3 4 4 3" xfId="5922" xr:uid="{00000000-0005-0000-0000-00001C0F0000}"/>
    <cellStyle name="Normal 2 4 2 3 4 4 3 2" xfId="14364" xr:uid="{D36CF501-6E0A-40C2-9D5C-9A3167731765}"/>
    <cellStyle name="Normal 2 4 2 3 4 4 3 3" xfId="22799" xr:uid="{9779A350-2E0C-4933-B672-5E653B314B82}"/>
    <cellStyle name="Normal 2 4 2 3 4 4 4" xfId="10146" xr:uid="{68CA8781-7661-4933-BC06-4735724FD598}"/>
    <cellStyle name="Normal 2 4 2 3 4 4 5" xfId="18582" xr:uid="{95CA139D-F22F-449A-9296-6D50A8ECD779}"/>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2 2 2" xfId="16922" xr:uid="{22E15FF1-E0FE-4A13-8397-869CC115778F}"/>
    <cellStyle name="Normal 2 4 2 3 4 5 2 2 3" xfId="25357" xr:uid="{AD0CBF2E-D0C8-4828-957A-894AC846B25B}"/>
    <cellStyle name="Normal 2 4 2 3 4 5 2 3" xfId="12704" xr:uid="{87E7E872-0A17-4342-9459-B9A031451777}"/>
    <cellStyle name="Normal 2 4 2 3 4 5 2 4" xfId="21140" xr:uid="{8499C1F2-D054-46D1-9946-F0EC230B3A22}"/>
    <cellStyle name="Normal 2 4 2 3 4 5 3" xfId="6335" xr:uid="{00000000-0005-0000-0000-0000200F0000}"/>
    <cellStyle name="Normal 2 4 2 3 4 5 3 2" xfId="14777" xr:uid="{A024DBFC-8013-41E2-A23A-CC9AA517AAE7}"/>
    <cellStyle name="Normal 2 4 2 3 4 5 3 3" xfId="23212" xr:uid="{FB128577-5490-4523-BB3C-45AE1E23C5DA}"/>
    <cellStyle name="Normal 2 4 2 3 4 5 4" xfId="10559" xr:uid="{F1317522-7888-4373-BEA2-37F6F602C962}"/>
    <cellStyle name="Normal 2 4 2 3 4 5 5" xfId="18995" xr:uid="{D02F36FE-93DF-4A6D-8159-359D55FECA44}"/>
    <cellStyle name="Normal 2 4 2 3 4 6" xfId="2464" xr:uid="{00000000-0005-0000-0000-0000210F0000}"/>
    <cellStyle name="Normal 2 4 2 3 4 6 2" xfId="6748" xr:uid="{00000000-0005-0000-0000-0000220F0000}"/>
    <cellStyle name="Normal 2 4 2 3 4 6 2 2" xfId="15190" xr:uid="{C9215D00-E918-4AEC-9DD8-98617BA8C285}"/>
    <cellStyle name="Normal 2 4 2 3 4 6 2 3" xfId="23625" xr:uid="{06CC6806-D569-4E00-9D6A-A5461E3D3AA0}"/>
    <cellStyle name="Normal 2 4 2 3 4 6 3" xfId="10972" xr:uid="{D56C2D63-8A0D-4A62-87C6-B0CB6DDE381C}"/>
    <cellStyle name="Normal 2 4 2 3 4 6 4" xfId="19408" xr:uid="{3C186B6E-A0F8-4255-B0A5-2969715E7FD9}"/>
    <cellStyle name="Normal 2 4 2 3 4 7" xfId="4682" xr:uid="{00000000-0005-0000-0000-0000230F0000}"/>
    <cellStyle name="Normal 2 4 2 3 4 7 2" xfId="13124" xr:uid="{CF3FF176-9237-4BB0-AEB4-C1960A45A860}"/>
    <cellStyle name="Normal 2 4 2 3 4 7 3" xfId="21559" xr:uid="{72130BB4-D082-414E-8845-45C2EBB3FFBF}"/>
    <cellStyle name="Normal 2 4 2 3 4 8" xfId="8906" xr:uid="{DCD34D47-281B-4F4C-9260-94FEB75A749A}"/>
    <cellStyle name="Normal 2 4 2 3 4 9" xfId="17342" xr:uid="{AC99CD05-0CA6-4D45-96D2-1C62FFDDBA0A}"/>
    <cellStyle name="Normal 2 4 2 3 5" xfId="772" xr:uid="{00000000-0005-0000-0000-0000240F0000}"/>
    <cellStyle name="Normal 2 4 2 3 5 2" xfId="3011" xr:uid="{00000000-0005-0000-0000-0000250F0000}"/>
    <cellStyle name="Normal 2 4 2 3 5 2 2" xfId="7234" xr:uid="{00000000-0005-0000-0000-0000260F0000}"/>
    <cellStyle name="Normal 2 4 2 3 5 2 2 2" xfId="15676" xr:uid="{EE09BD2D-3E2F-4C17-849F-BB49FC75CEA9}"/>
    <cellStyle name="Normal 2 4 2 3 5 2 2 3" xfId="24111" xr:uid="{18D9E403-03A8-497B-ACA0-6845A4D3AFBB}"/>
    <cellStyle name="Normal 2 4 2 3 5 2 3" xfId="11458" xr:uid="{F70D9A34-3C69-499B-B928-FC3D5262F399}"/>
    <cellStyle name="Normal 2 4 2 3 5 2 4" xfId="19894" xr:uid="{30425BFC-7B57-40B2-B1A5-2A3652919B0F}"/>
    <cellStyle name="Normal 2 4 2 3 5 3" xfId="5089" xr:uid="{00000000-0005-0000-0000-0000270F0000}"/>
    <cellStyle name="Normal 2 4 2 3 5 3 2" xfId="13531" xr:uid="{8D577395-66DD-42D4-8D4E-0A7EFFDB1308}"/>
    <cellStyle name="Normal 2 4 2 3 5 3 3" xfId="21966" xr:uid="{2D4175CB-213D-438F-94AF-667285921519}"/>
    <cellStyle name="Normal 2 4 2 3 5 4" xfId="9313" xr:uid="{D10651D2-0492-4C80-8E10-06701DF11FAE}"/>
    <cellStyle name="Normal 2 4 2 3 5 5" xfId="17749" xr:uid="{E8D64EC8-BF0D-4DBA-A9DA-A8BB0C6B2DAE}"/>
    <cellStyle name="Normal 2 4 2 3 6" xfId="1194" xr:uid="{00000000-0005-0000-0000-0000280F0000}"/>
    <cellStyle name="Normal 2 4 2 3 6 2" xfId="3424" xr:uid="{00000000-0005-0000-0000-0000290F0000}"/>
    <cellStyle name="Normal 2 4 2 3 6 2 2" xfId="7647" xr:uid="{00000000-0005-0000-0000-00002A0F0000}"/>
    <cellStyle name="Normal 2 4 2 3 6 2 2 2" xfId="16089" xr:uid="{EB7FF26D-6959-4690-AB4B-C17CC1B85982}"/>
    <cellStyle name="Normal 2 4 2 3 6 2 2 3" xfId="24524" xr:uid="{A28E25D1-3D79-4F20-94CD-F15C9FDB5455}"/>
    <cellStyle name="Normal 2 4 2 3 6 2 3" xfId="11871" xr:uid="{419B7A32-DF2C-406B-88EF-B71BCB0E8001}"/>
    <cellStyle name="Normal 2 4 2 3 6 2 4" xfId="20307" xr:uid="{CD6C30C4-5BD8-42E6-9368-32ED951E0209}"/>
    <cellStyle name="Normal 2 4 2 3 6 3" xfId="5502" xr:uid="{00000000-0005-0000-0000-00002B0F0000}"/>
    <cellStyle name="Normal 2 4 2 3 6 3 2" xfId="13944" xr:uid="{0EB56EF5-BEB4-4B3E-A121-F4D2EF53A3E7}"/>
    <cellStyle name="Normal 2 4 2 3 6 3 3" xfId="22379" xr:uid="{30C11C26-3806-446B-A2E5-E133D5F32CB8}"/>
    <cellStyle name="Normal 2 4 2 3 6 4" xfId="9726" xr:uid="{95E653F3-34CB-4B0E-BF23-1A6B1F13CB00}"/>
    <cellStyle name="Normal 2 4 2 3 6 5" xfId="18162" xr:uid="{BD5DFAA1-4F55-40F3-8D24-B42B28F7284A}"/>
    <cellStyle name="Normal 2 4 2 3 7" xfId="1607" xr:uid="{00000000-0005-0000-0000-00002C0F0000}"/>
    <cellStyle name="Normal 2 4 2 3 7 2" xfId="3837" xr:uid="{00000000-0005-0000-0000-00002D0F0000}"/>
    <cellStyle name="Normal 2 4 2 3 7 2 2" xfId="8060" xr:uid="{00000000-0005-0000-0000-00002E0F0000}"/>
    <cellStyle name="Normal 2 4 2 3 7 2 2 2" xfId="16502" xr:uid="{F52017A4-7DB2-45C5-ADC4-492D44EF886D}"/>
    <cellStyle name="Normal 2 4 2 3 7 2 2 3" xfId="24937" xr:uid="{5B8F0E04-94B9-4554-8ED4-935CE6312644}"/>
    <cellStyle name="Normal 2 4 2 3 7 2 3" xfId="12284" xr:uid="{6330B6CF-8BFA-49F5-9719-68BADA2669CA}"/>
    <cellStyle name="Normal 2 4 2 3 7 2 4" xfId="20720" xr:uid="{B5A96A5A-6742-4528-9267-25CBF149074D}"/>
    <cellStyle name="Normal 2 4 2 3 7 3" xfId="5915" xr:uid="{00000000-0005-0000-0000-00002F0F0000}"/>
    <cellStyle name="Normal 2 4 2 3 7 3 2" xfId="14357" xr:uid="{44252E08-1330-4209-AC8C-9BE7CBDEE8B3}"/>
    <cellStyle name="Normal 2 4 2 3 7 3 3" xfId="22792" xr:uid="{8D05B1F2-6036-44B5-9481-FC8EAB0A95DE}"/>
    <cellStyle name="Normal 2 4 2 3 7 4" xfId="10139" xr:uid="{02914E66-22AC-425B-ABD2-807F077BA607}"/>
    <cellStyle name="Normal 2 4 2 3 7 5" xfId="18575" xr:uid="{8DFD6803-FD4A-4B05-8235-08DAD71C913E}"/>
    <cellStyle name="Normal 2 4 2 3 8" xfId="2021" xr:uid="{00000000-0005-0000-0000-0000300F0000}"/>
    <cellStyle name="Normal 2 4 2 3 8 2" xfId="4250" xr:uid="{00000000-0005-0000-0000-0000310F0000}"/>
    <cellStyle name="Normal 2 4 2 3 8 2 2" xfId="8473" xr:uid="{00000000-0005-0000-0000-0000320F0000}"/>
    <cellStyle name="Normal 2 4 2 3 8 2 2 2" xfId="16915" xr:uid="{0C19D61F-31C8-4BB6-9185-4FAC660EAD34}"/>
    <cellStyle name="Normal 2 4 2 3 8 2 2 3" xfId="25350" xr:uid="{B4383E05-E31B-4D73-AFB0-7931812B427F}"/>
    <cellStyle name="Normal 2 4 2 3 8 2 3" xfId="12697" xr:uid="{381301C5-3BD9-499D-8BB9-F34CFC739AAE}"/>
    <cellStyle name="Normal 2 4 2 3 8 2 4" xfId="21133" xr:uid="{55CCE08F-184B-450C-8C1D-E2DF8F7D6A04}"/>
    <cellStyle name="Normal 2 4 2 3 8 3" xfId="6328" xr:uid="{00000000-0005-0000-0000-0000330F0000}"/>
    <cellStyle name="Normal 2 4 2 3 8 3 2" xfId="14770" xr:uid="{4574E6D9-A9CC-4B07-9E92-9E7DD84B4E82}"/>
    <cellStyle name="Normal 2 4 2 3 8 3 3" xfId="23205" xr:uid="{97B9D807-F27E-4627-A70D-64E312824BF9}"/>
    <cellStyle name="Normal 2 4 2 3 8 4" xfId="10552" xr:uid="{48D25F7F-56FE-4FDD-8F8C-747647281AAE}"/>
    <cellStyle name="Normal 2 4 2 3 8 5" xfId="18988" xr:uid="{9027A2B0-A8E3-48E9-B644-E07CBA323E9F}"/>
    <cellStyle name="Normal 2 4 2 3 9" xfId="2457" xr:uid="{00000000-0005-0000-0000-0000340F0000}"/>
    <cellStyle name="Normal 2 4 2 3 9 2" xfId="6741" xr:uid="{00000000-0005-0000-0000-0000350F0000}"/>
    <cellStyle name="Normal 2 4 2 3 9 2 2" xfId="15183" xr:uid="{F1BA3EC6-8C6A-4269-83BA-F844363DF984}"/>
    <cellStyle name="Normal 2 4 2 3 9 2 3" xfId="23618" xr:uid="{F6801140-11EF-42CC-9EDA-D08C38672433}"/>
    <cellStyle name="Normal 2 4 2 3 9 3" xfId="10965" xr:uid="{973F93AB-8CF6-4EB5-B1EC-DC9AA44DD9C6}"/>
    <cellStyle name="Normal 2 4 2 3 9 4" xfId="19401" xr:uid="{BC19F622-4310-4FAD-8531-C68329B95569}"/>
    <cellStyle name="Normal 2 4 2 4" xfId="289" xr:uid="{00000000-0005-0000-0000-0000360F0000}"/>
    <cellStyle name="Normal 2 4 2 4 10" xfId="8907" xr:uid="{3900824B-9D8F-45C5-9725-87B35B458625}"/>
    <cellStyle name="Normal 2 4 2 4 11" xfId="17343" xr:uid="{7582F224-6FEC-4A82-BAAC-B8550F57D8A7}"/>
    <cellStyle name="Normal 2 4 2 4 2" xfId="290" xr:uid="{00000000-0005-0000-0000-0000370F0000}"/>
    <cellStyle name="Normal 2 4 2 4 2 10" xfId="17344" xr:uid="{6CDB5C17-07EF-4F8F-931E-4D007EEDE8ED}"/>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2 2 2" xfId="15686" xr:uid="{FF394869-D24C-4269-9AA1-714CC6DB16FE}"/>
    <cellStyle name="Normal 2 4 2 4 2 2 2 2 2 3" xfId="24121" xr:uid="{EE8E6DD7-0146-4FE1-8196-03876B6CEAFF}"/>
    <cellStyle name="Normal 2 4 2 4 2 2 2 2 3" xfId="11468" xr:uid="{3916C362-6B40-4952-BDC5-E1B85AFB19D3}"/>
    <cellStyle name="Normal 2 4 2 4 2 2 2 2 4" xfId="19904" xr:uid="{69D9BDDC-2B8C-4D81-B716-9D223685CBBA}"/>
    <cellStyle name="Normal 2 4 2 4 2 2 2 3" xfId="5099" xr:uid="{00000000-0005-0000-0000-00003C0F0000}"/>
    <cellStyle name="Normal 2 4 2 4 2 2 2 3 2" xfId="13541" xr:uid="{B957AC4B-9645-4788-A9EA-2A65573663D5}"/>
    <cellStyle name="Normal 2 4 2 4 2 2 2 3 3" xfId="21976" xr:uid="{8F6BB921-C5B5-466E-88EB-BA890EFE4E73}"/>
    <cellStyle name="Normal 2 4 2 4 2 2 2 4" xfId="9323" xr:uid="{947918DE-CF27-46BA-AB37-5E17B6B0770D}"/>
    <cellStyle name="Normal 2 4 2 4 2 2 2 5" xfId="17759" xr:uid="{D8BB3184-FC3A-4EAA-AA7A-7B29E52DB84D}"/>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2 2 2" xfId="16099" xr:uid="{C961A850-87D9-4D9E-B252-A485CA712061}"/>
    <cellStyle name="Normal 2 4 2 4 2 2 3 2 2 3" xfId="24534" xr:uid="{E02001C0-BA42-43C9-88C8-0C094FF8BE5A}"/>
    <cellStyle name="Normal 2 4 2 4 2 2 3 2 3" xfId="11881" xr:uid="{872AEDCE-DED8-47AC-9FBD-5CB1DF264088}"/>
    <cellStyle name="Normal 2 4 2 4 2 2 3 2 4" xfId="20317" xr:uid="{32B00E7A-DF34-4F46-983D-377A5E8A3B1A}"/>
    <cellStyle name="Normal 2 4 2 4 2 2 3 3" xfId="5512" xr:uid="{00000000-0005-0000-0000-0000400F0000}"/>
    <cellStyle name="Normal 2 4 2 4 2 2 3 3 2" xfId="13954" xr:uid="{B210303A-ED16-4DFD-BE70-620DBE05EE48}"/>
    <cellStyle name="Normal 2 4 2 4 2 2 3 3 3" xfId="22389" xr:uid="{D5A7CE98-9AA1-456F-ACDC-1879552D331C}"/>
    <cellStyle name="Normal 2 4 2 4 2 2 3 4" xfId="9736" xr:uid="{31875128-C334-470F-8FC5-FAB75321A90F}"/>
    <cellStyle name="Normal 2 4 2 4 2 2 3 5" xfId="18172" xr:uid="{5D09F746-9A89-4D0C-AD99-D2381EA95BBC}"/>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2 2 2" xfId="16512" xr:uid="{13A33595-8003-4784-91A3-8E0331634C85}"/>
    <cellStyle name="Normal 2 4 2 4 2 2 4 2 2 3" xfId="24947" xr:uid="{F8187F1C-9548-4F83-B2AE-40264BB9CB93}"/>
    <cellStyle name="Normal 2 4 2 4 2 2 4 2 3" xfId="12294" xr:uid="{728744DE-E372-4D69-838F-286FFD2778FA}"/>
    <cellStyle name="Normal 2 4 2 4 2 2 4 2 4" xfId="20730" xr:uid="{BEDA300B-4EE4-414A-8443-CF16FBA5857B}"/>
    <cellStyle name="Normal 2 4 2 4 2 2 4 3" xfId="5925" xr:uid="{00000000-0005-0000-0000-0000440F0000}"/>
    <cellStyle name="Normal 2 4 2 4 2 2 4 3 2" xfId="14367" xr:uid="{1F0CC486-BCFA-49C6-9474-E753028B6511}"/>
    <cellStyle name="Normal 2 4 2 4 2 2 4 3 3" xfId="22802" xr:uid="{C0E07C16-6509-4089-9BDB-B0DDDDD9C4D8}"/>
    <cellStyle name="Normal 2 4 2 4 2 2 4 4" xfId="10149" xr:uid="{2597B63B-A50A-44B3-B6C4-D49228356683}"/>
    <cellStyle name="Normal 2 4 2 4 2 2 4 5" xfId="18585" xr:uid="{0633D31D-C922-4376-94A2-3A1CCDE7FB49}"/>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2 2 2" xfId="16925" xr:uid="{83327498-0EA8-43AE-A417-1F81E2E0D096}"/>
    <cellStyle name="Normal 2 4 2 4 2 2 5 2 2 3" xfId="25360" xr:uid="{A07AC748-D16D-4C15-9E28-4E7BB73B6D84}"/>
    <cellStyle name="Normal 2 4 2 4 2 2 5 2 3" xfId="12707" xr:uid="{37697AB9-DFB3-495B-A75F-BEC9F31AA7B8}"/>
    <cellStyle name="Normal 2 4 2 4 2 2 5 2 4" xfId="21143" xr:uid="{63340428-0F7E-4B73-BD93-C2956D4BD804}"/>
    <cellStyle name="Normal 2 4 2 4 2 2 5 3" xfId="6338" xr:uid="{00000000-0005-0000-0000-0000480F0000}"/>
    <cellStyle name="Normal 2 4 2 4 2 2 5 3 2" xfId="14780" xr:uid="{1CDCEDE0-3F14-4DF1-8F96-9E2E99675012}"/>
    <cellStyle name="Normal 2 4 2 4 2 2 5 3 3" xfId="23215" xr:uid="{2B350FBB-A81A-4BE1-9CF4-05AFB9BECAD1}"/>
    <cellStyle name="Normal 2 4 2 4 2 2 5 4" xfId="10562" xr:uid="{239E43CF-B13E-48B3-AAC9-D8FF872B0469}"/>
    <cellStyle name="Normal 2 4 2 4 2 2 5 5" xfId="18998" xr:uid="{956B8198-F80A-4B15-9095-3443A647FA9A}"/>
    <cellStyle name="Normal 2 4 2 4 2 2 6" xfId="2467" xr:uid="{00000000-0005-0000-0000-0000490F0000}"/>
    <cellStyle name="Normal 2 4 2 4 2 2 6 2" xfId="6751" xr:uid="{00000000-0005-0000-0000-00004A0F0000}"/>
    <cellStyle name="Normal 2 4 2 4 2 2 6 2 2" xfId="15193" xr:uid="{FB8725EA-6294-4D6A-BB69-EA01359F7C8E}"/>
    <cellStyle name="Normal 2 4 2 4 2 2 6 2 3" xfId="23628" xr:uid="{FB2C28D1-A8A6-423D-9821-AA7278F232EC}"/>
    <cellStyle name="Normal 2 4 2 4 2 2 6 3" xfId="10975" xr:uid="{9171C94A-9E14-46F2-85AE-18248EA7EC26}"/>
    <cellStyle name="Normal 2 4 2 4 2 2 6 4" xfId="19411" xr:uid="{56B703DF-479D-44DE-910B-41987622D5B3}"/>
    <cellStyle name="Normal 2 4 2 4 2 2 7" xfId="4685" xr:uid="{00000000-0005-0000-0000-00004B0F0000}"/>
    <cellStyle name="Normal 2 4 2 4 2 2 7 2" xfId="13127" xr:uid="{CDD399E5-28F9-4332-85EC-0F0805C13BF9}"/>
    <cellStyle name="Normal 2 4 2 4 2 2 7 3" xfId="21562" xr:uid="{9D388F8B-2BDC-4D6B-A31F-4FCD12FED638}"/>
    <cellStyle name="Normal 2 4 2 4 2 2 8" xfId="8909" xr:uid="{847B4FA4-2F63-4EF4-ABEB-A8CFA773D9AF}"/>
    <cellStyle name="Normal 2 4 2 4 2 2 9" xfId="17345" xr:uid="{7151AC44-5BA0-42F3-A267-74334501C2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2 2 2" xfId="15685" xr:uid="{D49F0027-6DEB-4F9B-947C-E046C0928109}"/>
    <cellStyle name="Normal 2 4 2 4 2 3 2 2 3" xfId="24120" xr:uid="{D3F1B309-C494-42B1-9CFA-424FF8415E07}"/>
    <cellStyle name="Normal 2 4 2 4 2 3 2 3" xfId="11467" xr:uid="{1209D0E2-240B-4F05-80BF-01C5F13AC904}"/>
    <cellStyle name="Normal 2 4 2 4 2 3 2 4" xfId="19903" xr:uid="{7EDC3288-6BDE-487E-8B24-265F1C47EEBF}"/>
    <cellStyle name="Normal 2 4 2 4 2 3 3" xfId="5098" xr:uid="{00000000-0005-0000-0000-00004F0F0000}"/>
    <cellStyle name="Normal 2 4 2 4 2 3 3 2" xfId="13540" xr:uid="{8E2F1BF5-40E0-469A-8A29-D02ED62D67A3}"/>
    <cellStyle name="Normal 2 4 2 4 2 3 3 3" xfId="21975" xr:uid="{92E15601-3A43-48E6-A37F-B00810B8F8EC}"/>
    <cellStyle name="Normal 2 4 2 4 2 3 4" xfId="9322" xr:uid="{C5A26BA6-10BE-4349-8C24-2F80F4FB47B8}"/>
    <cellStyle name="Normal 2 4 2 4 2 3 5" xfId="17758" xr:uid="{CEB78497-E6B4-4585-BDEE-DD85932363A2}"/>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2 2 2" xfId="16098" xr:uid="{B38BB379-D80E-4D1B-A112-55D5F813F3F7}"/>
    <cellStyle name="Normal 2 4 2 4 2 4 2 2 3" xfId="24533" xr:uid="{2E6CAB7C-B4C2-44D0-AEDF-7B84656DC581}"/>
    <cellStyle name="Normal 2 4 2 4 2 4 2 3" xfId="11880" xr:uid="{4DBACC00-558C-49A7-B9E0-290320787B19}"/>
    <cellStyle name="Normal 2 4 2 4 2 4 2 4" xfId="20316" xr:uid="{8D9229FF-9B5C-4C32-B2D3-5424A9F1AA4D}"/>
    <cellStyle name="Normal 2 4 2 4 2 4 3" xfId="5511" xr:uid="{00000000-0005-0000-0000-0000530F0000}"/>
    <cellStyle name="Normal 2 4 2 4 2 4 3 2" xfId="13953" xr:uid="{40DFC67C-0A5D-4422-A22B-81B3F1309035}"/>
    <cellStyle name="Normal 2 4 2 4 2 4 3 3" xfId="22388" xr:uid="{3D48189E-2C4B-4EB5-AB46-D55F9A7515A4}"/>
    <cellStyle name="Normal 2 4 2 4 2 4 4" xfId="9735" xr:uid="{5A802B05-F5CD-4585-96DF-C0AA7921972A}"/>
    <cellStyle name="Normal 2 4 2 4 2 4 5" xfId="18171" xr:uid="{FBD73202-A920-4702-8CBD-96199C5492E5}"/>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2 2 2" xfId="16511" xr:uid="{CC57D1C0-9DBD-465D-93C9-E23955EDED79}"/>
    <cellStyle name="Normal 2 4 2 4 2 5 2 2 3" xfId="24946" xr:uid="{ABBF4E24-AD1F-4988-915D-E5B149D421B7}"/>
    <cellStyle name="Normal 2 4 2 4 2 5 2 3" xfId="12293" xr:uid="{DE5159EA-B8EE-488F-A1A2-5271502AA52A}"/>
    <cellStyle name="Normal 2 4 2 4 2 5 2 4" xfId="20729" xr:uid="{BF42A2E0-8FBF-487D-B156-C8EC9686F93A}"/>
    <cellStyle name="Normal 2 4 2 4 2 5 3" xfId="5924" xr:uid="{00000000-0005-0000-0000-0000570F0000}"/>
    <cellStyle name="Normal 2 4 2 4 2 5 3 2" xfId="14366" xr:uid="{721BDE56-ED4D-4625-A996-E01D12FBCF0A}"/>
    <cellStyle name="Normal 2 4 2 4 2 5 3 3" xfId="22801" xr:uid="{AE485B8C-2878-4A47-B2B3-2E6D11EFFA63}"/>
    <cellStyle name="Normal 2 4 2 4 2 5 4" xfId="10148" xr:uid="{5B91E930-9CBC-43BA-8441-08DFDCC57A93}"/>
    <cellStyle name="Normal 2 4 2 4 2 5 5" xfId="18584" xr:uid="{C488E097-EE4C-4A25-9514-4D4DA4068F48}"/>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2 2 2" xfId="16924" xr:uid="{F24831CB-D67A-49CE-94ED-E8BC40026C7C}"/>
    <cellStyle name="Normal 2 4 2 4 2 6 2 2 3" xfId="25359" xr:uid="{6220E88E-E96A-4F2A-ACE7-08D34147CF70}"/>
    <cellStyle name="Normal 2 4 2 4 2 6 2 3" xfId="12706" xr:uid="{D76D4236-9BEE-4F89-B834-4566F4607193}"/>
    <cellStyle name="Normal 2 4 2 4 2 6 2 4" xfId="21142" xr:uid="{E817007A-15E2-42CF-AA59-588FA0937BFA}"/>
    <cellStyle name="Normal 2 4 2 4 2 6 3" xfId="6337" xr:uid="{00000000-0005-0000-0000-00005B0F0000}"/>
    <cellStyle name="Normal 2 4 2 4 2 6 3 2" xfId="14779" xr:uid="{2E8FBF18-12CE-40B3-9FC9-FB19163AA090}"/>
    <cellStyle name="Normal 2 4 2 4 2 6 3 3" xfId="23214" xr:uid="{4DCB1B41-1060-4AD3-AF3E-4E8BF41493DF}"/>
    <cellStyle name="Normal 2 4 2 4 2 6 4" xfId="10561" xr:uid="{128F013D-1C39-4891-A622-E108F2CAA2A7}"/>
    <cellStyle name="Normal 2 4 2 4 2 6 5" xfId="18997" xr:uid="{850B8A46-904E-4BC4-8725-DD8DBD1A8AD2}"/>
    <cellStyle name="Normal 2 4 2 4 2 7" xfId="2466" xr:uid="{00000000-0005-0000-0000-00005C0F0000}"/>
    <cellStyle name="Normal 2 4 2 4 2 7 2" xfId="6750" xr:uid="{00000000-0005-0000-0000-00005D0F0000}"/>
    <cellStyle name="Normal 2 4 2 4 2 7 2 2" xfId="15192" xr:uid="{9FDD44E8-84D0-487B-8DFE-C9040EBCB477}"/>
    <cellStyle name="Normal 2 4 2 4 2 7 2 3" xfId="23627" xr:uid="{A3A4E82C-2230-4AD3-9B24-DDF5C67819EB}"/>
    <cellStyle name="Normal 2 4 2 4 2 7 3" xfId="10974" xr:uid="{0478CD48-7C08-4BC4-AA4B-30AC9F07C95F}"/>
    <cellStyle name="Normal 2 4 2 4 2 7 4" xfId="19410" xr:uid="{E640565D-35B7-4ED5-A251-E8A674CF4931}"/>
    <cellStyle name="Normal 2 4 2 4 2 8" xfId="4684" xr:uid="{00000000-0005-0000-0000-00005E0F0000}"/>
    <cellStyle name="Normal 2 4 2 4 2 8 2" xfId="13126" xr:uid="{21CB9998-C525-41F1-A704-C6F5E1F2C0E9}"/>
    <cellStyle name="Normal 2 4 2 4 2 8 3" xfId="21561" xr:uid="{C1FB09C6-57BD-4C79-9F76-0FB0F7E690B5}"/>
    <cellStyle name="Normal 2 4 2 4 2 9" xfId="8908" xr:uid="{ADA76C55-DB97-4A4D-97E3-824E486CA4C8}"/>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2 2 2" xfId="15687" xr:uid="{E55828EA-79E7-4093-B138-6C90F1B58C72}"/>
    <cellStyle name="Normal 2 4 2 4 3 2 2 2 3" xfId="24122" xr:uid="{2B796049-8680-47B2-A936-5617D1BDDC92}"/>
    <cellStyle name="Normal 2 4 2 4 3 2 2 3" xfId="11469" xr:uid="{090A7795-258B-4DDF-BFEF-8F7786CCDBEC}"/>
    <cellStyle name="Normal 2 4 2 4 3 2 2 4" xfId="19905" xr:uid="{BFD09444-0FAC-47CA-90B3-5ABA987D65B5}"/>
    <cellStyle name="Normal 2 4 2 4 3 2 3" xfId="5100" xr:uid="{00000000-0005-0000-0000-0000630F0000}"/>
    <cellStyle name="Normal 2 4 2 4 3 2 3 2" xfId="13542" xr:uid="{39232841-E24B-4A32-8FC2-871D99826B20}"/>
    <cellStyle name="Normal 2 4 2 4 3 2 3 3" xfId="21977" xr:uid="{D7F9C827-CAB5-4ED3-8F90-6ED801B4EE57}"/>
    <cellStyle name="Normal 2 4 2 4 3 2 4" xfId="9324" xr:uid="{5CF263CF-2EC8-440E-9608-4A6F5CE03358}"/>
    <cellStyle name="Normal 2 4 2 4 3 2 5" xfId="17760" xr:uid="{51AD6747-CD08-4895-83FF-8DADF9AE4D6D}"/>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2 2 2" xfId="16100" xr:uid="{04FF30D6-3C6D-4302-A0FB-91156FA3AD8E}"/>
    <cellStyle name="Normal 2 4 2 4 3 3 2 2 3" xfId="24535" xr:uid="{0403FFCA-E384-4603-BA32-88416C1B5E98}"/>
    <cellStyle name="Normal 2 4 2 4 3 3 2 3" xfId="11882" xr:uid="{DAAE57BC-215C-4ED8-81FA-98DB6DCA9F5E}"/>
    <cellStyle name="Normal 2 4 2 4 3 3 2 4" xfId="20318" xr:uid="{D4C92B98-47F2-4F9A-820F-A3DFBF7FF810}"/>
    <cellStyle name="Normal 2 4 2 4 3 3 3" xfId="5513" xr:uid="{00000000-0005-0000-0000-0000670F0000}"/>
    <cellStyle name="Normal 2 4 2 4 3 3 3 2" xfId="13955" xr:uid="{4139857E-47E6-4EFA-9FC4-287C9FB6D1C3}"/>
    <cellStyle name="Normal 2 4 2 4 3 3 3 3" xfId="22390" xr:uid="{4C04F122-55F6-4E77-8091-650BAFB2939D}"/>
    <cellStyle name="Normal 2 4 2 4 3 3 4" xfId="9737" xr:uid="{8A64EBE9-B50C-4420-B1E5-6B53D7467096}"/>
    <cellStyle name="Normal 2 4 2 4 3 3 5" xfId="18173" xr:uid="{1EDB60D3-9995-4A4D-B957-6ECE7DDFBABC}"/>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2 2 2" xfId="16513" xr:uid="{1B3DC12E-449D-4453-8C05-4E3FB0FB0F93}"/>
    <cellStyle name="Normal 2 4 2 4 3 4 2 2 3" xfId="24948" xr:uid="{02C82FF6-FF7C-4204-B73F-EE6237F37A33}"/>
    <cellStyle name="Normal 2 4 2 4 3 4 2 3" xfId="12295" xr:uid="{C3D9C93A-54CA-4863-9CA7-B93B1B6EE2F0}"/>
    <cellStyle name="Normal 2 4 2 4 3 4 2 4" xfId="20731" xr:uid="{CB6161DF-D937-48EE-A8D1-817D12A571B3}"/>
    <cellStyle name="Normal 2 4 2 4 3 4 3" xfId="5926" xr:uid="{00000000-0005-0000-0000-00006B0F0000}"/>
    <cellStyle name="Normal 2 4 2 4 3 4 3 2" xfId="14368" xr:uid="{19579A5B-7B03-4C25-B16E-B633F88E3029}"/>
    <cellStyle name="Normal 2 4 2 4 3 4 3 3" xfId="22803" xr:uid="{14CBD007-EFDA-461D-A8DB-452DE6DEB4E4}"/>
    <cellStyle name="Normal 2 4 2 4 3 4 4" xfId="10150" xr:uid="{C4A487F7-8C62-4CDA-B7AE-07FC2BAAF0B6}"/>
    <cellStyle name="Normal 2 4 2 4 3 4 5" xfId="18586" xr:uid="{58DA85D7-5786-4F45-845F-2A82DD3334DF}"/>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2 2 2" xfId="16926" xr:uid="{2CAF78D5-7291-4E08-90AC-F00AAAFF6E3C}"/>
    <cellStyle name="Normal 2 4 2 4 3 5 2 2 3" xfId="25361" xr:uid="{066CF6CC-BD5B-41F6-8E1E-EE70971FB3B6}"/>
    <cellStyle name="Normal 2 4 2 4 3 5 2 3" xfId="12708" xr:uid="{38179E00-F7A1-464A-9210-5B91CA5D1810}"/>
    <cellStyle name="Normal 2 4 2 4 3 5 2 4" xfId="21144" xr:uid="{334F4DA8-656D-4D07-8060-73AA4AAB6338}"/>
    <cellStyle name="Normal 2 4 2 4 3 5 3" xfId="6339" xr:uid="{00000000-0005-0000-0000-00006F0F0000}"/>
    <cellStyle name="Normal 2 4 2 4 3 5 3 2" xfId="14781" xr:uid="{31400CB6-820A-4EF4-B99A-3C42783D5E7D}"/>
    <cellStyle name="Normal 2 4 2 4 3 5 3 3" xfId="23216" xr:uid="{12CB3E4F-EA5F-4D68-AF01-F4F530FABBFE}"/>
    <cellStyle name="Normal 2 4 2 4 3 5 4" xfId="10563" xr:uid="{CDCA9F32-FF1F-4C28-9CA8-DF374A7E21AA}"/>
    <cellStyle name="Normal 2 4 2 4 3 5 5" xfId="18999" xr:uid="{80A9124B-FBBB-4BA3-B704-C5A65F607A60}"/>
    <cellStyle name="Normal 2 4 2 4 3 6" xfId="2468" xr:uid="{00000000-0005-0000-0000-0000700F0000}"/>
    <cellStyle name="Normal 2 4 2 4 3 6 2" xfId="6752" xr:uid="{00000000-0005-0000-0000-0000710F0000}"/>
    <cellStyle name="Normal 2 4 2 4 3 6 2 2" xfId="15194" xr:uid="{C7AB7E6E-228A-422C-9F8D-2C59FF1D2B77}"/>
    <cellStyle name="Normal 2 4 2 4 3 6 2 3" xfId="23629" xr:uid="{B732809C-9980-4E67-A179-2022B2B9151A}"/>
    <cellStyle name="Normal 2 4 2 4 3 6 3" xfId="10976" xr:uid="{B661DB4E-9737-4D0C-9492-91A6071ED9DA}"/>
    <cellStyle name="Normal 2 4 2 4 3 6 4" xfId="19412" xr:uid="{7263D916-B59B-4391-B412-800F3A2A0E45}"/>
    <cellStyle name="Normal 2 4 2 4 3 7" xfId="4686" xr:uid="{00000000-0005-0000-0000-0000720F0000}"/>
    <cellStyle name="Normal 2 4 2 4 3 7 2" xfId="13128" xr:uid="{A7F9415B-249D-45AB-A788-6565F0E96AA0}"/>
    <cellStyle name="Normal 2 4 2 4 3 7 3" xfId="21563" xr:uid="{CCDAD734-9B08-4C78-9F38-4A8D9D2764B3}"/>
    <cellStyle name="Normal 2 4 2 4 3 8" xfId="8910" xr:uid="{E57A95D9-1E38-4DC6-ABC2-679D723656B2}"/>
    <cellStyle name="Normal 2 4 2 4 3 9" xfId="17346" xr:uid="{22177EED-A74B-4C4E-8844-3E96BD8FF9C7}"/>
    <cellStyle name="Normal 2 4 2 4 4" xfId="780" xr:uid="{00000000-0005-0000-0000-0000730F0000}"/>
    <cellStyle name="Normal 2 4 2 4 4 2" xfId="3019" xr:uid="{00000000-0005-0000-0000-0000740F0000}"/>
    <cellStyle name="Normal 2 4 2 4 4 2 2" xfId="7242" xr:uid="{00000000-0005-0000-0000-0000750F0000}"/>
    <cellStyle name="Normal 2 4 2 4 4 2 2 2" xfId="15684" xr:uid="{686C52F0-7950-4A79-9A70-798C4B25EF73}"/>
    <cellStyle name="Normal 2 4 2 4 4 2 2 3" xfId="24119" xr:uid="{200259DF-342C-4138-AD8A-CF08595D8906}"/>
    <cellStyle name="Normal 2 4 2 4 4 2 3" xfId="11466" xr:uid="{EADC44CA-C8D1-44EF-9556-80246129E939}"/>
    <cellStyle name="Normal 2 4 2 4 4 2 4" xfId="19902" xr:uid="{E13A4B8A-66FA-48B8-B1A3-94DDEAFD40A9}"/>
    <cellStyle name="Normal 2 4 2 4 4 3" xfId="5097" xr:uid="{00000000-0005-0000-0000-0000760F0000}"/>
    <cellStyle name="Normal 2 4 2 4 4 3 2" xfId="13539" xr:uid="{6980472D-0919-466B-B7A5-34D4B38E3257}"/>
    <cellStyle name="Normal 2 4 2 4 4 3 3" xfId="21974" xr:uid="{6B79923F-6668-49C6-950C-765B33096635}"/>
    <cellStyle name="Normal 2 4 2 4 4 4" xfId="9321" xr:uid="{210D4710-58A1-4DFD-92F4-4942C298DBD1}"/>
    <cellStyle name="Normal 2 4 2 4 4 5" xfId="17757" xr:uid="{2F7F546C-EFD4-437B-9749-1E5E0342A29D}"/>
    <cellStyle name="Normal 2 4 2 4 5" xfId="1202" xr:uid="{00000000-0005-0000-0000-0000770F0000}"/>
    <cellStyle name="Normal 2 4 2 4 5 2" xfId="3432" xr:uid="{00000000-0005-0000-0000-0000780F0000}"/>
    <cellStyle name="Normal 2 4 2 4 5 2 2" xfId="7655" xr:uid="{00000000-0005-0000-0000-0000790F0000}"/>
    <cellStyle name="Normal 2 4 2 4 5 2 2 2" xfId="16097" xr:uid="{64555BD2-17C2-4D5B-A968-FDDB7D9A55FC}"/>
    <cellStyle name="Normal 2 4 2 4 5 2 2 3" xfId="24532" xr:uid="{2F18D6EF-8BF1-4526-B90A-6AC9474B0A39}"/>
    <cellStyle name="Normal 2 4 2 4 5 2 3" xfId="11879" xr:uid="{D9B6C376-E0C1-415E-AD11-EFF3DFFC1FA0}"/>
    <cellStyle name="Normal 2 4 2 4 5 2 4" xfId="20315" xr:uid="{B0301E25-F0F4-4773-9A1B-8ED9B4A3BE69}"/>
    <cellStyle name="Normal 2 4 2 4 5 3" xfId="5510" xr:uid="{00000000-0005-0000-0000-00007A0F0000}"/>
    <cellStyle name="Normal 2 4 2 4 5 3 2" xfId="13952" xr:uid="{FF832B3D-B519-4878-807D-A72A80478D68}"/>
    <cellStyle name="Normal 2 4 2 4 5 3 3" xfId="22387" xr:uid="{2A1FDC4C-AC5F-44D2-82E7-056FCBB6D328}"/>
    <cellStyle name="Normal 2 4 2 4 5 4" xfId="9734" xr:uid="{B94BE3F3-6CD3-4495-99DA-82D7A3043630}"/>
    <cellStyle name="Normal 2 4 2 4 5 5" xfId="18170" xr:uid="{4B30DBDD-3C5B-4F97-A52E-00ABAD1C8511}"/>
    <cellStyle name="Normal 2 4 2 4 6" xfId="1615" xr:uid="{00000000-0005-0000-0000-00007B0F0000}"/>
    <cellStyle name="Normal 2 4 2 4 6 2" xfId="3845" xr:uid="{00000000-0005-0000-0000-00007C0F0000}"/>
    <cellStyle name="Normal 2 4 2 4 6 2 2" xfId="8068" xr:uid="{00000000-0005-0000-0000-00007D0F0000}"/>
    <cellStyle name="Normal 2 4 2 4 6 2 2 2" xfId="16510" xr:uid="{75DE1EAE-24B8-45D2-B510-09D57D2F70A3}"/>
    <cellStyle name="Normal 2 4 2 4 6 2 2 3" xfId="24945" xr:uid="{E8545D3F-D2A4-46F7-B8D8-4F62AA6C63D6}"/>
    <cellStyle name="Normal 2 4 2 4 6 2 3" xfId="12292" xr:uid="{3D6F5D76-A106-49F3-A3CB-189260FF93BF}"/>
    <cellStyle name="Normal 2 4 2 4 6 2 4" xfId="20728" xr:uid="{4A2EAAB1-6443-4787-BF84-973D8ADBCB3B}"/>
    <cellStyle name="Normal 2 4 2 4 6 3" xfId="5923" xr:uid="{00000000-0005-0000-0000-00007E0F0000}"/>
    <cellStyle name="Normal 2 4 2 4 6 3 2" xfId="14365" xr:uid="{B0FBDAD6-7DA2-42EC-B1BE-0A8719E56318}"/>
    <cellStyle name="Normal 2 4 2 4 6 3 3" xfId="22800" xr:uid="{F54B4A22-4862-4A45-B327-7120857B8437}"/>
    <cellStyle name="Normal 2 4 2 4 6 4" xfId="10147" xr:uid="{212C04E2-9A0B-4648-A0A1-D9A2F59FF7ED}"/>
    <cellStyle name="Normal 2 4 2 4 6 5" xfId="18583" xr:uid="{EF0515C5-2BF7-489A-B16F-AD091F7A1480}"/>
    <cellStyle name="Normal 2 4 2 4 7" xfId="2029" xr:uid="{00000000-0005-0000-0000-00007F0F0000}"/>
    <cellStyle name="Normal 2 4 2 4 7 2" xfId="4258" xr:uid="{00000000-0005-0000-0000-0000800F0000}"/>
    <cellStyle name="Normal 2 4 2 4 7 2 2" xfId="8481" xr:uid="{00000000-0005-0000-0000-0000810F0000}"/>
    <cellStyle name="Normal 2 4 2 4 7 2 2 2" xfId="16923" xr:uid="{58E7F659-226A-4D04-A7F8-F716D2428389}"/>
    <cellStyle name="Normal 2 4 2 4 7 2 2 3" xfId="25358" xr:uid="{397C815C-DB63-4A70-A6C2-38B317B6E04A}"/>
    <cellStyle name="Normal 2 4 2 4 7 2 3" xfId="12705" xr:uid="{E7367537-4996-4AC5-B1FC-FB0DEAA07212}"/>
    <cellStyle name="Normal 2 4 2 4 7 2 4" xfId="21141" xr:uid="{D2F8D795-6555-4A51-8259-71B713A8F666}"/>
    <cellStyle name="Normal 2 4 2 4 7 3" xfId="6336" xr:uid="{00000000-0005-0000-0000-0000820F0000}"/>
    <cellStyle name="Normal 2 4 2 4 7 3 2" xfId="14778" xr:uid="{106ACF0B-AD67-43AD-9461-8E9AE1F1383D}"/>
    <cellStyle name="Normal 2 4 2 4 7 3 3" xfId="23213" xr:uid="{1D4442C1-E493-40C1-801E-EFBE2AA8C767}"/>
    <cellStyle name="Normal 2 4 2 4 7 4" xfId="10560" xr:uid="{E8C1C392-1008-435D-BA8D-49B3DF7FE874}"/>
    <cellStyle name="Normal 2 4 2 4 7 5" xfId="18996" xr:uid="{F8D3CE23-A68A-4AA6-8719-A00336ECB10C}"/>
    <cellStyle name="Normal 2 4 2 4 8" xfId="2465" xr:uid="{00000000-0005-0000-0000-0000830F0000}"/>
    <cellStyle name="Normal 2 4 2 4 8 2" xfId="6749" xr:uid="{00000000-0005-0000-0000-0000840F0000}"/>
    <cellStyle name="Normal 2 4 2 4 8 2 2" xfId="15191" xr:uid="{58895B4A-5C96-4214-A86C-C0F36A8A304A}"/>
    <cellStyle name="Normal 2 4 2 4 8 2 3" xfId="23626" xr:uid="{83F46D4B-B624-4BAA-9456-2DC8E7D75415}"/>
    <cellStyle name="Normal 2 4 2 4 8 3" xfId="10973" xr:uid="{F29357F1-F610-4EFA-9E76-347FA9B9A286}"/>
    <cellStyle name="Normal 2 4 2 4 8 4" xfId="19409" xr:uid="{85A3B2F5-820E-477F-AD6D-C300F6AD96BA}"/>
    <cellStyle name="Normal 2 4 2 4 9" xfId="4683" xr:uid="{00000000-0005-0000-0000-0000850F0000}"/>
    <cellStyle name="Normal 2 4 2 4 9 2" xfId="13125" xr:uid="{9F87C210-91E4-48E6-9947-0EF425ACA4FC}"/>
    <cellStyle name="Normal 2 4 2 4 9 3" xfId="21560" xr:uid="{0BC6FD99-A96C-46BE-A093-94CEBB96E4D6}"/>
    <cellStyle name="Normal 2 4 2 5" xfId="293" xr:uid="{00000000-0005-0000-0000-0000860F0000}"/>
    <cellStyle name="Normal 2 4 2 5 10" xfId="17347" xr:uid="{A6666A3C-3A73-42F1-8D35-4DF25C9BBECD}"/>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2 2 2" xfId="15689" xr:uid="{F0D889CB-13BA-46B7-9B57-626CF1959683}"/>
    <cellStyle name="Normal 2 4 2 5 2 2 2 2 3" xfId="24124" xr:uid="{D84FD3EE-6121-407F-A673-83CD060CAA7F}"/>
    <cellStyle name="Normal 2 4 2 5 2 2 2 3" xfId="11471" xr:uid="{76977A94-F86F-4AEB-AD00-0B5B27C7D250}"/>
    <cellStyle name="Normal 2 4 2 5 2 2 2 4" xfId="19907" xr:uid="{23E44BBE-98A4-4971-90B0-7D738976715E}"/>
    <cellStyle name="Normal 2 4 2 5 2 2 3" xfId="5102" xr:uid="{00000000-0005-0000-0000-00008B0F0000}"/>
    <cellStyle name="Normal 2 4 2 5 2 2 3 2" xfId="13544" xr:uid="{360FF0B5-D0C9-49B0-B1CE-B693E0DC277B}"/>
    <cellStyle name="Normal 2 4 2 5 2 2 3 3" xfId="21979" xr:uid="{DC73197F-731D-4C00-9FE2-463A524208F9}"/>
    <cellStyle name="Normal 2 4 2 5 2 2 4" xfId="9326" xr:uid="{DB259EF7-6DB4-4B90-8F9E-E9DD5AFC8E1C}"/>
    <cellStyle name="Normal 2 4 2 5 2 2 5" xfId="17762" xr:uid="{16B86ACB-B39D-4675-B364-84352105193A}"/>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2 2 2" xfId="16102" xr:uid="{45502124-A0A5-4745-8783-1F96AA81176C}"/>
    <cellStyle name="Normal 2 4 2 5 2 3 2 2 3" xfId="24537" xr:uid="{CB82CB29-6131-474A-86D6-17674C8371CD}"/>
    <cellStyle name="Normal 2 4 2 5 2 3 2 3" xfId="11884" xr:uid="{465E7B41-48B7-45FC-BDD4-AEB81C1AD6B5}"/>
    <cellStyle name="Normal 2 4 2 5 2 3 2 4" xfId="20320" xr:uid="{24027FD8-6542-42AF-B741-3F8099C5EB06}"/>
    <cellStyle name="Normal 2 4 2 5 2 3 3" xfId="5515" xr:uid="{00000000-0005-0000-0000-00008F0F0000}"/>
    <cellStyle name="Normal 2 4 2 5 2 3 3 2" xfId="13957" xr:uid="{337849E7-EFBD-4A34-A47B-3DED5CE62AAB}"/>
    <cellStyle name="Normal 2 4 2 5 2 3 3 3" xfId="22392" xr:uid="{4398D62B-5386-4959-A7F5-C76B64675D77}"/>
    <cellStyle name="Normal 2 4 2 5 2 3 4" xfId="9739" xr:uid="{EE71FE88-2F91-45DF-9083-22BF42551C08}"/>
    <cellStyle name="Normal 2 4 2 5 2 3 5" xfId="18175" xr:uid="{34018EA7-03A8-4825-A573-705BE33B2EB5}"/>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2 2 2" xfId="16515" xr:uid="{BB92D589-9654-4987-83DA-13BACCF67031}"/>
    <cellStyle name="Normal 2 4 2 5 2 4 2 2 3" xfId="24950" xr:uid="{31EAD7E9-6A21-48FE-92C8-B271DDED1D17}"/>
    <cellStyle name="Normal 2 4 2 5 2 4 2 3" xfId="12297" xr:uid="{1DC4C2D5-3481-4EDD-A3C8-9BD831F6A410}"/>
    <cellStyle name="Normal 2 4 2 5 2 4 2 4" xfId="20733" xr:uid="{0886C427-EFF3-4642-AE3E-D6208E35E3CD}"/>
    <cellStyle name="Normal 2 4 2 5 2 4 3" xfId="5928" xr:uid="{00000000-0005-0000-0000-0000930F0000}"/>
    <cellStyle name="Normal 2 4 2 5 2 4 3 2" xfId="14370" xr:uid="{9E840E72-3D20-4534-9E2D-338D1C1A7FC4}"/>
    <cellStyle name="Normal 2 4 2 5 2 4 3 3" xfId="22805" xr:uid="{76FCD586-1E8F-4D34-AC51-9D4F8F475783}"/>
    <cellStyle name="Normal 2 4 2 5 2 4 4" xfId="10152" xr:uid="{00F1C3ED-8B96-436D-ABF6-8E914C9C08D1}"/>
    <cellStyle name="Normal 2 4 2 5 2 4 5" xfId="18588" xr:uid="{85F00EC2-5A29-492E-9E3C-8C1F89903E38}"/>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2 2 2" xfId="16928" xr:uid="{D73629C1-7144-4C7F-901A-E82F05FB8EAE}"/>
    <cellStyle name="Normal 2 4 2 5 2 5 2 2 3" xfId="25363" xr:uid="{552581E0-D64B-4589-899C-02B98B8678F2}"/>
    <cellStyle name="Normal 2 4 2 5 2 5 2 3" xfId="12710" xr:uid="{3FD71537-2103-48AF-BB4A-0BCF39F10F91}"/>
    <cellStyle name="Normal 2 4 2 5 2 5 2 4" xfId="21146" xr:uid="{4F753510-ACEF-4912-9934-728675D70F0A}"/>
    <cellStyle name="Normal 2 4 2 5 2 5 3" xfId="6341" xr:uid="{00000000-0005-0000-0000-0000970F0000}"/>
    <cellStyle name="Normal 2 4 2 5 2 5 3 2" xfId="14783" xr:uid="{D2AC4C2C-31F5-49FA-95E0-1DB516329CA8}"/>
    <cellStyle name="Normal 2 4 2 5 2 5 3 3" xfId="23218" xr:uid="{80CB2435-2A5D-4A9E-9879-2D7CB5DE3E85}"/>
    <cellStyle name="Normal 2 4 2 5 2 5 4" xfId="10565" xr:uid="{01BD8867-CD30-48EB-8F4D-A8AA4A7D94DA}"/>
    <cellStyle name="Normal 2 4 2 5 2 5 5" xfId="19001" xr:uid="{5ACCABE2-861E-4D48-B258-3004B6C13301}"/>
    <cellStyle name="Normal 2 4 2 5 2 6" xfId="2470" xr:uid="{00000000-0005-0000-0000-0000980F0000}"/>
    <cellStyle name="Normal 2 4 2 5 2 6 2" xfId="6754" xr:uid="{00000000-0005-0000-0000-0000990F0000}"/>
    <cellStyle name="Normal 2 4 2 5 2 6 2 2" xfId="15196" xr:uid="{791B1D78-415A-4B11-A71E-7729093C84FD}"/>
    <cellStyle name="Normal 2 4 2 5 2 6 2 3" xfId="23631" xr:uid="{ED596CA6-181B-4966-9090-47AFD8B69652}"/>
    <cellStyle name="Normal 2 4 2 5 2 6 3" xfId="10978" xr:uid="{F4F15AB1-FD92-4FB7-B63B-8805D724A6B8}"/>
    <cellStyle name="Normal 2 4 2 5 2 6 4" xfId="19414" xr:uid="{C440815B-0678-4616-8805-49C48F977DAE}"/>
    <cellStyle name="Normal 2 4 2 5 2 7" xfId="4688" xr:uid="{00000000-0005-0000-0000-00009A0F0000}"/>
    <cellStyle name="Normal 2 4 2 5 2 7 2" xfId="13130" xr:uid="{40689805-850D-4A13-88A5-E29D8EB640BF}"/>
    <cellStyle name="Normal 2 4 2 5 2 7 3" xfId="21565" xr:uid="{22E3711A-2437-42B9-9E67-846E5DBF89C0}"/>
    <cellStyle name="Normal 2 4 2 5 2 8" xfId="8912" xr:uid="{3197F812-8DDE-49B4-BA63-6720C64B9E74}"/>
    <cellStyle name="Normal 2 4 2 5 2 9" xfId="17348" xr:uid="{E47FC255-AE1C-44E7-B154-E9D85718E4B7}"/>
    <cellStyle name="Normal 2 4 2 5 3" xfId="784" xr:uid="{00000000-0005-0000-0000-00009B0F0000}"/>
    <cellStyle name="Normal 2 4 2 5 3 2" xfId="3023" xr:uid="{00000000-0005-0000-0000-00009C0F0000}"/>
    <cellStyle name="Normal 2 4 2 5 3 2 2" xfId="7246" xr:uid="{00000000-0005-0000-0000-00009D0F0000}"/>
    <cellStyle name="Normal 2 4 2 5 3 2 2 2" xfId="15688" xr:uid="{13ECB447-2AF5-4D8A-9B21-2C2212DEB8F4}"/>
    <cellStyle name="Normal 2 4 2 5 3 2 2 3" xfId="24123" xr:uid="{96869487-9890-4A20-A0B7-9E5D8AE7370E}"/>
    <cellStyle name="Normal 2 4 2 5 3 2 3" xfId="11470" xr:uid="{DD85072A-F7BF-4C16-96B3-EEB3C3E3DCF9}"/>
    <cellStyle name="Normal 2 4 2 5 3 2 4" xfId="19906" xr:uid="{FD7A6882-42E6-458D-926B-BE96C2C6798A}"/>
    <cellStyle name="Normal 2 4 2 5 3 3" xfId="5101" xr:uid="{00000000-0005-0000-0000-00009E0F0000}"/>
    <cellStyle name="Normal 2 4 2 5 3 3 2" xfId="13543" xr:uid="{1C3A602E-9A35-4EA1-91E3-8D9FD4E2BADD}"/>
    <cellStyle name="Normal 2 4 2 5 3 3 3" xfId="21978" xr:uid="{AE865B27-288E-47E3-9574-2FEFA93DEE6A}"/>
    <cellStyle name="Normal 2 4 2 5 3 4" xfId="9325" xr:uid="{681F0F46-61A5-4526-BE36-B596B95EC961}"/>
    <cellStyle name="Normal 2 4 2 5 3 5" xfId="17761" xr:uid="{F1346392-DBB6-4912-BEE1-BB683BAB7B79}"/>
    <cellStyle name="Normal 2 4 2 5 4" xfId="1206" xr:uid="{00000000-0005-0000-0000-00009F0F0000}"/>
    <cellStyle name="Normal 2 4 2 5 4 2" xfId="3436" xr:uid="{00000000-0005-0000-0000-0000A00F0000}"/>
    <cellStyle name="Normal 2 4 2 5 4 2 2" xfId="7659" xr:uid="{00000000-0005-0000-0000-0000A10F0000}"/>
    <cellStyle name="Normal 2 4 2 5 4 2 2 2" xfId="16101" xr:uid="{E91D3D82-4855-48CF-B333-1931B29B64A0}"/>
    <cellStyle name="Normal 2 4 2 5 4 2 2 3" xfId="24536" xr:uid="{9C698063-A73D-48D6-A1D4-65D4F4652F65}"/>
    <cellStyle name="Normal 2 4 2 5 4 2 3" xfId="11883" xr:uid="{E9B2E860-C262-40F2-B4C2-DB6CF86112F0}"/>
    <cellStyle name="Normal 2 4 2 5 4 2 4" xfId="20319" xr:uid="{2CCE072B-E949-442F-A4AA-41E0412955EF}"/>
    <cellStyle name="Normal 2 4 2 5 4 3" xfId="5514" xr:uid="{00000000-0005-0000-0000-0000A20F0000}"/>
    <cellStyle name="Normal 2 4 2 5 4 3 2" xfId="13956" xr:uid="{978DBCF0-ADCD-4DA3-B3C8-DB0C66002FB1}"/>
    <cellStyle name="Normal 2 4 2 5 4 3 3" xfId="22391" xr:uid="{E3CA5842-BC2C-4568-BFA4-4E8B72C68DD9}"/>
    <cellStyle name="Normal 2 4 2 5 4 4" xfId="9738" xr:uid="{FC130807-8328-4B68-ACAA-80FB317D3EE7}"/>
    <cellStyle name="Normal 2 4 2 5 4 5" xfId="18174" xr:uid="{446ACF6F-2C23-4C37-86C3-7CD140385849}"/>
    <cellStyle name="Normal 2 4 2 5 5" xfId="1619" xr:uid="{00000000-0005-0000-0000-0000A30F0000}"/>
    <cellStyle name="Normal 2 4 2 5 5 2" xfId="3849" xr:uid="{00000000-0005-0000-0000-0000A40F0000}"/>
    <cellStyle name="Normal 2 4 2 5 5 2 2" xfId="8072" xr:uid="{00000000-0005-0000-0000-0000A50F0000}"/>
    <cellStyle name="Normal 2 4 2 5 5 2 2 2" xfId="16514" xr:uid="{D56795FD-B4B5-4287-B219-A6BBB5881CE7}"/>
    <cellStyle name="Normal 2 4 2 5 5 2 2 3" xfId="24949" xr:uid="{BC83E634-91C5-4584-9C26-7860751C57F4}"/>
    <cellStyle name="Normal 2 4 2 5 5 2 3" xfId="12296" xr:uid="{8960F0F6-6825-45C8-B96B-16E539D8DCD6}"/>
    <cellStyle name="Normal 2 4 2 5 5 2 4" xfId="20732" xr:uid="{E61D1AE1-5C93-4FE2-A919-6208A7C098AF}"/>
    <cellStyle name="Normal 2 4 2 5 5 3" xfId="5927" xr:uid="{00000000-0005-0000-0000-0000A60F0000}"/>
    <cellStyle name="Normal 2 4 2 5 5 3 2" xfId="14369" xr:uid="{3B28F8A5-8CCD-4178-92A1-94D38507719D}"/>
    <cellStyle name="Normal 2 4 2 5 5 3 3" xfId="22804" xr:uid="{567617CF-0CEB-489D-920B-168681C78D56}"/>
    <cellStyle name="Normal 2 4 2 5 5 4" xfId="10151" xr:uid="{C796FAE3-F1D3-4C07-9D51-64D7F6C5E085}"/>
    <cellStyle name="Normal 2 4 2 5 5 5" xfId="18587" xr:uid="{9BDD7AB1-F9D4-4814-A8E3-1AE3333FED19}"/>
    <cellStyle name="Normal 2 4 2 5 6" xfId="2033" xr:uid="{00000000-0005-0000-0000-0000A70F0000}"/>
    <cellStyle name="Normal 2 4 2 5 6 2" xfId="4262" xr:uid="{00000000-0005-0000-0000-0000A80F0000}"/>
    <cellStyle name="Normal 2 4 2 5 6 2 2" xfId="8485" xr:uid="{00000000-0005-0000-0000-0000A90F0000}"/>
    <cellStyle name="Normal 2 4 2 5 6 2 2 2" xfId="16927" xr:uid="{47CE1B68-7B40-4919-B8DB-66D8EB981E16}"/>
    <cellStyle name="Normal 2 4 2 5 6 2 2 3" xfId="25362" xr:uid="{618B8310-D6A9-4F31-856C-61587C42B28A}"/>
    <cellStyle name="Normal 2 4 2 5 6 2 3" xfId="12709" xr:uid="{FB8C345B-3371-488B-92A4-F7307388906D}"/>
    <cellStyle name="Normal 2 4 2 5 6 2 4" xfId="21145" xr:uid="{6DFB52DD-C01A-476D-9C9B-8F23FA37AE9F}"/>
    <cellStyle name="Normal 2 4 2 5 6 3" xfId="6340" xr:uid="{00000000-0005-0000-0000-0000AA0F0000}"/>
    <cellStyle name="Normal 2 4 2 5 6 3 2" xfId="14782" xr:uid="{C8277500-C50D-4E9F-9FE1-76D473CD94CF}"/>
    <cellStyle name="Normal 2 4 2 5 6 3 3" xfId="23217" xr:uid="{11E2E2F4-F3AC-4250-839E-44CA2341BB7E}"/>
    <cellStyle name="Normal 2 4 2 5 6 4" xfId="10564" xr:uid="{BD2BC9C0-C3ED-409D-9EBD-73EE127A2D80}"/>
    <cellStyle name="Normal 2 4 2 5 6 5" xfId="19000" xr:uid="{B9CAAB44-D8F8-4233-9353-3D3D2BA71AB7}"/>
    <cellStyle name="Normal 2 4 2 5 7" xfId="2469" xr:uid="{00000000-0005-0000-0000-0000AB0F0000}"/>
    <cellStyle name="Normal 2 4 2 5 7 2" xfId="6753" xr:uid="{00000000-0005-0000-0000-0000AC0F0000}"/>
    <cellStyle name="Normal 2 4 2 5 7 2 2" xfId="15195" xr:uid="{BFE8E837-58F5-4469-BFCB-8BC561D6E390}"/>
    <cellStyle name="Normal 2 4 2 5 7 2 3" xfId="23630" xr:uid="{1D2BBF13-505F-4110-9F1E-B2FFF7154101}"/>
    <cellStyle name="Normal 2 4 2 5 7 3" xfId="10977" xr:uid="{061F0569-F80A-4B0A-AB60-06B9075BFFAB}"/>
    <cellStyle name="Normal 2 4 2 5 7 4" xfId="19413" xr:uid="{F400D792-506F-4144-8FFC-5843B1F11349}"/>
    <cellStyle name="Normal 2 4 2 5 8" xfId="4687" xr:uid="{00000000-0005-0000-0000-0000AD0F0000}"/>
    <cellStyle name="Normal 2 4 2 5 8 2" xfId="13129" xr:uid="{BE149CFE-4006-4BB1-8818-048133183B12}"/>
    <cellStyle name="Normal 2 4 2 5 8 3" xfId="21564" xr:uid="{91F6A80A-1F7B-451B-8BB0-D074674310C2}"/>
    <cellStyle name="Normal 2 4 2 5 9" xfId="8911" xr:uid="{944B0AF9-0154-4025-AD17-5556ED3C4D9A}"/>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2 2 2" xfId="15690" xr:uid="{2E29CF71-9E51-4CB1-8A79-497459CF8E60}"/>
    <cellStyle name="Normal 2 4 2 6 2 2 2 3" xfId="24125" xr:uid="{5C3D73A4-D549-44DF-805B-F5F62D3A6404}"/>
    <cellStyle name="Normal 2 4 2 6 2 2 3" xfId="11472" xr:uid="{052B5812-B34A-43B1-BC93-362223423A15}"/>
    <cellStyle name="Normal 2 4 2 6 2 2 4" xfId="19908" xr:uid="{891B80F4-4812-40D2-98B5-8032FFA17B52}"/>
    <cellStyle name="Normal 2 4 2 6 2 3" xfId="5103" xr:uid="{00000000-0005-0000-0000-0000B20F0000}"/>
    <cellStyle name="Normal 2 4 2 6 2 3 2" xfId="13545" xr:uid="{D04118C5-DCEF-4510-98CB-3FBE7D1896E1}"/>
    <cellStyle name="Normal 2 4 2 6 2 3 3" xfId="21980" xr:uid="{69886BA3-AE10-403E-B376-4A2C63542D06}"/>
    <cellStyle name="Normal 2 4 2 6 2 4" xfId="9327" xr:uid="{03567D15-A80E-41CC-8D45-F1F5E8E0060D}"/>
    <cellStyle name="Normal 2 4 2 6 2 5" xfId="17763" xr:uid="{BF77834E-C23B-4CC5-BD01-ABF952785A83}"/>
    <cellStyle name="Normal 2 4 2 6 3" xfId="1208" xr:uid="{00000000-0005-0000-0000-0000B30F0000}"/>
    <cellStyle name="Normal 2 4 2 6 3 2" xfId="3438" xr:uid="{00000000-0005-0000-0000-0000B40F0000}"/>
    <cellStyle name="Normal 2 4 2 6 3 2 2" xfId="7661" xr:uid="{00000000-0005-0000-0000-0000B50F0000}"/>
    <cellStyle name="Normal 2 4 2 6 3 2 2 2" xfId="16103" xr:uid="{75AD76E2-E3B4-4DF3-887D-384CDD863A6F}"/>
    <cellStyle name="Normal 2 4 2 6 3 2 2 3" xfId="24538" xr:uid="{3313846F-1DE2-43FC-B2FF-1DD32F458ADD}"/>
    <cellStyle name="Normal 2 4 2 6 3 2 3" xfId="11885" xr:uid="{70C7EB1F-CFDF-4C0B-AC4B-83E157A81360}"/>
    <cellStyle name="Normal 2 4 2 6 3 2 4" xfId="20321" xr:uid="{AFF0F2C7-E600-4B19-8353-2D465A49C82D}"/>
    <cellStyle name="Normal 2 4 2 6 3 3" xfId="5516" xr:uid="{00000000-0005-0000-0000-0000B60F0000}"/>
    <cellStyle name="Normal 2 4 2 6 3 3 2" xfId="13958" xr:uid="{346C7982-D3D5-4C7B-B345-D3A0EC81A582}"/>
    <cellStyle name="Normal 2 4 2 6 3 3 3" xfId="22393" xr:uid="{D568D790-728B-41EA-9F43-A990A13AB5AE}"/>
    <cellStyle name="Normal 2 4 2 6 3 4" xfId="9740" xr:uid="{C260EB0D-F24D-4EEA-BE0E-918E835B26E1}"/>
    <cellStyle name="Normal 2 4 2 6 3 5" xfId="18176" xr:uid="{2149A5CF-112E-4876-8E00-7B84037670C2}"/>
    <cellStyle name="Normal 2 4 2 6 4" xfId="1621" xr:uid="{00000000-0005-0000-0000-0000B70F0000}"/>
    <cellStyle name="Normal 2 4 2 6 4 2" xfId="3851" xr:uid="{00000000-0005-0000-0000-0000B80F0000}"/>
    <cellStyle name="Normal 2 4 2 6 4 2 2" xfId="8074" xr:uid="{00000000-0005-0000-0000-0000B90F0000}"/>
    <cellStyle name="Normal 2 4 2 6 4 2 2 2" xfId="16516" xr:uid="{C968442A-CC29-4BC3-B4D3-AD5A38110CD6}"/>
    <cellStyle name="Normal 2 4 2 6 4 2 2 3" xfId="24951" xr:uid="{C9D585CC-4AFB-408F-8FCC-300E4AD94E93}"/>
    <cellStyle name="Normal 2 4 2 6 4 2 3" xfId="12298" xr:uid="{A493C696-C935-4FCE-9C3F-AA016ACF7FD1}"/>
    <cellStyle name="Normal 2 4 2 6 4 2 4" xfId="20734" xr:uid="{58212FBC-904B-4208-A1A5-A7129E6029C4}"/>
    <cellStyle name="Normal 2 4 2 6 4 3" xfId="5929" xr:uid="{00000000-0005-0000-0000-0000BA0F0000}"/>
    <cellStyle name="Normal 2 4 2 6 4 3 2" xfId="14371" xr:uid="{42A09C5D-FC8F-4D94-88C2-0883AE6C4795}"/>
    <cellStyle name="Normal 2 4 2 6 4 3 3" xfId="22806" xr:uid="{23CB3FDB-F7CE-4638-ACE3-49205AE1A243}"/>
    <cellStyle name="Normal 2 4 2 6 4 4" xfId="10153" xr:uid="{9FDAF7E8-6D8D-4A96-B1D2-3FD8F0434C3C}"/>
    <cellStyle name="Normal 2 4 2 6 4 5" xfId="18589" xr:uid="{CDD3E6C1-0125-4171-BDF0-3D40539AEE0B}"/>
    <cellStyle name="Normal 2 4 2 6 5" xfId="2035" xr:uid="{00000000-0005-0000-0000-0000BB0F0000}"/>
    <cellStyle name="Normal 2 4 2 6 5 2" xfId="4264" xr:uid="{00000000-0005-0000-0000-0000BC0F0000}"/>
    <cellStyle name="Normal 2 4 2 6 5 2 2" xfId="8487" xr:uid="{00000000-0005-0000-0000-0000BD0F0000}"/>
    <cellStyle name="Normal 2 4 2 6 5 2 2 2" xfId="16929" xr:uid="{538E6F28-FE5D-42D3-8630-7EA005894A26}"/>
    <cellStyle name="Normal 2 4 2 6 5 2 2 3" xfId="25364" xr:uid="{FF0A6636-0D78-4647-8D21-47F99247BB00}"/>
    <cellStyle name="Normal 2 4 2 6 5 2 3" xfId="12711" xr:uid="{80DCA4E4-D348-4BB1-9786-5C9C9B7BF7A6}"/>
    <cellStyle name="Normal 2 4 2 6 5 2 4" xfId="21147" xr:uid="{76FA0F97-533B-4BDB-A5AF-050FC936ACAF}"/>
    <cellStyle name="Normal 2 4 2 6 5 3" xfId="6342" xr:uid="{00000000-0005-0000-0000-0000BE0F0000}"/>
    <cellStyle name="Normal 2 4 2 6 5 3 2" xfId="14784" xr:uid="{56695C07-8AFB-4AEB-AF09-283EAC6608FD}"/>
    <cellStyle name="Normal 2 4 2 6 5 3 3" xfId="23219" xr:uid="{EB7B9CF9-A529-43AD-9E01-A08C14D2FA1E}"/>
    <cellStyle name="Normal 2 4 2 6 5 4" xfId="10566" xr:uid="{C3B3C4C6-74C7-41F3-B689-C2F943F4085D}"/>
    <cellStyle name="Normal 2 4 2 6 5 5" xfId="19002" xr:uid="{691EE96C-CE23-4BFC-9A8C-EA0F94BED808}"/>
    <cellStyle name="Normal 2 4 2 6 6" xfId="2471" xr:uid="{00000000-0005-0000-0000-0000BF0F0000}"/>
    <cellStyle name="Normal 2 4 2 6 6 2" xfId="6755" xr:uid="{00000000-0005-0000-0000-0000C00F0000}"/>
    <cellStyle name="Normal 2 4 2 6 6 2 2" xfId="15197" xr:uid="{3686381B-4928-4B9B-8E65-49B5AFCE9EE2}"/>
    <cellStyle name="Normal 2 4 2 6 6 2 3" xfId="23632" xr:uid="{C03E02F5-FEC9-4CE8-8B40-4BE3D9DF6894}"/>
    <cellStyle name="Normal 2 4 2 6 6 3" xfId="10979" xr:uid="{5BCE428B-BDFB-4DBC-9D9C-41AE3F8EDD10}"/>
    <cellStyle name="Normal 2 4 2 6 6 4" xfId="19415" xr:uid="{F9B95185-772A-4657-ADEB-D334730011B0}"/>
    <cellStyle name="Normal 2 4 2 6 7" xfId="4689" xr:uid="{00000000-0005-0000-0000-0000C10F0000}"/>
    <cellStyle name="Normal 2 4 2 6 7 2" xfId="13131" xr:uid="{634394EE-714A-4D1E-93A9-CF3C3CB0D3DF}"/>
    <cellStyle name="Normal 2 4 2 6 7 3" xfId="21566" xr:uid="{642E633D-FE85-4240-8477-C21A92EC2124}"/>
    <cellStyle name="Normal 2 4 2 6 8" xfId="8913" xr:uid="{A68AC3A2-30F4-4500-8785-57F36DB0A94F}"/>
    <cellStyle name="Normal 2 4 2 6 9" xfId="17349" xr:uid="{EA446281-58BF-4ED3-8F1D-DEE6BE98067C}"/>
    <cellStyle name="Normal 2 4 2 7" xfId="771" xr:uid="{00000000-0005-0000-0000-0000C20F0000}"/>
    <cellStyle name="Normal 2 4 2 7 2" xfId="3010" xr:uid="{00000000-0005-0000-0000-0000C30F0000}"/>
    <cellStyle name="Normal 2 4 2 7 2 2" xfId="7233" xr:uid="{00000000-0005-0000-0000-0000C40F0000}"/>
    <cellStyle name="Normal 2 4 2 7 2 2 2" xfId="15675" xr:uid="{85905686-B68B-4671-9FCE-E0663BD34F9F}"/>
    <cellStyle name="Normal 2 4 2 7 2 2 3" xfId="24110" xr:uid="{4B2D0543-DB4F-4F07-98FF-31BD7022A847}"/>
    <cellStyle name="Normal 2 4 2 7 2 3" xfId="11457" xr:uid="{3954C34E-6597-4CE5-BFBC-F953E318D49B}"/>
    <cellStyle name="Normal 2 4 2 7 2 4" xfId="19893" xr:uid="{F792175E-9155-484B-930D-26D9C0E2A6D2}"/>
    <cellStyle name="Normal 2 4 2 7 3" xfId="5088" xr:uid="{00000000-0005-0000-0000-0000C50F0000}"/>
    <cellStyle name="Normal 2 4 2 7 3 2" xfId="13530" xr:uid="{5F5EA4B6-F0C6-47EC-A875-B1FCAAEEF134}"/>
    <cellStyle name="Normal 2 4 2 7 3 3" xfId="21965" xr:uid="{9B27B4B5-D353-4C75-8407-242D4EE2E3EB}"/>
    <cellStyle name="Normal 2 4 2 7 4" xfId="9312" xr:uid="{B13BE901-E302-47E4-A38F-AB0E0299AC05}"/>
    <cellStyle name="Normal 2 4 2 7 5" xfId="17748" xr:uid="{083A84D9-A061-424D-B2E1-766B90675977}"/>
    <cellStyle name="Normal 2 4 2 8" xfId="1193" xr:uid="{00000000-0005-0000-0000-0000C60F0000}"/>
    <cellStyle name="Normal 2 4 2 8 2" xfId="3423" xr:uid="{00000000-0005-0000-0000-0000C70F0000}"/>
    <cellStyle name="Normal 2 4 2 8 2 2" xfId="7646" xr:uid="{00000000-0005-0000-0000-0000C80F0000}"/>
    <cellStyle name="Normal 2 4 2 8 2 2 2" xfId="16088" xr:uid="{EB790462-B373-4139-8824-898B861A9379}"/>
    <cellStyle name="Normal 2 4 2 8 2 2 3" xfId="24523" xr:uid="{CE0DE97B-0F9C-4418-99C9-6244D2D01861}"/>
    <cellStyle name="Normal 2 4 2 8 2 3" xfId="11870" xr:uid="{1D96C8F2-D4E3-4A22-B1AA-BC7AB33AD9BF}"/>
    <cellStyle name="Normal 2 4 2 8 2 4" xfId="20306" xr:uid="{DB705CA4-98F9-45A0-A6C3-8C558C7BA3AD}"/>
    <cellStyle name="Normal 2 4 2 8 3" xfId="5501" xr:uid="{00000000-0005-0000-0000-0000C90F0000}"/>
    <cellStyle name="Normal 2 4 2 8 3 2" xfId="13943" xr:uid="{EDD4F206-2D25-4BD0-AF4A-7905BC3B76D7}"/>
    <cellStyle name="Normal 2 4 2 8 3 3" xfId="22378" xr:uid="{DD75BDBF-8113-4CF2-99E5-FD42B8934169}"/>
    <cellStyle name="Normal 2 4 2 8 4" xfId="9725" xr:uid="{B0573569-D760-4F3F-83F9-97BFCAB639C8}"/>
    <cellStyle name="Normal 2 4 2 8 5" xfId="18161" xr:uid="{05D70FB9-3B16-4ACF-ABED-B872E5266D8A}"/>
    <cellStyle name="Normal 2 4 2 9" xfId="1606" xr:uid="{00000000-0005-0000-0000-0000CA0F0000}"/>
    <cellStyle name="Normal 2 4 2 9 2" xfId="3836" xr:uid="{00000000-0005-0000-0000-0000CB0F0000}"/>
    <cellStyle name="Normal 2 4 2 9 2 2" xfId="8059" xr:uid="{00000000-0005-0000-0000-0000CC0F0000}"/>
    <cellStyle name="Normal 2 4 2 9 2 2 2" xfId="16501" xr:uid="{F9EFA0E5-BDF1-44D0-ABD2-D3DA923CD2A4}"/>
    <cellStyle name="Normal 2 4 2 9 2 2 3" xfId="24936" xr:uid="{D8C63688-2EF1-499B-AB9A-2CD9649F80CE}"/>
    <cellStyle name="Normal 2 4 2 9 2 3" xfId="12283" xr:uid="{0F65A70D-A921-46A2-A766-541EC12E8DD6}"/>
    <cellStyle name="Normal 2 4 2 9 2 4" xfId="20719" xr:uid="{3A2ADF06-CCD3-48BD-9263-7931FAC9D8C9}"/>
    <cellStyle name="Normal 2 4 2 9 3" xfId="5914" xr:uid="{00000000-0005-0000-0000-0000CD0F0000}"/>
    <cellStyle name="Normal 2 4 2 9 3 2" xfId="14356" xr:uid="{1385386F-BC9A-4407-B173-8FB179C49CEF}"/>
    <cellStyle name="Normal 2 4 2 9 3 3" xfId="22791" xr:uid="{84823A67-0C1F-4317-8EA4-428DE1481E2D}"/>
    <cellStyle name="Normal 2 4 2 9 4" xfId="10138" xr:uid="{4654ABAD-7675-4AA0-A6FE-5609957F6FB2}"/>
    <cellStyle name="Normal 2 4 2 9 5" xfId="18574" xr:uid="{C9E998CE-7027-48B2-9C9E-45B2AAD69AFE}"/>
    <cellStyle name="Normal 2 4 3" xfId="296" xr:uid="{00000000-0005-0000-0000-0000CE0F0000}"/>
    <cellStyle name="Normal 2 4 3 10" xfId="8914" xr:uid="{342E637C-C388-4CE3-AF34-795F4EA56FFB}"/>
    <cellStyle name="Normal 2 4 3 11" xfId="17350" xr:uid="{0A534F30-7610-43FA-B4B0-78DB3C330C51}"/>
    <cellStyle name="Normal 2 4 3 2" xfId="297" xr:uid="{00000000-0005-0000-0000-0000CF0F0000}"/>
    <cellStyle name="Normal 2 4 3 3" xfId="298" xr:uid="{00000000-0005-0000-0000-0000D00F0000}"/>
    <cellStyle name="Normal 2 4 3 3 10" xfId="8915" xr:uid="{A3736B2C-1DAD-4BAF-93EC-0528BFEB8AAA}"/>
    <cellStyle name="Normal 2 4 3 3 11" xfId="17351" xr:uid="{45184416-B96A-4A75-A411-4B5A723763BA}"/>
    <cellStyle name="Normal 2 4 3 3 2" xfId="299" xr:uid="{00000000-0005-0000-0000-0000D10F0000}"/>
    <cellStyle name="Normal 2 4 3 3 2 10" xfId="17352" xr:uid="{DA06C706-7E1F-487F-82BA-D5DE0771AF2E}"/>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2 2 2" xfId="15694" xr:uid="{F8E5AD28-5850-40A7-B459-30F714AE147F}"/>
    <cellStyle name="Normal 2 4 3 3 2 2 2 2 2 3" xfId="24129" xr:uid="{3FC06D8B-E921-4B7D-9E7E-F3F95548F339}"/>
    <cellStyle name="Normal 2 4 3 3 2 2 2 2 3" xfId="11476" xr:uid="{0481663D-25E4-4119-94B1-942E97FB1031}"/>
    <cellStyle name="Normal 2 4 3 3 2 2 2 2 4" xfId="19912" xr:uid="{E451D738-1AA7-4619-A8D1-D39CEA36E006}"/>
    <cellStyle name="Normal 2 4 3 3 2 2 2 3" xfId="5107" xr:uid="{00000000-0005-0000-0000-0000D60F0000}"/>
    <cellStyle name="Normal 2 4 3 3 2 2 2 3 2" xfId="13549" xr:uid="{20BC7178-CA64-427E-A035-815F4B699D2E}"/>
    <cellStyle name="Normal 2 4 3 3 2 2 2 3 3" xfId="21984" xr:uid="{4A2DFF9D-86A2-4AF5-BBB7-551EF11829AD}"/>
    <cellStyle name="Normal 2 4 3 3 2 2 2 4" xfId="9331" xr:uid="{03FA3A63-2BE9-4AC9-8770-687955379C13}"/>
    <cellStyle name="Normal 2 4 3 3 2 2 2 5" xfId="17767" xr:uid="{90DA4387-5C91-4BB7-AA95-562C1A824387}"/>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2 2 2" xfId="16107" xr:uid="{498D2F0B-B61C-4DD9-B3EA-2DF1796ED373}"/>
    <cellStyle name="Normal 2 4 3 3 2 2 3 2 2 3" xfId="24542" xr:uid="{4FE0C47E-525D-4994-8A33-B24AFB78990D}"/>
    <cellStyle name="Normal 2 4 3 3 2 2 3 2 3" xfId="11889" xr:uid="{336D76A2-5603-4F5C-8398-C9396293B1D7}"/>
    <cellStyle name="Normal 2 4 3 3 2 2 3 2 4" xfId="20325" xr:uid="{911DB1E8-B4CA-4F04-92A8-ADCE7A475BDD}"/>
    <cellStyle name="Normal 2 4 3 3 2 2 3 3" xfId="5520" xr:uid="{00000000-0005-0000-0000-0000DA0F0000}"/>
    <cellStyle name="Normal 2 4 3 3 2 2 3 3 2" xfId="13962" xr:uid="{23F4673F-FAF9-4A03-A0E3-236123538F78}"/>
    <cellStyle name="Normal 2 4 3 3 2 2 3 3 3" xfId="22397" xr:uid="{D9305DC1-2952-4C28-8448-2D0CD3E0C4BF}"/>
    <cellStyle name="Normal 2 4 3 3 2 2 3 4" xfId="9744" xr:uid="{2D30B3D2-5F54-4822-8249-68DE28E88492}"/>
    <cellStyle name="Normal 2 4 3 3 2 2 3 5" xfId="18180" xr:uid="{20BB6CA6-81E6-485D-A952-BE0C1FD5893D}"/>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2 2 2" xfId="16520" xr:uid="{45DFED4D-E34D-481A-B8B5-A80CA22698E5}"/>
    <cellStyle name="Normal 2 4 3 3 2 2 4 2 2 3" xfId="24955" xr:uid="{3EDEBE5D-7EE1-4F69-8BE0-499D68B00879}"/>
    <cellStyle name="Normal 2 4 3 3 2 2 4 2 3" xfId="12302" xr:uid="{0CB9BB7C-BDC3-49DD-B16A-D1ECF6094E7E}"/>
    <cellStyle name="Normal 2 4 3 3 2 2 4 2 4" xfId="20738" xr:uid="{2705B0C8-36E2-428C-9AA1-A4FF2FEE5FA9}"/>
    <cellStyle name="Normal 2 4 3 3 2 2 4 3" xfId="5933" xr:uid="{00000000-0005-0000-0000-0000DE0F0000}"/>
    <cellStyle name="Normal 2 4 3 3 2 2 4 3 2" xfId="14375" xr:uid="{1F6F0047-F27D-463F-8FF4-0BABADF31920}"/>
    <cellStyle name="Normal 2 4 3 3 2 2 4 3 3" xfId="22810" xr:uid="{C3AA830D-FEA9-41A0-9AD6-DA19B3B03F73}"/>
    <cellStyle name="Normal 2 4 3 3 2 2 4 4" xfId="10157" xr:uid="{13EBD9D8-FC67-4CEB-88F4-85AC5D14D089}"/>
    <cellStyle name="Normal 2 4 3 3 2 2 4 5" xfId="18593" xr:uid="{1B2B09F2-AF21-4EBE-9F17-C9649CF451EA}"/>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2 2 2" xfId="16933" xr:uid="{2B021B47-4AF1-4055-9347-5FC0A340C3A7}"/>
    <cellStyle name="Normal 2 4 3 3 2 2 5 2 2 3" xfId="25368" xr:uid="{064EA429-A1BE-48C3-AF7F-F7DFFBB7E7F0}"/>
    <cellStyle name="Normal 2 4 3 3 2 2 5 2 3" xfId="12715" xr:uid="{FFDCAE56-01DF-47B0-BDDB-63B7E0EB0E7B}"/>
    <cellStyle name="Normal 2 4 3 3 2 2 5 2 4" xfId="21151" xr:uid="{C44A6907-520B-4867-ABF6-3453B65EB5AC}"/>
    <cellStyle name="Normal 2 4 3 3 2 2 5 3" xfId="6346" xr:uid="{00000000-0005-0000-0000-0000E20F0000}"/>
    <cellStyle name="Normal 2 4 3 3 2 2 5 3 2" xfId="14788" xr:uid="{5B341119-A601-41B9-BE44-EF908BCCD74B}"/>
    <cellStyle name="Normal 2 4 3 3 2 2 5 3 3" xfId="23223" xr:uid="{44F2462A-532E-4FB0-9BAB-0905902DCDEE}"/>
    <cellStyle name="Normal 2 4 3 3 2 2 5 4" xfId="10570" xr:uid="{89A3D762-4825-4BAA-8A19-465B2ED1A782}"/>
    <cellStyle name="Normal 2 4 3 3 2 2 5 5" xfId="19006" xr:uid="{50F834C1-C69C-4BBF-AE71-35FEDCC9ABDA}"/>
    <cellStyle name="Normal 2 4 3 3 2 2 6" xfId="2475" xr:uid="{00000000-0005-0000-0000-0000E30F0000}"/>
    <cellStyle name="Normal 2 4 3 3 2 2 6 2" xfId="6759" xr:uid="{00000000-0005-0000-0000-0000E40F0000}"/>
    <cellStyle name="Normal 2 4 3 3 2 2 6 2 2" xfId="15201" xr:uid="{F17F5250-78F7-4FFA-B705-103A73ED4D35}"/>
    <cellStyle name="Normal 2 4 3 3 2 2 6 2 3" xfId="23636" xr:uid="{A8EBE462-0890-4A89-B2AB-86DE27D0B7F8}"/>
    <cellStyle name="Normal 2 4 3 3 2 2 6 3" xfId="10983" xr:uid="{57088B37-350B-4D43-8ED0-48CB730BE832}"/>
    <cellStyle name="Normal 2 4 3 3 2 2 6 4" xfId="19419" xr:uid="{1BF7E05D-2BF3-48C9-9EE6-19671708380F}"/>
    <cellStyle name="Normal 2 4 3 3 2 2 7" xfId="4693" xr:uid="{00000000-0005-0000-0000-0000E50F0000}"/>
    <cellStyle name="Normal 2 4 3 3 2 2 7 2" xfId="13135" xr:uid="{120840C1-6E72-4A5B-A32E-7745A3ACB170}"/>
    <cellStyle name="Normal 2 4 3 3 2 2 7 3" xfId="21570" xr:uid="{7F9A18AB-3526-4C7A-BA46-951282C09B00}"/>
    <cellStyle name="Normal 2 4 3 3 2 2 8" xfId="8917" xr:uid="{A1635E89-22E5-4E77-B9BB-6025B0374E76}"/>
    <cellStyle name="Normal 2 4 3 3 2 2 9" xfId="17353" xr:uid="{7748DC0F-08DA-4DE9-971B-1C7CB05650F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2 2 2" xfId="15693" xr:uid="{816AFF08-3D9C-46EB-AE7A-CF6D518BBEFD}"/>
    <cellStyle name="Normal 2 4 3 3 2 3 2 2 3" xfId="24128" xr:uid="{FC1D70E7-BBC8-4F8F-B70C-A60C69CEA165}"/>
    <cellStyle name="Normal 2 4 3 3 2 3 2 3" xfId="11475" xr:uid="{1918201E-6340-4A36-921D-9C7EE8FA7C72}"/>
    <cellStyle name="Normal 2 4 3 3 2 3 2 4" xfId="19911" xr:uid="{E2C17DBC-21B1-495F-8AB9-CB8B20054425}"/>
    <cellStyle name="Normal 2 4 3 3 2 3 3" xfId="5106" xr:uid="{00000000-0005-0000-0000-0000E90F0000}"/>
    <cellStyle name="Normal 2 4 3 3 2 3 3 2" xfId="13548" xr:uid="{BD21DD4B-F7AA-4DE8-B9B7-EA5F8990B897}"/>
    <cellStyle name="Normal 2 4 3 3 2 3 3 3" xfId="21983" xr:uid="{1DBD90DA-6460-4ACE-8696-721A7E57F50A}"/>
    <cellStyle name="Normal 2 4 3 3 2 3 4" xfId="9330" xr:uid="{71FF5A5C-17AE-40F9-854C-5F63329E4D15}"/>
    <cellStyle name="Normal 2 4 3 3 2 3 5" xfId="17766" xr:uid="{B4181A49-1EB8-4852-874F-994D8E813F96}"/>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2 2 2" xfId="16106" xr:uid="{12171C1E-F279-4016-9663-4C9476D1DE2B}"/>
    <cellStyle name="Normal 2 4 3 3 2 4 2 2 3" xfId="24541" xr:uid="{92A8284D-518B-49CE-96DA-FF636C0417F4}"/>
    <cellStyle name="Normal 2 4 3 3 2 4 2 3" xfId="11888" xr:uid="{642C099C-5291-4EFF-8092-826E72510781}"/>
    <cellStyle name="Normal 2 4 3 3 2 4 2 4" xfId="20324" xr:uid="{2546BA7C-B6B8-4CDE-90E1-351BAE1C2F14}"/>
    <cellStyle name="Normal 2 4 3 3 2 4 3" xfId="5519" xr:uid="{00000000-0005-0000-0000-0000ED0F0000}"/>
    <cellStyle name="Normal 2 4 3 3 2 4 3 2" xfId="13961" xr:uid="{BD55706A-A8DF-4946-9F32-392F068ACBC0}"/>
    <cellStyle name="Normal 2 4 3 3 2 4 3 3" xfId="22396" xr:uid="{FD8CA364-7BA3-45F4-90E6-9D6BFF2B5199}"/>
    <cellStyle name="Normal 2 4 3 3 2 4 4" xfId="9743" xr:uid="{40E25931-5A99-41B7-9BBF-AE9F6988D8FE}"/>
    <cellStyle name="Normal 2 4 3 3 2 4 5" xfId="18179" xr:uid="{089978C2-E421-4B17-A56B-25391BE6B178}"/>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2 2 2" xfId="16519" xr:uid="{46F1D4CB-B4C4-413D-A52E-C84DFB3E3B7D}"/>
    <cellStyle name="Normal 2 4 3 3 2 5 2 2 3" xfId="24954" xr:uid="{0A685C8A-148B-4B32-885B-3AB30C158071}"/>
    <cellStyle name="Normal 2 4 3 3 2 5 2 3" xfId="12301" xr:uid="{0ADF7CA1-A65D-447D-8515-25C7A48F383D}"/>
    <cellStyle name="Normal 2 4 3 3 2 5 2 4" xfId="20737" xr:uid="{D05AAD3C-C1B8-4B2A-BEC5-4DA9F2877F6E}"/>
    <cellStyle name="Normal 2 4 3 3 2 5 3" xfId="5932" xr:uid="{00000000-0005-0000-0000-0000F10F0000}"/>
    <cellStyle name="Normal 2 4 3 3 2 5 3 2" xfId="14374" xr:uid="{E2AA19F6-2719-42B2-BB51-004467C88565}"/>
    <cellStyle name="Normal 2 4 3 3 2 5 3 3" xfId="22809" xr:uid="{7A44EC6D-7E98-4595-B104-1174D1CC132E}"/>
    <cellStyle name="Normal 2 4 3 3 2 5 4" xfId="10156" xr:uid="{8C1D1FE0-53F8-4556-BA17-A1CD5B4A0A1A}"/>
    <cellStyle name="Normal 2 4 3 3 2 5 5" xfId="18592" xr:uid="{CF72445A-E7AB-4980-BCDE-5472678B0225}"/>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2 2 2" xfId="16932" xr:uid="{B00E8650-9C94-4B63-8EFF-68937FF6505D}"/>
    <cellStyle name="Normal 2 4 3 3 2 6 2 2 3" xfId="25367" xr:uid="{3018CB51-CF6F-4618-AB8D-5C8F8AE26333}"/>
    <cellStyle name="Normal 2 4 3 3 2 6 2 3" xfId="12714" xr:uid="{C804A198-CF00-4513-AB82-6C8A69B95C05}"/>
    <cellStyle name="Normal 2 4 3 3 2 6 2 4" xfId="21150" xr:uid="{E5077C8E-BCB5-4094-BF9D-94931C399015}"/>
    <cellStyle name="Normal 2 4 3 3 2 6 3" xfId="6345" xr:uid="{00000000-0005-0000-0000-0000F50F0000}"/>
    <cellStyle name="Normal 2 4 3 3 2 6 3 2" xfId="14787" xr:uid="{7E452024-158C-4D49-AF5A-41196890CA34}"/>
    <cellStyle name="Normal 2 4 3 3 2 6 3 3" xfId="23222" xr:uid="{811EADA8-CC72-48CB-A792-782B2419B3A1}"/>
    <cellStyle name="Normal 2 4 3 3 2 6 4" xfId="10569" xr:uid="{38CA8DF9-A4A0-42B4-A7F1-E243E95DAB0D}"/>
    <cellStyle name="Normal 2 4 3 3 2 6 5" xfId="19005" xr:uid="{C0351A92-049B-488B-8891-AB147C1B8F1B}"/>
    <cellStyle name="Normal 2 4 3 3 2 7" xfId="2474" xr:uid="{00000000-0005-0000-0000-0000F60F0000}"/>
    <cellStyle name="Normal 2 4 3 3 2 7 2" xfId="6758" xr:uid="{00000000-0005-0000-0000-0000F70F0000}"/>
    <cellStyle name="Normal 2 4 3 3 2 7 2 2" xfId="15200" xr:uid="{7B4FD29F-2F20-424E-BAB2-808692053E78}"/>
    <cellStyle name="Normal 2 4 3 3 2 7 2 3" xfId="23635" xr:uid="{9BD2338D-A380-43FE-897A-7EA6BDECA930}"/>
    <cellStyle name="Normal 2 4 3 3 2 7 3" xfId="10982" xr:uid="{921A0684-7603-41F7-A7DA-C1F299DC52B8}"/>
    <cellStyle name="Normal 2 4 3 3 2 7 4" xfId="19418" xr:uid="{08A92CC8-6440-4609-9905-38C720FE5F19}"/>
    <cellStyle name="Normal 2 4 3 3 2 8" xfId="4692" xr:uid="{00000000-0005-0000-0000-0000F80F0000}"/>
    <cellStyle name="Normal 2 4 3 3 2 8 2" xfId="13134" xr:uid="{DB42135F-1CCE-4C76-A7CF-04965D4C8CA3}"/>
    <cellStyle name="Normal 2 4 3 3 2 8 3" xfId="21569" xr:uid="{7E75F894-8836-406B-89AE-192F7CC1D0BE}"/>
    <cellStyle name="Normal 2 4 3 3 2 9" xfId="8916" xr:uid="{25352A2A-C44D-43EB-B327-1BC8D586159A}"/>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2 2 2" xfId="15695" xr:uid="{846A6B05-D764-4964-BCD8-3940ED592255}"/>
    <cellStyle name="Normal 2 4 3 3 3 2 2 2 3" xfId="24130" xr:uid="{EA2E8077-D4A8-42AB-A2EE-CA74560B51A4}"/>
    <cellStyle name="Normal 2 4 3 3 3 2 2 3" xfId="11477" xr:uid="{DD2F61DB-15A7-4CB9-8C1C-4FF4C9B801CF}"/>
    <cellStyle name="Normal 2 4 3 3 3 2 2 4" xfId="19913" xr:uid="{AEBDBDEA-3A68-42D0-B65E-3094A1524813}"/>
    <cellStyle name="Normal 2 4 3 3 3 2 3" xfId="5108" xr:uid="{00000000-0005-0000-0000-0000FD0F0000}"/>
    <cellStyle name="Normal 2 4 3 3 3 2 3 2" xfId="13550" xr:uid="{F5EDE723-3CF0-4E0C-A243-360500A5292B}"/>
    <cellStyle name="Normal 2 4 3 3 3 2 3 3" xfId="21985" xr:uid="{5BD9CB53-020C-484C-8051-7EE5B38AD632}"/>
    <cellStyle name="Normal 2 4 3 3 3 2 4" xfId="9332" xr:uid="{A8D51603-FAB5-4ECD-BF73-E4539B4B4FF0}"/>
    <cellStyle name="Normal 2 4 3 3 3 2 5" xfId="17768" xr:uid="{450C9B7A-9C87-47F3-A599-A473AAB56A39}"/>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2 2 2" xfId="16108" xr:uid="{514BF1B6-1073-4BCE-8507-9B908A2D365E}"/>
    <cellStyle name="Normal 2 4 3 3 3 3 2 2 3" xfId="24543" xr:uid="{F54A34D2-BE39-4669-B2CB-7E9A3DD3ACDB}"/>
    <cellStyle name="Normal 2 4 3 3 3 3 2 3" xfId="11890" xr:uid="{09659DA2-529C-4E88-B384-B233B9A279BA}"/>
    <cellStyle name="Normal 2 4 3 3 3 3 2 4" xfId="20326" xr:uid="{25806388-5AB7-4ADD-834F-20451BD68E97}"/>
    <cellStyle name="Normal 2 4 3 3 3 3 3" xfId="5521" xr:uid="{00000000-0005-0000-0000-000001100000}"/>
    <cellStyle name="Normal 2 4 3 3 3 3 3 2" xfId="13963" xr:uid="{87E34B9C-91A7-4852-85F5-4EF75032C87B}"/>
    <cellStyle name="Normal 2 4 3 3 3 3 3 3" xfId="22398" xr:uid="{D9B4623E-8127-4EAE-947E-664783FDB90B}"/>
    <cellStyle name="Normal 2 4 3 3 3 3 4" xfId="9745" xr:uid="{B86D560D-7107-4E4A-9D8A-BFF816100481}"/>
    <cellStyle name="Normal 2 4 3 3 3 3 5" xfId="18181" xr:uid="{E0CEBA3E-4C22-4F12-BB36-75FC6B8C2ED6}"/>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2 2 2" xfId="16521" xr:uid="{7D172748-EDC0-40FC-BDDC-3DE9F23B45C8}"/>
    <cellStyle name="Normal 2 4 3 3 3 4 2 2 3" xfId="24956" xr:uid="{24F68116-0EA7-4016-B03F-09BAD3918339}"/>
    <cellStyle name="Normal 2 4 3 3 3 4 2 3" xfId="12303" xr:uid="{B64D1260-95E7-40BE-A577-80E97143808C}"/>
    <cellStyle name="Normal 2 4 3 3 3 4 2 4" xfId="20739" xr:uid="{FD077706-DA40-4C46-AA3D-ED359B99C3DC}"/>
    <cellStyle name="Normal 2 4 3 3 3 4 3" xfId="5934" xr:uid="{00000000-0005-0000-0000-000005100000}"/>
    <cellStyle name="Normal 2 4 3 3 3 4 3 2" xfId="14376" xr:uid="{A3C5377B-3757-44B4-B233-BFC24C0F081B}"/>
    <cellStyle name="Normal 2 4 3 3 3 4 3 3" xfId="22811" xr:uid="{FFE31DE8-7DCD-49B6-B97E-6B469B6201FC}"/>
    <cellStyle name="Normal 2 4 3 3 3 4 4" xfId="10158" xr:uid="{C7935324-10E1-49F4-8E9E-807182EDC510}"/>
    <cellStyle name="Normal 2 4 3 3 3 4 5" xfId="18594" xr:uid="{A7B70B28-802F-43AA-B5F7-02E26B2D31B6}"/>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2 2 2" xfId="16934" xr:uid="{FFAD6F35-B501-44B9-A0CD-9BE8E19E987C}"/>
    <cellStyle name="Normal 2 4 3 3 3 5 2 2 3" xfId="25369" xr:uid="{A7253A09-FD16-4B7B-8EFE-109D3ECD8A31}"/>
    <cellStyle name="Normal 2 4 3 3 3 5 2 3" xfId="12716" xr:uid="{AB23EE08-DCE7-418B-924C-D86D5D11B4D7}"/>
    <cellStyle name="Normal 2 4 3 3 3 5 2 4" xfId="21152" xr:uid="{FD634D13-FC3C-4038-9DB5-768F58D56193}"/>
    <cellStyle name="Normal 2 4 3 3 3 5 3" xfId="6347" xr:uid="{00000000-0005-0000-0000-000009100000}"/>
    <cellStyle name="Normal 2 4 3 3 3 5 3 2" xfId="14789" xr:uid="{CBA5EB19-300D-42C2-8650-D968A7B099A2}"/>
    <cellStyle name="Normal 2 4 3 3 3 5 3 3" xfId="23224" xr:uid="{A764EAAC-A666-459A-8763-500FB2750F67}"/>
    <cellStyle name="Normal 2 4 3 3 3 5 4" xfId="10571" xr:uid="{69CD904B-AC0F-45B9-8D6A-007EC3DFA5EE}"/>
    <cellStyle name="Normal 2 4 3 3 3 5 5" xfId="19007" xr:uid="{7ACA20A7-FD52-4EDE-91CB-65AC96C696CA}"/>
    <cellStyle name="Normal 2 4 3 3 3 6" xfId="2476" xr:uid="{00000000-0005-0000-0000-00000A100000}"/>
    <cellStyle name="Normal 2 4 3 3 3 6 2" xfId="6760" xr:uid="{00000000-0005-0000-0000-00000B100000}"/>
    <cellStyle name="Normal 2 4 3 3 3 6 2 2" xfId="15202" xr:uid="{2381998F-8A06-4930-8320-712C482E803D}"/>
    <cellStyle name="Normal 2 4 3 3 3 6 2 3" xfId="23637" xr:uid="{E75BBEFE-9BB3-41A5-B130-D04A29E6AA46}"/>
    <cellStyle name="Normal 2 4 3 3 3 6 3" xfId="10984" xr:uid="{CE66F2AE-9907-4F50-8AB6-1855EA7CD4DE}"/>
    <cellStyle name="Normal 2 4 3 3 3 6 4" xfId="19420" xr:uid="{52063397-FA8A-4A9A-84D5-101783DC4DB3}"/>
    <cellStyle name="Normal 2 4 3 3 3 7" xfId="4694" xr:uid="{00000000-0005-0000-0000-00000C100000}"/>
    <cellStyle name="Normal 2 4 3 3 3 7 2" xfId="13136" xr:uid="{1B5CADEF-9587-43E9-988F-D42F3FE5BC49}"/>
    <cellStyle name="Normal 2 4 3 3 3 7 3" xfId="21571" xr:uid="{964971D7-DA5E-409D-8399-233DB20DEFEF}"/>
    <cellStyle name="Normal 2 4 3 3 3 8" xfId="8918" xr:uid="{51BDB711-171E-4B66-A19E-1206E50B4DFE}"/>
    <cellStyle name="Normal 2 4 3 3 3 9" xfId="17354" xr:uid="{CBBA68DA-D3B2-450A-B3F7-820A075ABBF8}"/>
    <cellStyle name="Normal 2 4 3 3 4" xfId="788" xr:uid="{00000000-0005-0000-0000-00000D100000}"/>
    <cellStyle name="Normal 2 4 3 3 4 2" xfId="3027" xr:uid="{00000000-0005-0000-0000-00000E100000}"/>
    <cellStyle name="Normal 2 4 3 3 4 2 2" xfId="7250" xr:uid="{00000000-0005-0000-0000-00000F100000}"/>
    <cellStyle name="Normal 2 4 3 3 4 2 2 2" xfId="15692" xr:uid="{0F0C28F1-6B94-466A-B46B-4AB90996050A}"/>
    <cellStyle name="Normal 2 4 3 3 4 2 2 3" xfId="24127" xr:uid="{EB84F322-3A04-40C1-9AE9-78E06FDCE073}"/>
    <cellStyle name="Normal 2 4 3 3 4 2 3" xfId="11474" xr:uid="{5C32D97E-2FC9-4F75-8A37-74E07AC05507}"/>
    <cellStyle name="Normal 2 4 3 3 4 2 4" xfId="19910" xr:uid="{9E443630-BA15-46B4-B0B4-F2C4BDDF13F7}"/>
    <cellStyle name="Normal 2 4 3 3 4 3" xfId="5105" xr:uid="{00000000-0005-0000-0000-000010100000}"/>
    <cellStyle name="Normal 2 4 3 3 4 3 2" xfId="13547" xr:uid="{B23A4F5D-0975-42FC-B5E3-97C0A26BBCE5}"/>
    <cellStyle name="Normal 2 4 3 3 4 3 3" xfId="21982" xr:uid="{BAAE3C9D-3160-464F-B48E-4A1391C31029}"/>
    <cellStyle name="Normal 2 4 3 3 4 4" xfId="9329" xr:uid="{59B191C2-2F3D-4666-924D-3CB07517D4FD}"/>
    <cellStyle name="Normal 2 4 3 3 4 5" xfId="17765" xr:uid="{236E670B-1652-4BD3-BF8C-EEEBA289D9B4}"/>
    <cellStyle name="Normal 2 4 3 3 5" xfId="1210" xr:uid="{00000000-0005-0000-0000-000011100000}"/>
    <cellStyle name="Normal 2 4 3 3 5 2" xfId="3440" xr:uid="{00000000-0005-0000-0000-000012100000}"/>
    <cellStyle name="Normal 2 4 3 3 5 2 2" xfId="7663" xr:uid="{00000000-0005-0000-0000-000013100000}"/>
    <cellStyle name="Normal 2 4 3 3 5 2 2 2" xfId="16105" xr:uid="{BDE0CCBE-1E0B-442D-9B8E-03D5B8B70FB1}"/>
    <cellStyle name="Normal 2 4 3 3 5 2 2 3" xfId="24540" xr:uid="{9FFEE044-A926-4F5A-8D54-E619092D5A58}"/>
    <cellStyle name="Normal 2 4 3 3 5 2 3" xfId="11887" xr:uid="{932AC928-CB77-4A43-95DE-A067E3F0D333}"/>
    <cellStyle name="Normal 2 4 3 3 5 2 4" xfId="20323" xr:uid="{584A15BF-66B2-4CFB-8069-9D4BA1C2E86F}"/>
    <cellStyle name="Normal 2 4 3 3 5 3" xfId="5518" xr:uid="{00000000-0005-0000-0000-000014100000}"/>
    <cellStyle name="Normal 2 4 3 3 5 3 2" xfId="13960" xr:uid="{15C5010B-159B-4AA1-853A-086684A14A69}"/>
    <cellStyle name="Normal 2 4 3 3 5 3 3" xfId="22395" xr:uid="{BDE07ECF-0F0B-4B3C-98F6-2653B88DA3C9}"/>
    <cellStyle name="Normal 2 4 3 3 5 4" xfId="9742" xr:uid="{B96D21C9-A8EC-4A93-B2D0-70168171C9A5}"/>
    <cellStyle name="Normal 2 4 3 3 5 5" xfId="18178" xr:uid="{20ADAFFD-7EE8-4B66-A13B-07BA307BF9DF}"/>
    <cellStyle name="Normal 2 4 3 3 6" xfId="1623" xr:uid="{00000000-0005-0000-0000-000015100000}"/>
    <cellStyle name="Normal 2 4 3 3 6 2" xfId="3853" xr:uid="{00000000-0005-0000-0000-000016100000}"/>
    <cellStyle name="Normal 2 4 3 3 6 2 2" xfId="8076" xr:uid="{00000000-0005-0000-0000-000017100000}"/>
    <cellStyle name="Normal 2 4 3 3 6 2 2 2" xfId="16518" xr:uid="{B74E64BD-97F2-462F-804D-BA264C3B27F7}"/>
    <cellStyle name="Normal 2 4 3 3 6 2 2 3" xfId="24953" xr:uid="{DD95A793-EDFA-4102-8728-BEA454102EA7}"/>
    <cellStyle name="Normal 2 4 3 3 6 2 3" xfId="12300" xr:uid="{28718372-CC67-4BBD-BD33-748F51172634}"/>
    <cellStyle name="Normal 2 4 3 3 6 2 4" xfId="20736" xr:uid="{631D48A5-AEB0-44E5-AF41-BB6AB66CA44E}"/>
    <cellStyle name="Normal 2 4 3 3 6 3" xfId="5931" xr:uid="{00000000-0005-0000-0000-000018100000}"/>
    <cellStyle name="Normal 2 4 3 3 6 3 2" xfId="14373" xr:uid="{7A6780F8-266D-45DE-ACD3-F4B199CEEB9F}"/>
    <cellStyle name="Normal 2 4 3 3 6 3 3" xfId="22808" xr:uid="{8860D297-4266-4A93-8E00-1B1650BF14BC}"/>
    <cellStyle name="Normal 2 4 3 3 6 4" xfId="10155" xr:uid="{1600BD67-4D63-4C91-9139-E53686F2B65E}"/>
    <cellStyle name="Normal 2 4 3 3 6 5" xfId="18591" xr:uid="{A20AEEC8-3251-4163-9DE4-551F312FADC0}"/>
    <cellStyle name="Normal 2 4 3 3 7" xfId="2037" xr:uid="{00000000-0005-0000-0000-000019100000}"/>
    <cellStyle name="Normal 2 4 3 3 7 2" xfId="4266" xr:uid="{00000000-0005-0000-0000-00001A100000}"/>
    <cellStyle name="Normal 2 4 3 3 7 2 2" xfId="8489" xr:uid="{00000000-0005-0000-0000-00001B100000}"/>
    <cellStyle name="Normal 2 4 3 3 7 2 2 2" xfId="16931" xr:uid="{65C8DFA0-14C0-4D1A-8386-FA5D05547A02}"/>
    <cellStyle name="Normal 2 4 3 3 7 2 2 3" xfId="25366" xr:uid="{FF99182E-C9A5-4629-AB4E-0A27461774E7}"/>
    <cellStyle name="Normal 2 4 3 3 7 2 3" xfId="12713" xr:uid="{A44E63DF-6B31-4CFD-A563-7D5A1D6AD6DF}"/>
    <cellStyle name="Normal 2 4 3 3 7 2 4" xfId="21149" xr:uid="{7FC49392-71E3-4E00-A213-CD93B88886FA}"/>
    <cellStyle name="Normal 2 4 3 3 7 3" xfId="6344" xr:uid="{00000000-0005-0000-0000-00001C100000}"/>
    <cellStyle name="Normal 2 4 3 3 7 3 2" xfId="14786" xr:uid="{AAC6B86F-41C9-43A8-A1E3-E55253D4A2F9}"/>
    <cellStyle name="Normal 2 4 3 3 7 3 3" xfId="23221" xr:uid="{D79A5D48-E3C8-4E21-8A36-2C9A18D8142A}"/>
    <cellStyle name="Normal 2 4 3 3 7 4" xfId="10568" xr:uid="{2BEF73EA-C88D-4627-B26E-F0516908FE98}"/>
    <cellStyle name="Normal 2 4 3 3 7 5" xfId="19004" xr:uid="{E4C0E28D-49BE-4E92-A0B5-6A1E9C9AA8AF}"/>
    <cellStyle name="Normal 2 4 3 3 8" xfId="2473" xr:uid="{00000000-0005-0000-0000-00001D100000}"/>
    <cellStyle name="Normal 2 4 3 3 8 2" xfId="6757" xr:uid="{00000000-0005-0000-0000-00001E100000}"/>
    <cellStyle name="Normal 2 4 3 3 8 2 2" xfId="15199" xr:uid="{190B9367-61A5-4E43-869C-44CC011455A0}"/>
    <cellStyle name="Normal 2 4 3 3 8 2 3" xfId="23634" xr:uid="{B98DE7CE-81EC-4ED3-A9D3-23AFF94308C5}"/>
    <cellStyle name="Normal 2 4 3 3 8 3" xfId="10981" xr:uid="{7DACA2C2-1B11-470D-BC10-23BE087D6D1E}"/>
    <cellStyle name="Normal 2 4 3 3 8 4" xfId="19417" xr:uid="{B423387A-9627-4377-BC4F-2EEFBF16BCD2}"/>
    <cellStyle name="Normal 2 4 3 3 9" xfId="4691" xr:uid="{00000000-0005-0000-0000-00001F100000}"/>
    <cellStyle name="Normal 2 4 3 3 9 2" xfId="13133" xr:uid="{A00EC0AD-5AB3-4ECE-A9BC-8CC82C8541A7}"/>
    <cellStyle name="Normal 2 4 3 3 9 3" xfId="21568" xr:uid="{F9BF8DB7-0117-4E16-8643-757755CABEEA}"/>
    <cellStyle name="Normal 2 4 3 4" xfId="787" xr:uid="{00000000-0005-0000-0000-000020100000}"/>
    <cellStyle name="Normal 2 4 3 4 2" xfId="3026" xr:uid="{00000000-0005-0000-0000-000021100000}"/>
    <cellStyle name="Normal 2 4 3 4 2 2" xfId="7249" xr:uid="{00000000-0005-0000-0000-000022100000}"/>
    <cellStyle name="Normal 2 4 3 4 2 2 2" xfId="15691" xr:uid="{ED886247-FDF3-43DA-A384-AC1B5948CABE}"/>
    <cellStyle name="Normal 2 4 3 4 2 2 3" xfId="24126" xr:uid="{542F25B9-A409-4CD7-8881-4EB6228D4B3D}"/>
    <cellStyle name="Normal 2 4 3 4 2 3" xfId="11473" xr:uid="{2F4BB326-A8F6-44EB-8948-DC573D9BE556}"/>
    <cellStyle name="Normal 2 4 3 4 2 4" xfId="19909" xr:uid="{9146F4F2-34C1-4DCB-BF88-FFFE1B224E31}"/>
    <cellStyle name="Normal 2 4 3 4 3" xfId="5104" xr:uid="{00000000-0005-0000-0000-000023100000}"/>
    <cellStyle name="Normal 2 4 3 4 3 2" xfId="13546" xr:uid="{CA142B70-1262-49DE-88C7-03DD862ADA10}"/>
    <cellStyle name="Normal 2 4 3 4 3 3" xfId="21981" xr:uid="{1292A26B-61E2-409F-B467-FDA745C8206B}"/>
    <cellStyle name="Normal 2 4 3 4 4" xfId="9328" xr:uid="{A82DAB28-7AED-434F-BECE-11A31A265852}"/>
    <cellStyle name="Normal 2 4 3 4 5" xfId="17764" xr:uid="{051C0468-64AE-4B4D-93E5-CF5959166DB6}"/>
    <cellStyle name="Normal 2 4 3 5" xfId="1209" xr:uid="{00000000-0005-0000-0000-000024100000}"/>
    <cellStyle name="Normal 2 4 3 5 2" xfId="3439" xr:uid="{00000000-0005-0000-0000-000025100000}"/>
    <cellStyle name="Normal 2 4 3 5 2 2" xfId="7662" xr:uid="{00000000-0005-0000-0000-000026100000}"/>
    <cellStyle name="Normal 2 4 3 5 2 2 2" xfId="16104" xr:uid="{353F897A-0193-4FBA-8C7F-A4EA9BABFBF8}"/>
    <cellStyle name="Normal 2 4 3 5 2 2 3" xfId="24539" xr:uid="{99B63B45-4A7C-4D11-A9FF-CAF739CEFB0A}"/>
    <cellStyle name="Normal 2 4 3 5 2 3" xfId="11886" xr:uid="{2EB2CC55-E669-4DB3-BA0D-0772E6913FBF}"/>
    <cellStyle name="Normal 2 4 3 5 2 4" xfId="20322" xr:uid="{3368850B-D647-4B02-B9FB-2B8F8B87E4D9}"/>
    <cellStyle name="Normal 2 4 3 5 3" xfId="5517" xr:uid="{00000000-0005-0000-0000-000027100000}"/>
    <cellStyle name="Normal 2 4 3 5 3 2" xfId="13959" xr:uid="{E935C38E-DA8B-4FE6-9A4B-95D2619240ED}"/>
    <cellStyle name="Normal 2 4 3 5 3 3" xfId="22394" xr:uid="{D0E6382F-5816-4FC8-8257-DABCB44CBA8A}"/>
    <cellStyle name="Normal 2 4 3 5 4" xfId="9741" xr:uid="{1E22DA37-8AD2-4E22-B8E2-AFAF6A6E9AA4}"/>
    <cellStyle name="Normal 2 4 3 5 5" xfId="18177" xr:uid="{FA6C5DA1-2674-48E3-A7AD-F22131118EF5}"/>
    <cellStyle name="Normal 2 4 3 6" xfId="1622" xr:uid="{00000000-0005-0000-0000-000028100000}"/>
    <cellStyle name="Normal 2 4 3 6 2" xfId="3852" xr:uid="{00000000-0005-0000-0000-000029100000}"/>
    <cellStyle name="Normal 2 4 3 6 2 2" xfId="8075" xr:uid="{00000000-0005-0000-0000-00002A100000}"/>
    <cellStyle name="Normal 2 4 3 6 2 2 2" xfId="16517" xr:uid="{A29AB373-3F43-4A55-A470-2928D304DB40}"/>
    <cellStyle name="Normal 2 4 3 6 2 2 3" xfId="24952" xr:uid="{DCA52F69-8595-4CEF-924B-BFF8D5CCE5C1}"/>
    <cellStyle name="Normal 2 4 3 6 2 3" xfId="12299" xr:uid="{95B16576-F0E4-4CF7-8FC5-7B0374CECB2A}"/>
    <cellStyle name="Normal 2 4 3 6 2 4" xfId="20735" xr:uid="{5F7E089F-4F24-423D-8A1F-2AC021BB4F94}"/>
    <cellStyle name="Normal 2 4 3 6 3" xfId="5930" xr:uid="{00000000-0005-0000-0000-00002B100000}"/>
    <cellStyle name="Normal 2 4 3 6 3 2" xfId="14372" xr:uid="{882E40ED-35D3-4F4D-8FA0-45DD4A8EAF9B}"/>
    <cellStyle name="Normal 2 4 3 6 3 3" xfId="22807" xr:uid="{057975FD-DAFD-4040-995A-C4E501547536}"/>
    <cellStyle name="Normal 2 4 3 6 4" xfId="10154" xr:uid="{6C783F62-CE04-4573-8EBF-62BDC0164E95}"/>
    <cellStyle name="Normal 2 4 3 6 5" xfId="18590" xr:uid="{D7B96FAD-3B89-4423-A9B7-C9DDAFF4BE04}"/>
    <cellStyle name="Normal 2 4 3 7" xfId="2036" xr:uid="{00000000-0005-0000-0000-00002C100000}"/>
    <cellStyle name="Normal 2 4 3 7 2" xfId="4265" xr:uid="{00000000-0005-0000-0000-00002D100000}"/>
    <cellStyle name="Normal 2 4 3 7 2 2" xfId="8488" xr:uid="{00000000-0005-0000-0000-00002E100000}"/>
    <cellStyle name="Normal 2 4 3 7 2 2 2" xfId="16930" xr:uid="{CBEDCA71-7B35-4118-AF1C-AD485890D4BA}"/>
    <cellStyle name="Normal 2 4 3 7 2 2 3" xfId="25365" xr:uid="{EFB51C93-204C-4073-BA64-888C524AAF6C}"/>
    <cellStyle name="Normal 2 4 3 7 2 3" xfId="12712" xr:uid="{DA66CDB1-B232-4854-9EC0-1B916BA11720}"/>
    <cellStyle name="Normal 2 4 3 7 2 4" xfId="21148" xr:uid="{8D222A1E-00EC-4194-8460-07812319CA99}"/>
    <cellStyle name="Normal 2 4 3 7 3" xfId="6343" xr:uid="{00000000-0005-0000-0000-00002F100000}"/>
    <cellStyle name="Normal 2 4 3 7 3 2" xfId="14785" xr:uid="{DB8F65A3-C3FB-4490-8787-A5B03144720C}"/>
    <cellStyle name="Normal 2 4 3 7 3 3" xfId="23220" xr:uid="{52D4DFAA-B0A5-40A8-ADF2-AAEAA8283A2B}"/>
    <cellStyle name="Normal 2 4 3 7 4" xfId="10567" xr:uid="{6838BC4A-02A8-435F-B705-F3E2FC750E2F}"/>
    <cellStyle name="Normal 2 4 3 7 5" xfId="19003" xr:uid="{3CEC9F58-8019-4AFF-81D1-3C5ECE689C6C}"/>
    <cellStyle name="Normal 2 4 3 8" xfId="2472" xr:uid="{00000000-0005-0000-0000-000030100000}"/>
    <cellStyle name="Normal 2 4 3 8 2" xfId="6756" xr:uid="{00000000-0005-0000-0000-000031100000}"/>
    <cellStyle name="Normal 2 4 3 8 2 2" xfId="15198" xr:uid="{2CC333D9-85CE-4411-9936-EF6169168B33}"/>
    <cellStyle name="Normal 2 4 3 8 2 3" xfId="23633" xr:uid="{77C7E4D2-49FF-4F66-BC9B-F55A74D155CC}"/>
    <cellStyle name="Normal 2 4 3 8 3" xfId="10980" xr:uid="{F240BA41-F3A0-44FB-8DF6-00775B148F67}"/>
    <cellStyle name="Normal 2 4 3 8 4" xfId="19416" xr:uid="{27BB57A6-A455-4188-BB82-A285532AE25D}"/>
    <cellStyle name="Normal 2 4 3 9" xfId="4690" xr:uid="{00000000-0005-0000-0000-000032100000}"/>
    <cellStyle name="Normal 2 4 3 9 2" xfId="13132" xr:uid="{C3E567CB-B24D-4605-8729-E4627BA7A803}"/>
    <cellStyle name="Normal 2 4 3 9 3" xfId="21567" xr:uid="{4B016854-0936-404C-AA79-1663AC056F9F}"/>
    <cellStyle name="Normal 2 4 4" xfId="302" xr:uid="{00000000-0005-0000-0000-000033100000}"/>
    <cellStyle name="Normal 2 4 5" xfId="303" xr:uid="{00000000-0005-0000-0000-000034100000}"/>
    <cellStyle name="Normal 2 4 5 10" xfId="4695" xr:uid="{00000000-0005-0000-0000-000035100000}"/>
    <cellStyle name="Normal 2 4 5 10 2" xfId="13137" xr:uid="{2E91B3A0-68E2-4972-A9C3-7A1C86AD05A4}"/>
    <cellStyle name="Normal 2 4 5 10 3" xfId="21572" xr:uid="{D4705FE2-2323-4C92-A5EB-CFD02CBF346C}"/>
    <cellStyle name="Normal 2 4 5 11" xfId="8919" xr:uid="{23361680-CC33-4952-AC12-7C6A4B6056C9}"/>
    <cellStyle name="Normal 2 4 5 12" xfId="17355" xr:uid="{1E6AD2A3-D294-416B-938A-5BE7C3A0E4D3}"/>
    <cellStyle name="Normal 2 4 5 2" xfId="304" xr:uid="{00000000-0005-0000-0000-000036100000}"/>
    <cellStyle name="Normal 2 4 5 2 10" xfId="8920" xr:uid="{78899B08-33CE-4EF2-AFA5-02C6396D7A32}"/>
    <cellStyle name="Normal 2 4 5 2 11" xfId="17356" xr:uid="{B8C703A5-728D-42EF-80F4-3178D42EB279}"/>
    <cellStyle name="Normal 2 4 5 2 2" xfId="305" xr:uid="{00000000-0005-0000-0000-000037100000}"/>
    <cellStyle name="Normal 2 4 5 2 2 10" xfId="17357" xr:uid="{5D89D571-0452-4746-9763-DACDB6E06668}"/>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2 2 2" xfId="15699" xr:uid="{0A52E2E5-0B1D-4872-90D7-5154ECEF0E85}"/>
    <cellStyle name="Normal 2 4 5 2 2 2 2 2 2 3" xfId="24134" xr:uid="{071BF5CE-54D2-407E-ABAF-5370D81FB10F}"/>
    <cellStyle name="Normal 2 4 5 2 2 2 2 2 3" xfId="11481" xr:uid="{1E720B12-F911-4F44-9DEE-05AC6154DD12}"/>
    <cellStyle name="Normal 2 4 5 2 2 2 2 2 4" xfId="19917" xr:uid="{A6223955-DF87-45C3-BC12-0CDE5FC71A4C}"/>
    <cellStyle name="Normal 2 4 5 2 2 2 2 3" xfId="5112" xr:uid="{00000000-0005-0000-0000-00003C100000}"/>
    <cellStyle name="Normal 2 4 5 2 2 2 2 3 2" xfId="13554" xr:uid="{BB048232-2BD1-40FA-895B-FFA5EFF7E31A}"/>
    <cellStyle name="Normal 2 4 5 2 2 2 2 3 3" xfId="21989" xr:uid="{6023BEF9-518B-48F4-BCF0-0131E23B6269}"/>
    <cellStyle name="Normal 2 4 5 2 2 2 2 4" xfId="9336" xr:uid="{E46F9D55-B568-4475-AE05-BEB778AA0D6A}"/>
    <cellStyle name="Normal 2 4 5 2 2 2 2 5" xfId="17772" xr:uid="{684ABDAF-7816-488C-BC8E-BBAD9519A297}"/>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2 2 2" xfId="16112" xr:uid="{4BBDC94F-D352-4F95-A4F4-74793FE6C841}"/>
    <cellStyle name="Normal 2 4 5 2 2 2 3 2 2 3" xfId="24547" xr:uid="{C3564802-6F8C-45EF-BB92-20D10603C58D}"/>
    <cellStyle name="Normal 2 4 5 2 2 2 3 2 3" xfId="11894" xr:uid="{6F5861FD-CB3E-48D6-86A0-00E642481DA9}"/>
    <cellStyle name="Normal 2 4 5 2 2 2 3 2 4" xfId="20330" xr:uid="{F41C3C49-E27E-498E-819C-1CAA28CA10E2}"/>
    <cellStyle name="Normal 2 4 5 2 2 2 3 3" xfId="5525" xr:uid="{00000000-0005-0000-0000-000040100000}"/>
    <cellStyle name="Normal 2 4 5 2 2 2 3 3 2" xfId="13967" xr:uid="{DDDEB693-3A1F-4462-8A3B-0535A5C9C816}"/>
    <cellStyle name="Normal 2 4 5 2 2 2 3 3 3" xfId="22402" xr:uid="{2212C331-5950-40FC-8785-785F77005B9A}"/>
    <cellStyle name="Normal 2 4 5 2 2 2 3 4" xfId="9749" xr:uid="{B5171C6E-457A-4E86-A3D9-9A4933764440}"/>
    <cellStyle name="Normal 2 4 5 2 2 2 3 5" xfId="18185" xr:uid="{9A354A60-D12C-4FF8-BBE8-6513A425079E}"/>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2 2 2" xfId="16525" xr:uid="{AF69C24D-CD92-46A7-91BF-28F381E54553}"/>
    <cellStyle name="Normal 2 4 5 2 2 2 4 2 2 3" xfId="24960" xr:uid="{23E9AC81-69F4-4BE5-B618-E3023184BD1A}"/>
    <cellStyle name="Normal 2 4 5 2 2 2 4 2 3" xfId="12307" xr:uid="{745F4302-1373-41E8-95C3-03217645838E}"/>
    <cellStyle name="Normal 2 4 5 2 2 2 4 2 4" xfId="20743" xr:uid="{A63127B4-56CC-46EF-9430-B5DB3BE9EBB7}"/>
    <cellStyle name="Normal 2 4 5 2 2 2 4 3" xfId="5938" xr:uid="{00000000-0005-0000-0000-000044100000}"/>
    <cellStyle name="Normal 2 4 5 2 2 2 4 3 2" xfId="14380" xr:uid="{B071E3D6-C433-4D31-8667-A946EE973174}"/>
    <cellStyle name="Normal 2 4 5 2 2 2 4 3 3" xfId="22815" xr:uid="{4E3B415D-DBAB-41D9-9351-75CF8E8CB3C3}"/>
    <cellStyle name="Normal 2 4 5 2 2 2 4 4" xfId="10162" xr:uid="{A9F08FBC-41A1-4A28-BA77-62B4C750E428}"/>
    <cellStyle name="Normal 2 4 5 2 2 2 4 5" xfId="18598" xr:uid="{1C187EC6-554E-4D7C-AD54-712274C03564}"/>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2 2 2" xfId="16938" xr:uid="{8846E144-7981-443F-93C3-06C63BB092D1}"/>
    <cellStyle name="Normal 2 4 5 2 2 2 5 2 2 3" xfId="25373" xr:uid="{D4DD08D0-B000-4680-9967-2EAB88E90AEA}"/>
    <cellStyle name="Normal 2 4 5 2 2 2 5 2 3" xfId="12720" xr:uid="{1B66DCA9-2B07-400B-BA05-3726FCE40236}"/>
    <cellStyle name="Normal 2 4 5 2 2 2 5 2 4" xfId="21156" xr:uid="{843818B3-3284-4EAD-A691-0C16444450D4}"/>
    <cellStyle name="Normal 2 4 5 2 2 2 5 3" xfId="6351" xr:uid="{00000000-0005-0000-0000-000048100000}"/>
    <cellStyle name="Normal 2 4 5 2 2 2 5 3 2" xfId="14793" xr:uid="{A0EDD16F-CF19-415F-A327-7DE53F7D854F}"/>
    <cellStyle name="Normal 2 4 5 2 2 2 5 3 3" xfId="23228" xr:uid="{267C870B-C835-4F62-BC8F-91B30594E57C}"/>
    <cellStyle name="Normal 2 4 5 2 2 2 5 4" xfId="10575" xr:uid="{DCD51C13-A9E0-4C62-8C3F-BF64F8447153}"/>
    <cellStyle name="Normal 2 4 5 2 2 2 5 5" xfId="19011" xr:uid="{F2AC101A-929A-4D7E-BC98-E5880325D7E8}"/>
    <cellStyle name="Normal 2 4 5 2 2 2 6" xfId="2480" xr:uid="{00000000-0005-0000-0000-000049100000}"/>
    <cellStyle name="Normal 2 4 5 2 2 2 6 2" xfId="6764" xr:uid="{00000000-0005-0000-0000-00004A100000}"/>
    <cellStyle name="Normal 2 4 5 2 2 2 6 2 2" xfId="15206" xr:uid="{F572455A-4F45-4E70-9287-CCF8043B8BF2}"/>
    <cellStyle name="Normal 2 4 5 2 2 2 6 2 3" xfId="23641" xr:uid="{F8766984-43DB-444B-ADC2-061437ABF4C4}"/>
    <cellStyle name="Normal 2 4 5 2 2 2 6 3" xfId="10988" xr:uid="{6A9FED22-DD53-4804-B2B5-410DADC80D64}"/>
    <cellStyle name="Normal 2 4 5 2 2 2 6 4" xfId="19424" xr:uid="{AD2C3CFB-C89C-48F0-91C6-EBDB5800076A}"/>
    <cellStyle name="Normal 2 4 5 2 2 2 7" xfId="4698" xr:uid="{00000000-0005-0000-0000-00004B100000}"/>
    <cellStyle name="Normal 2 4 5 2 2 2 7 2" xfId="13140" xr:uid="{5E57CF16-F032-4A14-81D6-808CE49BF3E8}"/>
    <cellStyle name="Normal 2 4 5 2 2 2 7 3" xfId="21575" xr:uid="{F11B6401-C6B5-4D89-B244-D0480B172D31}"/>
    <cellStyle name="Normal 2 4 5 2 2 2 8" xfId="8922" xr:uid="{B6DE1CB7-9F40-4AC9-9B03-FD4C3B97E618}"/>
    <cellStyle name="Normal 2 4 5 2 2 2 9" xfId="17358" xr:uid="{E2C41D2B-4E78-4755-A0B9-1A5B0C19AB6C}"/>
    <cellStyle name="Normal 2 4 5 2 2 3" xfId="794" xr:uid="{00000000-0005-0000-0000-00004C100000}"/>
    <cellStyle name="Normal 2 4 5 2 2 3 2" xfId="3033" xr:uid="{00000000-0005-0000-0000-00004D100000}"/>
    <cellStyle name="Normal 2 4 5 2 2 3 2 2" xfId="7256" xr:uid="{00000000-0005-0000-0000-00004E100000}"/>
    <cellStyle name="Normal 2 4 5 2 2 3 2 2 2" xfId="15698" xr:uid="{0E4F2DC3-1BB7-472A-B2B1-9FC39CE99CF9}"/>
    <cellStyle name="Normal 2 4 5 2 2 3 2 2 3" xfId="24133" xr:uid="{18A70B6C-8EE6-4216-8710-B28F3607B34F}"/>
    <cellStyle name="Normal 2 4 5 2 2 3 2 3" xfId="11480" xr:uid="{A0CF6336-AF48-487D-ABD3-12E14A75C996}"/>
    <cellStyle name="Normal 2 4 5 2 2 3 2 4" xfId="19916" xr:uid="{6800AA63-4D04-45CA-8F77-61312876542A}"/>
    <cellStyle name="Normal 2 4 5 2 2 3 3" xfId="5111" xr:uid="{00000000-0005-0000-0000-00004F100000}"/>
    <cellStyle name="Normal 2 4 5 2 2 3 3 2" xfId="13553" xr:uid="{615A3F7C-197F-4FAA-9661-35ACA6A2A4DE}"/>
    <cellStyle name="Normal 2 4 5 2 2 3 3 3" xfId="21988" xr:uid="{3833EA0E-3FDE-4B5F-B9D5-06483C6CB344}"/>
    <cellStyle name="Normal 2 4 5 2 2 3 4" xfId="9335" xr:uid="{33A6898A-1589-446A-AEA3-CA5D00E76624}"/>
    <cellStyle name="Normal 2 4 5 2 2 3 5" xfId="17771" xr:uid="{9F1CAAFB-5065-4FB7-81B3-6729C759282B}"/>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2 2 2" xfId="16111" xr:uid="{A03EB4B6-F811-427E-BFCF-594D3522319C}"/>
    <cellStyle name="Normal 2 4 5 2 2 4 2 2 3" xfId="24546" xr:uid="{25580FD4-8E4C-4367-B6D8-26D75258B972}"/>
    <cellStyle name="Normal 2 4 5 2 2 4 2 3" xfId="11893" xr:uid="{DB1821BB-2F24-40C4-A634-0FEB70974F79}"/>
    <cellStyle name="Normal 2 4 5 2 2 4 2 4" xfId="20329" xr:uid="{B920AAB5-F450-4FEC-8CE2-DD21DB69B719}"/>
    <cellStyle name="Normal 2 4 5 2 2 4 3" xfId="5524" xr:uid="{00000000-0005-0000-0000-000053100000}"/>
    <cellStyle name="Normal 2 4 5 2 2 4 3 2" xfId="13966" xr:uid="{1ED7D247-DE36-42FD-B15D-6016B27E8770}"/>
    <cellStyle name="Normal 2 4 5 2 2 4 3 3" xfId="22401" xr:uid="{06F43F3A-30ED-48A7-AD24-C16FE2FD86A4}"/>
    <cellStyle name="Normal 2 4 5 2 2 4 4" xfId="9748" xr:uid="{FBCC6030-1DB3-463A-B340-BB0D20B9FB56}"/>
    <cellStyle name="Normal 2 4 5 2 2 4 5" xfId="18184" xr:uid="{C25CEC73-3BD7-4B68-82EF-598255A92CEA}"/>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2 2 2" xfId="16524" xr:uid="{6EE85FB1-BAF0-4DB6-BFCF-704DA26EB45C}"/>
    <cellStyle name="Normal 2 4 5 2 2 5 2 2 3" xfId="24959" xr:uid="{13D572F3-BC6A-4750-AB65-69AE240437FC}"/>
    <cellStyle name="Normal 2 4 5 2 2 5 2 3" xfId="12306" xr:uid="{B036BCEB-544E-4699-9D45-8DBF0FCB0B2E}"/>
    <cellStyle name="Normal 2 4 5 2 2 5 2 4" xfId="20742" xr:uid="{7E9967B5-3CAC-4973-9A54-63C9CA4DF9AB}"/>
    <cellStyle name="Normal 2 4 5 2 2 5 3" xfId="5937" xr:uid="{00000000-0005-0000-0000-000057100000}"/>
    <cellStyle name="Normal 2 4 5 2 2 5 3 2" xfId="14379" xr:uid="{136E120A-6EC3-487F-BB07-290BA4138B53}"/>
    <cellStyle name="Normal 2 4 5 2 2 5 3 3" xfId="22814" xr:uid="{A41FC252-EEF2-4F7E-BC22-AE89447AA4ED}"/>
    <cellStyle name="Normal 2 4 5 2 2 5 4" xfId="10161" xr:uid="{FF148DEE-9C4A-4382-ABAC-185E3D9EC952}"/>
    <cellStyle name="Normal 2 4 5 2 2 5 5" xfId="18597" xr:uid="{253F7CE9-349D-4CEB-905D-246701D9F54F}"/>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2 2 2" xfId="16937" xr:uid="{90C0E3A3-2616-4540-AED9-959CE44ED0D1}"/>
    <cellStyle name="Normal 2 4 5 2 2 6 2 2 3" xfId="25372" xr:uid="{9736D624-A766-45F4-8F7B-E4BAD1EB12B4}"/>
    <cellStyle name="Normal 2 4 5 2 2 6 2 3" xfId="12719" xr:uid="{D1964041-41A6-463E-97AD-35E4E2FEB23B}"/>
    <cellStyle name="Normal 2 4 5 2 2 6 2 4" xfId="21155" xr:uid="{0EFC2803-85D0-4C04-BC98-2DEE5AE2E7A8}"/>
    <cellStyle name="Normal 2 4 5 2 2 6 3" xfId="6350" xr:uid="{00000000-0005-0000-0000-00005B100000}"/>
    <cellStyle name="Normal 2 4 5 2 2 6 3 2" xfId="14792" xr:uid="{B64CB0D6-ABC1-43A4-9E7F-DB9C575ACF40}"/>
    <cellStyle name="Normal 2 4 5 2 2 6 3 3" xfId="23227" xr:uid="{46B0BFCA-F66F-4F6E-A87C-D1FA26D9C139}"/>
    <cellStyle name="Normal 2 4 5 2 2 6 4" xfId="10574" xr:uid="{D0C2E20D-24EE-4F4D-8A5B-368706DA344A}"/>
    <cellStyle name="Normal 2 4 5 2 2 6 5" xfId="19010" xr:uid="{E77492FD-82F4-449D-9B30-CB9CAA94B18F}"/>
    <cellStyle name="Normal 2 4 5 2 2 7" xfId="2479" xr:uid="{00000000-0005-0000-0000-00005C100000}"/>
    <cellStyle name="Normal 2 4 5 2 2 7 2" xfId="6763" xr:uid="{00000000-0005-0000-0000-00005D100000}"/>
    <cellStyle name="Normal 2 4 5 2 2 7 2 2" xfId="15205" xr:uid="{43FCC244-3A05-4042-ABE1-4C982D41BF58}"/>
    <cellStyle name="Normal 2 4 5 2 2 7 2 3" xfId="23640" xr:uid="{CAB4640F-BD5A-4638-9C0C-DD87F3E48195}"/>
    <cellStyle name="Normal 2 4 5 2 2 7 3" xfId="10987" xr:uid="{00A1B33A-F549-4023-8056-D9B66D997D31}"/>
    <cellStyle name="Normal 2 4 5 2 2 7 4" xfId="19423" xr:uid="{8F4C2378-EAEC-4630-AD95-E4BB1B4E0537}"/>
    <cellStyle name="Normal 2 4 5 2 2 8" xfId="4697" xr:uid="{00000000-0005-0000-0000-00005E100000}"/>
    <cellStyle name="Normal 2 4 5 2 2 8 2" xfId="13139" xr:uid="{369A7077-BD7D-4A6E-881B-E0FFB896C1E0}"/>
    <cellStyle name="Normal 2 4 5 2 2 8 3" xfId="21574" xr:uid="{EF4AB523-CAE7-4F8F-803D-E42D78589C65}"/>
    <cellStyle name="Normal 2 4 5 2 2 9" xfId="8921" xr:uid="{06CFAFC2-2196-4148-863F-5E503F3C8E46}"/>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2 2 2" xfId="15700" xr:uid="{BA26EB73-85B7-4320-9F87-F3DA761C6D6F}"/>
    <cellStyle name="Normal 2 4 5 2 3 2 2 2 3" xfId="24135" xr:uid="{0099E757-1D04-40AC-BBB7-6B5A623DFA02}"/>
    <cellStyle name="Normal 2 4 5 2 3 2 2 3" xfId="11482" xr:uid="{14FED18C-B943-4264-A096-CC06124F5079}"/>
    <cellStyle name="Normal 2 4 5 2 3 2 2 4" xfId="19918" xr:uid="{2612FDBF-4412-4D0B-A6D1-AF9B91AD34CF}"/>
    <cellStyle name="Normal 2 4 5 2 3 2 3" xfId="5113" xr:uid="{00000000-0005-0000-0000-000063100000}"/>
    <cellStyle name="Normal 2 4 5 2 3 2 3 2" xfId="13555" xr:uid="{36C18E97-5C8E-43A0-B371-0110B745FD4E}"/>
    <cellStyle name="Normal 2 4 5 2 3 2 3 3" xfId="21990" xr:uid="{02E00BA8-58B7-4A14-B4BA-8FF67510D8DF}"/>
    <cellStyle name="Normal 2 4 5 2 3 2 4" xfId="9337" xr:uid="{A05CC7A6-1D4E-4450-ABE0-70BF5D9BC651}"/>
    <cellStyle name="Normal 2 4 5 2 3 2 5" xfId="17773" xr:uid="{6A7D96F2-D88F-4254-A0D3-AA919F7087BC}"/>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2 2 2" xfId="16113" xr:uid="{237893B6-65F7-4A9F-9103-200B9AF44E73}"/>
    <cellStyle name="Normal 2 4 5 2 3 3 2 2 3" xfId="24548" xr:uid="{B1440981-5ACC-40A7-9CA5-7EBF46B174C3}"/>
    <cellStyle name="Normal 2 4 5 2 3 3 2 3" xfId="11895" xr:uid="{B4DA1C91-DAA3-46D4-962E-1EB863D7F9D1}"/>
    <cellStyle name="Normal 2 4 5 2 3 3 2 4" xfId="20331" xr:uid="{DBEEBCE5-98F1-4E86-9BDF-E324E1FDBF0C}"/>
    <cellStyle name="Normal 2 4 5 2 3 3 3" xfId="5526" xr:uid="{00000000-0005-0000-0000-000067100000}"/>
    <cellStyle name="Normal 2 4 5 2 3 3 3 2" xfId="13968" xr:uid="{277E315A-68D1-48DA-BD67-F3DBA66F57B2}"/>
    <cellStyle name="Normal 2 4 5 2 3 3 3 3" xfId="22403" xr:uid="{EE9B0EB4-98AE-4527-BAAE-B73062F642BB}"/>
    <cellStyle name="Normal 2 4 5 2 3 3 4" xfId="9750" xr:uid="{DA7CFBBE-7409-4DC3-87F7-4B6601C13BD7}"/>
    <cellStyle name="Normal 2 4 5 2 3 3 5" xfId="18186" xr:uid="{8A73FDE1-7ABB-46AC-B260-26A745D389DE}"/>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2 2 2" xfId="16526" xr:uid="{1E590A48-F609-4DB1-A610-FFB1675DDD81}"/>
    <cellStyle name="Normal 2 4 5 2 3 4 2 2 3" xfId="24961" xr:uid="{001C4CD8-8F92-443C-8E9C-80CF9DE8369F}"/>
    <cellStyle name="Normal 2 4 5 2 3 4 2 3" xfId="12308" xr:uid="{D7A35AD4-B8F7-4689-819A-9C0904B67393}"/>
    <cellStyle name="Normal 2 4 5 2 3 4 2 4" xfId="20744" xr:uid="{554B9184-61F1-4D00-A54E-E9DEADAD9341}"/>
    <cellStyle name="Normal 2 4 5 2 3 4 3" xfId="5939" xr:uid="{00000000-0005-0000-0000-00006B100000}"/>
    <cellStyle name="Normal 2 4 5 2 3 4 3 2" xfId="14381" xr:uid="{329F169F-0FC6-4046-B68F-5DFE9D3B263A}"/>
    <cellStyle name="Normal 2 4 5 2 3 4 3 3" xfId="22816" xr:uid="{22BCA861-8D19-4BCE-8717-31DE6CA7B5FF}"/>
    <cellStyle name="Normal 2 4 5 2 3 4 4" xfId="10163" xr:uid="{CDCA792F-F33E-48B2-88A0-8FF30FDFE7C6}"/>
    <cellStyle name="Normal 2 4 5 2 3 4 5" xfId="18599" xr:uid="{645D1319-2B13-4550-9A62-7726D3D9082D}"/>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2 2 2" xfId="16939" xr:uid="{BDFA05B9-AF97-4D4B-9719-0C60A47C976A}"/>
    <cellStyle name="Normal 2 4 5 2 3 5 2 2 3" xfId="25374" xr:uid="{82FE49AA-31B1-4FD6-88C0-B8122C8B8B9F}"/>
    <cellStyle name="Normal 2 4 5 2 3 5 2 3" xfId="12721" xr:uid="{122835AD-D397-4A84-8510-EF572FE2F6A0}"/>
    <cellStyle name="Normal 2 4 5 2 3 5 2 4" xfId="21157" xr:uid="{BA03F17E-1A61-4BD7-BE75-7109AE8669E7}"/>
    <cellStyle name="Normal 2 4 5 2 3 5 3" xfId="6352" xr:uid="{00000000-0005-0000-0000-00006F100000}"/>
    <cellStyle name="Normal 2 4 5 2 3 5 3 2" xfId="14794" xr:uid="{D03BE8DC-C907-450A-A38D-2F8CEA82C61E}"/>
    <cellStyle name="Normal 2 4 5 2 3 5 3 3" xfId="23229" xr:uid="{8E6829BF-8789-4286-BCEF-CBAA10641175}"/>
    <cellStyle name="Normal 2 4 5 2 3 5 4" xfId="10576" xr:uid="{2003BA94-0892-482B-9C3F-27C092E48FF1}"/>
    <cellStyle name="Normal 2 4 5 2 3 5 5" xfId="19012" xr:uid="{5804EF99-4CED-4FFD-8F4D-885EF8969CFE}"/>
    <cellStyle name="Normal 2 4 5 2 3 6" xfId="2481" xr:uid="{00000000-0005-0000-0000-000070100000}"/>
    <cellStyle name="Normal 2 4 5 2 3 6 2" xfId="6765" xr:uid="{00000000-0005-0000-0000-000071100000}"/>
    <cellStyle name="Normal 2 4 5 2 3 6 2 2" xfId="15207" xr:uid="{000FFBD9-B4C6-4414-AFA9-DB884AFE9E78}"/>
    <cellStyle name="Normal 2 4 5 2 3 6 2 3" xfId="23642" xr:uid="{A61EFFA2-6B15-4A3F-AA62-245E3505C72A}"/>
    <cellStyle name="Normal 2 4 5 2 3 6 3" xfId="10989" xr:uid="{A4860F20-2363-45B7-9818-6675E1CEE5ED}"/>
    <cellStyle name="Normal 2 4 5 2 3 6 4" xfId="19425" xr:uid="{1BA53E0A-C0F4-43EB-B78A-9470973CB1C6}"/>
    <cellStyle name="Normal 2 4 5 2 3 7" xfId="4699" xr:uid="{00000000-0005-0000-0000-000072100000}"/>
    <cellStyle name="Normal 2 4 5 2 3 7 2" xfId="13141" xr:uid="{5156C2A2-D4D2-45A8-B711-E493E62AC240}"/>
    <cellStyle name="Normal 2 4 5 2 3 7 3" xfId="21576" xr:uid="{6B022108-0C5E-462A-8184-31F0F0959D1C}"/>
    <cellStyle name="Normal 2 4 5 2 3 8" xfId="8923" xr:uid="{75B5EE05-3EA3-44AE-8C99-519D2F0A526C}"/>
    <cellStyle name="Normal 2 4 5 2 3 9" xfId="17359" xr:uid="{670411D7-CE0F-4DB3-AC8B-593E33761757}"/>
    <cellStyle name="Normal 2 4 5 2 4" xfId="793" xr:uid="{00000000-0005-0000-0000-000073100000}"/>
    <cellStyle name="Normal 2 4 5 2 4 2" xfId="3032" xr:uid="{00000000-0005-0000-0000-000074100000}"/>
    <cellStyle name="Normal 2 4 5 2 4 2 2" xfId="7255" xr:uid="{00000000-0005-0000-0000-000075100000}"/>
    <cellStyle name="Normal 2 4 5 2 4 2 2 2" xfId="15697" xr:uid="{2F0FCB7F-65BE-4873-9755-E3A8EF5B101D}"/>
    <cellStyle name="Normal 2 4 5 2 4 2 2 3" xfId="24132" xr:uid="{BC912ECD-EE0B-4209-898A-08D94653CF5F}"/>
    <cellStyle name="Normal 2 4 5 2 4 2 3" xfId="11479" xr:uid="{F50CE46E-157B-443D-9CF5-9E7F56426719}"/>
    <cellStyle name="Normal 2 4 5 2 4 2 4" xfId="19915" xr:uid="{C30EB993-074F-4DA7-9198-CC1B73753F43}"/>
    <cellStyle name="Normal 2 4 5 2 4 3" xfId="5110" xr:uid="{00000000-0005-0000-0000-000076100000}"/>
    <cellStyle name="Normal 2 4 5 2 4 3 2" xfId="13552" xr:uid="{F8FC2E15-F980-4E54-8DAE-94C8EA67A622}"/>
    <cellStyle name="Normal 2 4 5 2 4 3 3" xfId="21987" xr:uid="{8DE86118-7CCE-4CC5-905E-87DA3DFD4F13}"/>
    <cellStyle name="Normal 2 4 5 2 4 4" xfId="9334" xr:uid="{73DB7848-7052-4085-B6AD-A53CFABF3A42}"/>
    <cellStyle name="Normal 2 4 5 2 4 5" xfId="17770" xr:uid="{C0A0C197-5A0A-4B20-9C35-7E0D9A97BA74}"/>
    <cellStyle name="Normal 2 4 5 2 5" xfId="1215" xr:uid="{00000000-0005-0000-0000-000077100000}"/>
    <cellStyle name="Normal 2 4 5 2 5 2" xfId="3445" xr:uid="{00000000-0005-0000-0000-000078100000}"/>
    <cellStyle name="Normal 2 4 5 2 5 2 2" xfId="7668" xr:uid="{00000000-0005-0000-0000-000079100000}"/>
    <cellStyle name="Normal 2 4 5 2 5 2 2 2" xfId="16110" xr:uid="{2E4F92D3-1138-44D5-836C-D26F1C7E24FA}"/>
    <cellStyle name="Normal 2 4 5 2 5 2 2 3" xfId="24545" xr:uid="{22C760C1-FC05-4724-BBF7-DF0F75015321}"/>
    <cellStyle name="Normal 2 4 5 2 5 2 3" xfId="11892" xr:uid="{C7449786-7C38-4AC3-9BB6-BDC32ED188DB}"/>
    <cellStyle name="Normal 2 4 5 2 5 2 4" xfId="20328" xr:uid="{EEC52F29-6B82-45F4-84C9-99CA5C570547}"/>
    <cellStyle name="Normal 2 4 5 2 5 3" xfId="5523" xr:uid="{00000000-0005-0000-0000-00007A100000}"/>
    <cellStyle name="Normal 2 4 5 2 5 3 2" xfId="13965" xr:uid="{82F14761-04AB-409E-A91D-1699BB7B947D}"/>
    <cellStyle name="Normal 2 4 5 2 5 3 3" xfId="22400" xr:uid="{FD4B9169-0014-4576-A289-FC49181DB929}"/>
    <cellStyle name="Normal 2 4 5 2 5 4" xfId="9747" xr:uid="{B52B2905-38AF-4B60-B540-AF2140C64B88}"/>
    <cellStyle name="Normal 2 4 5 2 5 5" xfId="18183" xr:uid="{E92096A9-A2AF-4C8D-A479-9E52174A86AD}"/>
    <cellStyle name="Normal 2 4 5 2 6" xfId="1628" xr:uid="{00000000-0005-0000-0000-00007B100000}"/>
    <cellStyle name="Normal 2 4 5 2 6 2" xfId="3858" xr:uid="{00000000-0005-0000-0000-00007C100000}"/>
    <cellStyle name="Normal 2 4 5 2 6 2 2" xfId="8081" xr:uid="{00000000-0005-0000-0000-00007D100000}"/>
    <cellStyle name="Normal 2 4 5 2 6 2 2 2" xfId="16523" xr:uid="{D50BEEEA-1D46-4D6C-83A7-EFE5E96BE365}"/>
    <cellStyle name="Normal 2 4 5 2 6 2 2 3" xfId="24958" xr:uid="{C6B889EA-E3F6-40D1-A4A3-25785539CC5A}"/>
    <cellStyle name="Normal 2 4 5 2 6 2 3" xfId="12305" xr:uid="{E2B82606-4701-41FD-B796-0C5212A7E92B}"/>
    <cellStyle name="Normal 2 4 5 2 6 2 4" xfId="20741" xr:uid="{8479DF6A-A5B7-4E62-AA87-DB3CB91CF51D}"/>
    <cellStyle name="Normal 2 4 5 2 6 3" xfId="5936" xr:uid="{00000000-0005-0000-0000-00007E100000}"/>
    <cellStyle name="Normal 2 4 5 2 6 3 2" xfId="14378" xr:uid="{63F8EE3A-23B4-4DE8-98A4-CF6D7D659992}"/>
    <cellStyle name="Normal 2 4 5 2 6 3 3" xfId="22813" xr:uid="{07A95A2D-2514-45AB-B1DB-3740ADA4E9F2}"/>
    <cellStyle name="Normal 2 4 5 2 6 4" xfId="10160" xr:uid="{0AAFD8F8-DEE3-42DC-B691-6CF83B9B0D85}"/>
    <cellStyle name="Normal 2 4 5 2 6 5" xfId="18596" xr:uid="{5A6D35B9-6105-4C29-8570-688AE0B69D9C}"/>
    <cellStyle name="Normal 2 4 5 2 7" xfId="2042" xr:uid="{00000000-0005-0000-0000-00007F100000}"/>
    <cellStyle name="Normal 2 4 5 2 7 2" xfId="4271" xr:uid="{00000000-0005-0000-0000-000080100000}"/>
    <cellStyle name="Normal 2 4 5 2 7 2 2" xfId="8494" xr:uid="{00000000-0005-0000-0000-000081100000}"/>
    <cellStyle name="Normal 2 4 5 2 7 2 2 2" xfId="16936" xr:uid="{FA24595B-0DF2-45C1-86EB-46F2B7330CFA}"/>
    <cellStyle name="Normal 2 4 5 2 7 2 2 3" xfId="25371" xr:uid="{427685FD-219E-431D-9310-6DFC3EC3AE40}"/>
    <cellStyle name="Normal 2 4 5 2 7 2 3" xfId="12718" xr:uid="{1CA1D7A8-BFAF-4FA8-AD62-8E337788A86C}"/>
    <cellStyle name="Normal 2 4 5 2 7 2 4" xfId="21154" xr:uid="{AA4B3BCF-1B3A-408F-8571-539791F0136E}"/>
    <cellStyle name="Normal 2 4 5 2 7 3" xfId="6349" xr:uid="{00000000-0005-0000-0000-000082100000}"/>
    <cellStyle name="Normal 2 4 5 2 7 3 2" xfId="14791" xr:uid="{A898A1AD-B0AD-4676-A2D0-A3B935345B45}"/>
    <cellStyle name="Normal 2 4 5 2 7 3 3" xfId="23226" xr:uid="{E0D1AF1D-4055-4CCF-B8BF-41BC5DAF7710}"/>
    <cellStyle name="Normal 2 4 5 2 7 4" xfId="10573" xr:uid="{1737AA35-1233-4D07-8425-657AC0C2BB78}"/>
    <cellStyle name="Normal 2 4 5 2 7 5" xfId="19009" xr:uid="{DF417CE2-C302-439D-B87D-BDD6C9F6759C}"/>
    <cellStyle name="Normal 2 4 5 2 8" xfId="2478" xr:uid="{00000000-0005-0000-0000-000083100000}"/>
    <cellStyle name="Normal 2 4 5 2 8 2" xfId="6762" xr:uid="{00000000-0005-0000-0000-000084100000}"/>
    <cellStyle name="Normal 2 4 5 2 8 2 2" xfId="15204" xr:uid="{3A0B2C97-E012-4BB8-98E5-6554CB3DC2A3}"/>
    <cellStyle name="Normal 2 4 5 2 8 2 3" xfId="23639" xr:uid="{8F4D9286-105E-44B7-B6B1-B400F40216FD}"/>
    <cellStyle name="Normal 2 4 5 2 8 3" xfId="10986" xr:uid="{E30EC953-A6F6-44CE-8E05-A5E578461782}"/>
    <cellStyle name="Normal 2 4 5 2 8 4" xfId="19422" xr:uid="{1F861429-6AED-4831-8824-56FD712CD91E}"/>
    <cellStyle name="Normal 2 4 5 2 9" xfId="4696" xr:uid="{00000000-0005-0000-0000-000085100000}"/>
    <cellStyle name="Normal 2 4 5 2 9 2" xfId="13138" xr:uid="{15711691-3483-45EC-8AC3-B22112CDF8B0}"/>
    <cellStyle name="Normal 2 4 5 2 9 3" xfId="21573" xr:uid="{A138001B-04E1-416F-9AE6-9D21C62C97C2}"/>
    <cellStyle name="Normal 2 4 5 3" xfId="308" xr:uid="{00000000-0005-0000-0000-000086100000}"/>
    <cellStyle name="Normal 2 4 5 3 10" xfId="17360" xr:uid="{2F943A29-E273-47EC-A06B-E0597567E051}"/>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2 2 2" xfId="15702" xr:uid="{C20324A9-AFFD-4B55-8D48-BA0E778AFB46}"/>
    <cellStyle name="Normal 2 4 5 3 2 2 2 2 3" xfId="24137" xr:uid="{EF4CEC3A-9B99-4419-A752-027A0D029194}"/>
    <cellStyle name="Normal 2 4 5 3 2 2 2 3" xfId="11484" xr:uid="{CD3AF5F0-7D89-4601-BCD0-7A5531C73984}"/>
    <cellStyle name="Normal 2 4 5 3 2 2 2 4" xfId="19920" xr:uid="{4287C4AA-E6F7-49B2-B0AF-D6E6CE7AD7A5}"/>
    <cellStyle name="Normal 2 4 5 3 2 2 3" xfId="5115" xr:uid="{00000000-0005-0000-0000-00008B100000}"/>
    <cellStyle name="Normal 2 4 5 3 2 2 3 2" xfId="13557" xr:uid="{A5217A50-889C-472A-AE33-59EF8AB823F7}"/>
    <cellStyle name="Normal 2 4 5 3 2 2 3 3" xfId="21992" xr:uid="{C490B535-B8CD-4996-9799-96895F545FBF}"/>
    <cellStyle name="Normal 2 4 5 3 2 2 4" xfId="9339" xr:uid="{75016964-A022-4317-A8ED-5CD5DD81F6A6}"/>
    <cellStyle name="Normal 2 4 5 3 2 2 5" xfId="17775" xr:uid="{91D52A64-6224-4625-B44E-92270E7C5C89}"/>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2 2 2" xfId="16115" xr:uid="{FE69D4A0-6684-450A-9C5F-0A2C6A37FDEA}"/>
    <cellStyle name="Normal 2 4 5 3 2 3 2 2 3" xfId="24550" xr:uid="{82057036-FBDC-4004-9F61-D6244FFDDF96}"/>
    <cellStyle name="Normal 2 4 5 3 2 3 2 3" xfId="11897" xr:uid="{5AB2121E-7A1D-4E94-864D-17C66616C900}"/>
    <cellStyle name="Normal 2 4 5 3 2 3 2 4" xfId="20333" xr:uid="{4B8154B9-116A-4E6B-A9AF-3B2D94BCC4B1}"/>
    <cellStyle name="Normal 2 4 5 3 2 3 3" xfId="5528" xr:uid="{00000000-0005-0000-0000-00008F100000}"/>
    <cellStyle name="Normal 2 4 5 3 2 3 3 2" xfId="13970" xr:uid="{2E41F262-717E-4CF0-9C6F-FD7ED67053E9}"/>
    <cellStyle name="Normal 2 4 5 3 2 3 3 3" xfId="22405" xr:uid="{A1E92A10-A279-49C2-A685-9CB5CBDA3979}"/>
    <cellStyle name="Normal 2 4 5 3 2 3 4" xfId="9752" xr:uid="{4D4E1139-B36B-44CA-AB63-98B98E9CCDBA}"/>
    <cellStyle name="Normal 2 4 5 3 2 3 5" xfId="18188" xr:uid="{62299EFF-7651-4149-AC7E-C2CF25661B41}"/>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2 2 2" xfId="16528" xr:uid="{B3E7E62D-76DA-4B5E-9DB2-CC143EF805D5}"/>
    <cellStyle name="Normal 2 4 5 3 2 4 2 2 3" xfId="24963" xr:uid="{43C2644B-0ED5-4BBA-BB4D-E7B61E9E734A}"/>
    <cellStyle name="Normal 2 4 5 3 2 4 2 3" xfId="12310" xr:uid="{5A5081F2-4D34-4E1F-BE3A-AD4EE83F7EE2}"/>
    <cellStyle name="Normal 2 4 5 3 2 4 2 4" xfId="20746" xr:uid="{F5765C5C-9005-4214-BE61-D80AE5274385}"/>
    <cellStyle name="Normal 2 4 5 3 2 4 3" xfId="5941" xr:uid="{00000000-0005-0000-0000-000093100000}"/>
    <cellStyle name="Normal 2 4 5 3 2 4 3 2" xfId="14383" xr:uid="{4A7A5C53-EA95-4E77-9EAF-F41FB9F1CE89}"/>
    <cellStyle name="Normal 2 4 5 3 2 4 3 3" xfId="22818" xr:uid="{5F1A559F-0289-4F42-94B0-A96343EC3CB4}"/>
    <cellStyle name="Normal 2 4 5 3 2 4 4" xfId="10165" xr:uid="{0D76D4C5-4F2C-4917-B3B9-9C69CA5F9114}"/>
    <cellStyle name="Normal 2 4 5 3 2 4 5" xfId="18601" xr:uid="{DC5FB221-458A-4FCD-A039-04BBE3E8A831}"/>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2 2 2" xfId="16941" xr:uid="{2B0B9292-2ABD-4C09-BDF1-BD33A5DCDBA3}"/>
    <cellStyle name="Normal 2 4 5 3 2 5 2 2 3" xfId="25376" xr:uid="{0DBE047E-CF1C-4655-AF94-7FBB88F516DC}"/>
    <cellStyle name="Normal 2 4 5 3 2 5 2 3" xfId="12723" xr:uid="{00F2E58B-BFB2-4A74-983B-C9EB633E58A0}"/>
    <cellStyle name="Normal 2 4 5 3 2 5 2 4" xfId="21159" xr:uid="{DDFCB526-336D-497C-8083-6ECBEDEB284D}"/>
    <cellStyle name="Normal 2 4 5 3 2 5 3" xfId="6354" xr:uid="{00000000-0005-0000-0000-000097100000}"/>
    <cellStyle name="Normal 2 4 5 3 2 5 3 2" xfId="14796" xr:uid="{4A69EF42-FE45-4772-8F93-082BA59F653E}"/>
    <cellStyle name="Normal 2 4 5 3 2 5 3 3" xfId="23231" xr:uid="{72181BAA-79FC-49CD-9F04-508F76A851C2}"/>
    <cellStyle name="Normal 2 4 5 3 2 5 4" xfId="10578" xr:uid="{E0ABBF27-3857-4164-9E2A-AB8E211D1887}"/>
    <cellStyle name="Normal 2 4 5 3 2 5 5" xfId="19014" xr:uid="{3FBD637F-9420-4F85-AB70-515895D25EC0}"/>
    <cellStyle name="Normal 2 4 5 3 2 6" xfId="2483" xr:uid="{00000000-0005-0000-0000-000098100000}"/>
    <cellStyle name="Normal 2 4 5 3 2 6 2" xfId="6767" xr:uid="{00000000-0005-0000-0000-000099100000}"/>
    <cellStyle name="Normal 2 4 5 3 2 6 2 2" xfId="15209" xr:uid="{C39A33E2-7EC0-432E-93B2-A44B4395AD45}"/>
    <cellStyle name="Normal 2 4 5 3 2 6 2 3" xfId="23644" xr:uid="{E32F6FA2-9454-4DEB-9762-295148036EC8}"/>
    <cellStyle name="Normal 2 4 5 3 2 6 3" xfId="10991" xr:uid="{C772B50F-1262-4101-9468-CBF5113F648B}"/>
    <cellStyle name="Normal 2 4 5 3 2 6 4" xfId="19427" xr:uid="{5E97E191-1F95-4721-867E-96026F6713AF}"/>
    <cellStyle name="Normal 2 4 5 3 2 7" xfId="4701" xr:uid="{00000000-0005-0000-0000-00009A100000}"/>
    <cellStyle name="Normal 2 4 5 3 2 7 2" xfId="13143" xr:uid="{BB6D0611-70B4-44C4-8922-11D621EA65DD}"/>
    <cellStyle name="Normal 2 4 5 3 2 7 3" xfId="21578" xr:uid="{4B887696-4532-475B-99E0-77756A664270}"/>
    <cellStyle name="Normal 2 4 5 3 2 8" xfId="8925" xr:uid="{213F8DAB-FB9C-4B49-AFBC-8D3CB41037EC}"/>
    <cellStyle name="Normal 2 4 5 3 2 9" xfId="17361" xr:uid="{BDE2AAA4-35A0-471E-8A1B-32A76EC469F1}"/>
    <cellStyle name="Normal 2 4 5 3 3" xfId="797" xr:uid="{00000000-0005-0000-0000-00009B100000}"/>
    <cellStyle name="Normal 2 4 5 3 3 2" xfId="3036" xr:uid="{00000000-0005-0000-0000-00009C100000}"/>
    <cellStyle name="Normal 2 4 5 3 3 2 2" xfId="7259" xr:uid="{00000000-0005-0000-0000-00009D100000}"/>
    <cellStyle name="Normal 2 4 5 3 3 2 2 2" xfId="15701" xr:uid="{80AC5E48-51E4-48A0-B044-EEDEA5BF4F2C}"/>
    <cellStyle name="Normal 2 4 5 3 3 2 2 3" xfId="24136" xr:uid="{1C60105C-DACE-46F7-B550-E5DB2534E68C}"/>
    <cellStyle name="Normal 2 4 5 3 3 2 3" xfId="11483" xr:uid="{50CD7D94-C77F-470C-AAD8-AE49A226AD83}"/>
    <cellStyle name="Normal 2 4 5 3 3 2 4" xfId="19919" xr:uid="{3DDDB583-A9A8-4AF6-8CF7-C1487819CEBF}"/>
    <cellStyle name="Normal 2 4 5 3 3 3" xfId="5114" xr:uid="{00000000-0005-0000-0000-00009E100000}"/>
    <cellStyle name="Normal 2 4 5 3 3 3 2" xfId="13556" xr:uid="{7B88F2D2-C5C0-48AF-87F2-89CB4CD84897}"/>
    <cellStyle name="Normal 2 4 5 3 3 3 3" xfId="21991" xr:uid="{8987926C-77F2-4BD1-9C42-8132543914F5}"/>
    <cellStyle name="Normal 2 4 5 3 3 4" xfId="9338" xr:uid="{73D10B92-A3B3-49A0-A811-921BC2A95CC6}"/>
    <cellStyle name="Normal 2 4 5 3 3 5" xfId="17774" xr:uid="{E3C569AB-F2C6-4CE6-BCE2-DA8BA4EB3FCC}"/>
    <cellStyle name="Normal 2 4 5 3 4" xfId="1219" xr:uid="{00000000-0005-0000-0000-00009F100000}"/>
    <cellStyle name="Normal 2 4 5 3 4 2" xfId="3449" xr:uid="{00000000-0005-0000-0000-0000A0100000}"/>
    <cellStyle name="Normal 2 4 5 3 4 2 2" xfId="7672" xr:uid="{00000000-0005-0000-0000-0000A1100000}"/>
    <cellStyle name="Normal 2 4 5 3 4 2 2 2" xfId="16114" xr:uid="{D4E6EC09-22A8-4A7A-8BA4-4577A2082342}"/>
    <cellStyle name="Normal 2 4 5 3 4 2 2 3" xfId="24549" xr:uid="{901818E9-BDFA-423F-9FAD-25F28A1DDF58}"/>
    <cellStyle name="Normal 2 4 5 3 4 2 3" xfId="11896" xr:uid="{23369FCC-A4F0-46F6-89E2-F6FE3D66B3DA}"/>
    <cellStyle name="Normal 2 4 5 3 4 2 4" xfId="20332" xr:uid="{9E34D8F8-5C34-46D0-BAA8-E91B97DF3609}"/>
    <cellStyle name="Normal 2 4 5 3 4 3" xfId="5527" xr:uid="{00000000-0005-0000-0000-0000A2100000}"/>
    <cellStyle name="Normal 2 4 5 3 4 3 2" xfId="13969" xr:uid="{0A13ECC0-4418-41CD-8E0F-47608DD7360B}"/>
    <cellStyle name="Normal 2 4 5 3 4 3 3" xfId="22404" xr:uid="{6A7C330F-C54C-43CF-9E46-D3FF28B96D45}"/>
    <cellStyle name="Normal 2 4 5 3 4 4" xfId="9751" xr:uid="{465A1D7C-6960-418A-85E4-014729BEADAE}"/>
    <cellStyle name="Normal 2 4 5 3 4 5" xfId="18187" xr:uid="{D4E3E0C6-91FB-417A-9E1C-E8C22FD3CCB7}"/>
    <cellStyle name="Normal 2 4 5 3 5" xfId="1632" xr:uid="{00000000-0005-0000-0000-0000A3100000}"/>
    <cellStyle name="Normal 2 4 5 3 5 2" xfId="3862" xr:uid="{00000000-0005-0000-0000-0000A4100000}"/>
    <cellStyle name="Normal 2 4 5 3 5 2 2" xfId="8085" xr:uid="{00000000-0005-0000-0000-0000A5100000}"/>
    <cellStyle name="Normal 2 4 5 3 5 2 2 2" xfId="16527" xr:uid="{C437C99C-A21F-4A54-B812-85B04007A0FA}"/>
    <cellStyle name="Normal 2 4 5 3 5 2 2 3" xfId="24962" xr:uid="{47A3F960-E1B9-40CD-BE99-E34028B74C57}"/>
    <cellStyle name="Normal 2 4 5 3 5 2 3" xfId="12309" xr:uid="{E736D882-698B-44C8-A1F6-32391277CCB5}"/>
    <cellStyle name="Normal 2 4 5 3 5 2 4" xfId="20745" xr:uid="{5B402B06-66EF-440D-A7C8-2DA79B557AB3}"/>
    <cellStyle name="Normal 2 4 5 3 5 3" xfId="5940" xr:uid="{00000000-0005-0000-0000-0000A6100000}"/>
    <cellStyle name="Normal 2 4 5 3 5 3 2" xfId="14382" xr:uid="{F99C1485-E26D-484D-AD3C-332ECFCCED06}"/>
    <cellStyle name="Normal 2 4 5 3 5 3 3" xfId="22817" xr:uid="{8EB4A82A-FB82-4991-AA6E-65C6462D6DC8}"/>
    <cellStyle name="Normal 2 4 5 3 5 4" xfId="10164" xr:uid="{CC6666B8-AFBE-4BC3-8767-3FDEEEEA9696}"/>
    <cellStyle name="Normal 2 4 5 3 5 5" xfId="18600" xr:uid="{D41F891F-9C7A-4F78-AE50-45452BFBA79E}"/>
    <cellStyle name="Normal 2 4 5 3 6" xfId="2046" xr:uid="{00000000-0005-0000-0000-0000A7100000}"/>
    <cellStyle name="Normal 2 4 5 3 6 2" xfId="4275" xr:uid="{00000000-0005-0000-0000-0000A8100000}"/>
    <cellStyle name="Normal 2 4 5 3 6 2 2" xfId="8498" xr:uid="{00000000-0005-0000-0000-0000A9100000}"/>
    <cellStyle name="Normal 2 4 5 3 6 2 2 2" xfId="16940" xr:uid="{8B519428-3D07-42DF-8790-7F2CA844A9F8}"/>
    <cellStyle name="Normal 2 4 5 3 6 2 2 3" xfId="25375" xr:uid="{917CADFD-DB94-4423-8C8B-2DE8F750D219}"/>
    <cellStyle name="Normal 2 4 5 3 6 2 3" xfId="12722" xr:uid="{D285ABB7-74B9-4046-901E-EEBE966E0D6E}"/>
    <cellStyle name="Normal 2 4 5 3 6 2 4" xfId="21158" xr:uid="{2317DDF7-9542-4FB7-A83E-0BAD1D89BDD0}"/>
    <cellStyle name="Normal 2 4 5 3 6 3" xfId="6353" xr:uid="{00000000-0005-0000-0000-0000AA100000}"/>
    <cellStyle name="Normal 2 4 5 3 6 3 2" xfId="14795" xr:uid="{4AA042E2-7F7E-4CE9-9110-7450AE3F97A1}"/>
    <cellStyle name="Normal 2 4 5 3 6 3 3" xfId="23230" xr:uid="{251CB40F-E6E2-4554-8BA2-1FBCBD523EE9}"/>
    <cellStyle name="Normal 2 4 5 3 6 4" xfId="10577" xr:uid="{F6711FD2-32F5-437D-AB18-8EEB0ECB1F72}"/>
    <cellStyle name="Normal 2 4 5 3 6 5" xfId="19013" xr:uid="{E787D52B-F3CA-4D03-A8FB-268EBE07E620}"/>
    <cellStyle name="Normal 2 4 5 3 7" xfId="2482" xr:uid="{00000000-0005-0000-0000-0000AB100000}"/>
    <cellStyle name="Normal 2 4 5 3 7 2" xfId="6766" xr:uid="{00000000-0005-0000-0000-0000AC100000}"/>
    <cellStyle name="Normal 2 4 5 3 7 2 2" xfId="15208" xr:uid="{EAE117D9-E74F-4C79-9282-146FB66A12AC}"/>
    <cellStyle name="Normal 2 4 5 3 7 2 3" xfId="23643" xr:uid="{2DB83BC3-6C52-45EB-B40E-5D23A813C620}"/>
    <cellStyle name="Normal 2 4 5 3 7 3" xfId="10990" xr:uid="{09693A13-9505-4D6C-9B1B-BF22F6BDA8C1}"/>
    <cellStyle name="Normal 2 4 5 3 7 4" xfId="19426" xr:uid="{35BF89A8-E2C4-4CDB-A1B9-F9626BFED881}"/>
    <cellStyle name="Normal 2 4 5 3 8" xfId="4700" xr:uid="{00000000-0005-0000-0000-0000AD100000}"/>
    <cellStyle name="Normal 2 4 5 3 8 2" xfId="13142" xr:uid="{F18B35FC-90F7-4C60-8698-0D04FC9715E1}"/>
    <cellStyle name="Normal 2 4 5 3 8 3" xfId="21577" xr:uid="{36A43826-F4D1-4384-B1A2-C72E2E3EC82D}"/>
    <cellStyle name="Normal 2 4 5 3 9" xfId="8924" xr:uid="{13C347DB-4E70-40D0-88BF-4043B2C410A5}"/>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2 2 2" xfId="15703" xr:uid="{54283491-5C3E-4163-A0C8-A6B99EBF69EA}"/>
    <cellStyle name="Normal 2 4 5 4 2 2 2 3" xfId="24138" xr:uid="{2EC0C955-F9E7-4577-AA40-F8239400F3C7}"/>
    <cellStyle name="Normal 2 4 5 4 2 2 3" xfId="11485" xr:uid="{BC5DF8E1-4101-4F1F-9D46-CA087FAF389E}"/>
    <cellStyle name="Normal 2 4 5 4 2 2 4" xfId="19921" xr:uid="{482A1EFE-3889-415A-A01A-3F8745C1000D}"/>
    <cellStyle name="Normal 2 4 5 4 2 3" xfId="5116" xr:uid="{00000000-0005-0000-0000-0000B2100000}"/>
    <cellStyle name="Normal 2 4 5 4 2 3 2" xfId="13558" xr:uid="{30DB064E-F030-4428-AFBE-6A6011540829}"/>
    <cellStyle name="Normal 2 4 5 4 2 3 3" xfId="21993" xr:uid="{9794051C-3731-42AB-92AD-B3410989F18C}"/>
    <cellStyle name="Normal 2 4 5 4 2 4" xfId="9340" xr:uid="{A70F2783-69B9-4365-8433-3EAAC52EBCCC}"/>
    <cellStyle name="Normal 2 4 5 4 2 5" xfId="17776" xr:uid="{6F43849D-5D69-459C-8BA5-3C44EE120C1A}"/>
    <cellStyle name="Normal 2 4 5 4 3" xfId="1221" xr:uid="{00000000-0005-0000-0000-0000B3100000}"/>
    <cellStyle name="Normal 2 4 5 4 3 2" xfId="3451" xr:uid="{00000000-0005-0000-0000-0000B4100000}"/>
    <cellStyle name="Normal 2 4 5 4 3 2 2" xfId="7674" xr:uid="{00000000-0005-0000-0000-0000B5100000}"/>
    <cellStyle name="Normal 2 4 5 4 3 2 2 2" xfId="16116" xr:uid="{E39FCC39-1C53-41E3-8465-46367FC057E2}"/>
    <cellStyle name="Normal 2 4 5 4 3 2 2 3" xfId="24551" xr:uid="{C6282D55-02BA-4EB6-8E1A-670D1C11E162}"/>
    <cellStyle name="Normal 2 4 5 4 3 2 3" xfId="11898" xr:uid="{737C0725-2C66-4A5E-BFE8-BBF524442773}"/>
    <cellStyle name="Normal 2 4 5 4 3 2 4" xfId="20334" xr:uid="{6D80050D-E621-4479-8848-64A2FC2253D8}"/>
    <cellStyle name="Normal 2 4 5 4 3 3" xfId="5529" xr:uid="{00000000-0005-0000-0000-0000B6100000}"/>
    <cellStyle name="Normal 2 4 5 4 3 3 2" xfId="13971" xr:uid="{7FABAAE1-D72C-4619-A541-D0537C6060FD}"/>
    <cellStyle name="Normal 2 4 5 4 3 3 3" xfId="22406" xr:uid="{B52EB643-F2E5-4B8A-B90F-F2ED67914F41}"/>
    <cellStyle name="Normal 2 4 5 4 3 4" xfId="9753" xr:uid="{97134F30-AFAE-4E36-9C87-3EF50147D966}"/>
    <cellStyle name="Normal 2 4 5 4 3 5" xfId="18189" xr:uid="{F480B389-F968-48DD-A149-EDF1F95C443E}"/>
    <cellStyle name="Normal 2 4 5 4 4" xfId="1634" xr:uid="{00000000-0005-0000-0000-0000B7100000}"/>
    <cellStyle name="Normal 2 4 5 4 4 2" xfId="3864" xr:uid="{00000000-0005-0000-0000-0000B8100000}"/>
    <cellStyle name="Normal 2 4 5 4 4 2 2" xfId="8087" xr:uid="{00000000-0005-0000-0000-0000B9100000}"/>
    <cellStyle name="Normal 2 4 5 4 4 2 2 2" xfId="16529" xr:uid="{FA545DC3-BEBE-4701-A583-17960DE566D1}"/>
    <cellStyle name="Normal 2 4 5 4 4 2 2 3" xfId="24964" xr:uid="{8D5C8D5A-2183-489E-8B9E-9BA998A321AC}"/>
    <cellStyle name="Normal 2 4 5 4 4 2 3" xfId="12311" xr:uid="{1CA2A384-F1B5-4708-A09D-9089EB7C99D1}"/>
    <cellStyle name="Normal 2 4 5 4 4 2 4" xfId="20747" xr:uid="{0623BBEA-F6E4-439C-9625-C887F08FCB3A}"/>
    <cellStyle name="Normal 2 4 5 4 4 3" xfId="5942" xr:uid="{00000000-0005-0000-0000-0000BA100000}"/>
    <cellStyle name="Normal 2 4 5 4 4 3 2" xfId="14384" xr:uid="{15FED2D3-B5B9-4FAE-9927-375F8BA74B05}"/>
    <cellStyle name="Normal 2 4 5 4 4 3 3" xfId="22819" xr:uid="{4EDE32E8-23E2-4283-978A-384B73552272}"/>
    <cellStyle name="Normal 2 4 5 4 4 4" xfId="10166" xr:uid="{0DD97A5E-7296-4DFB-992E-9A07E53ACBD2}"/>
    <cellStyle name="Normal 2 4 5 4 4 5" xfId="18602" xr:uid="{5D11DD7B-A389-426F-8AB4-974BF45AB165}"/>
    <cellStyle name="Normal 2 4 5 4 5" xfId="2048" xr:uid="{00000000-0005-0000-0000-0000BB100000}"/>
    <cellStyle name="Normal 2 4 5 4 5 2" xfId="4277" xr:uid="{00000000-0005-0000-0000-0000BC100000}"/>
    <cellStyle name="Normal 2 4 5 4 5 2 2" xfId="8500" xr:uid="{00000000-0005-0000-0000-0000BD100000}"/>
    <cellStyle name="Normal 2 4 5 4 5 2 2 2" xfId="16942" xr:uid="{E7FB0116-80A9-45FD-9DB4-ECAF8FD94411}"/>
    <cellStyle name="Normal 2 4 5 4 5 2 2 3" xfId="25377" xr:uid="{724E7960-A1B3-46B3-860D-3504446F88E4}"/>
    <cellStyle name="Normal 2 4 5 4 5 2 3" xfId="12724" xr:uid="{5151AF1F-F291-4272-8182-0F22A51F2E04}"/>
    <cellStyle name="Normal 2 4 5 4 5 2 4" xfId="21160" xr:uid="{7CC731DF-004B-48E4-82DD-806CF4B026BA}"/>
    <cellStyle name="Normal 2 4 5 4 5 3" xfId="6355" xr:uid="{00000000-0005-0000-0000-0000BE100000}"/>
    <cellStyle name="Normal 2 4 5 4 5 3 2" xfId="14797" xr:uid="{A8211782-F29B-4201-AAD8-1E07A631209E}"/>
    <cellStyle name="Normal 2 4 5 4 5 3 3" xfId="23232" xr:uid="{CA578A83-2CE0-40D1-AED2-DE56F304A8D8}"/>
    <cellStyle name="Normal 2 4 5 4 5 4" xfId="10579" xr:uid="{98D5F407-D30B-41C7-B817-3D87E69B5303}"/>
    <cellStyle name="Normal 2 4 5 4 5 5" xfId="19015" xr:uid="{E43DF19C-DE9E-49D2-AD01-D0B4ECA2898E}"/>
    <cellStyle name="Normal 2 4 5 4 6" xfId="2484" xr:uid="{00000000-0005-0000-0000-0000BF100000}"/>
    <cellStyle name="Normal 2 4 5 4 6 2" xfId="6768" xr:uid="{00000000-0005-0000-0000-0000C0100000}"/>
    <cellStyle name="Normal 2 4 5 4 6 2 2" xfId="15210" xr:uid="{9CFA0A7E-7726-49B0-AF53-85D4180AC93F}"/>
    <cellStyle name="Normal 2 4 5 4 6 2 3" xfId="23645" xr:uid="{FF3CB99D-929F-4727-834E-7F35FBEC1D61}"/>
    <cellStyle name="Normal 2 4 5 4 6 3" xfId="10992" xr:uid="{450BBAAE-63EF-4CF7-A563-C776265AF764}"/>
    <cellStyle name="Normal 2 4 5 4 6 4" xfId="19428" xr:uid="{9F8F64A4-9F3C-4F07-9570-C1B91205FA63}"/>
    <cellStyle name="Normal 2 4 5 4 7" xfId="4702" xr:uid="{00000000-0005-0000-0000-0000C1100000}"/>
    <cellStyle name="Normal 2 4 5 4 7 2" xfId="13144" xr:uid="{18381477-B147-4140-9827-1DF0DFDC91FB}"/>
    <cellStyle name="Normal 2 4 5 4 7 3" xfId="21579" xr:uid="{2A7549D0-AEDE-4F06-880D-837CFC223D32}"/>
    <cellStyle name="Normal 2 4 5 4 8" xfId="8926" xr:uid="{6FF99A1E-184B-4EE0-9E58-CA124AD6A6BB}"/>
    <cellStyle name="Normal 2 4 5 4 9" xfId="17362" xr:uid="{1B90CE90-FF46-4B52-8B18-637C72ABEF01}"/>
    <cellStyle name="Normal 2 4 5 5" xfId="792" xr:uid="{00000000-0005-0000-0000-0000C2100000}"/>
    <cellStyle name="Normal 2 4 5 5 2" xfId="3031" xr:uid="{00000000-0005-0000-0000-0000C3100000}"/>
    <cellStyle name="Normal 2 4 5 5 2 2" xfId="7254" xr:uid="{00000000-0005-0000-0000-0000C4100000}"/>
    <cellStyle name="Normal 2 4 5 5 2 2 2" xfId="15696" xr:uid="{585C1221-D8C8-4BE6-AEC0-984149382A38}"/>
    <cellStyle name="Normal 2 4 5 5 2 2 3" xfId="24131" xr:uid="{C386BC7C-FA1A-44D9-ADF6-3686B57A89C9}"/>
    <cellStyle name="Normal 2 4 5 5 2 3" xfId="11478" xr:uid="{AAFF741A-97B2-484E-8BFD-99BE3EEA811A}"/>
    <cellStyle name="Normal 2 4 5 5 2 4" xfId="19914" xr:uid="{B6DB5E56-257B-4BD9-BDF5-997251D50904}"/>
    <cellStyle name="Normal 2 4 5 5 3" xfId="5109" xr:uid="{00000000-0005-0000-0000-0000C5100000}"/>
    <cellStyle name="Normal 2 4 5 5 3 2" xfId="13551" xr:uid="{8004CD4D-7FE3-45D4-8984-8E146EA326FC}"/>
    <cellStyle name="Normal 2 4 5 5 3 3" xfId="21986" xr:uid="{0B1E3F00-2AE7-4A14-9CE2-9EA4C09B5568}"/>
    <cellStyle name="Normal 2 4 5 5 4" xfId="9333" xr:uid="{282B93A0-AC6D-4E08-AADC-5D34AE9F9B8E}"/>
    <cellStyle name="Normal 2 4 5 5 5" xfId="17769" xr:uid="{A97A6F4B-330E-4D95-AE78-8E5F11AFAB37}"/>
    <cellStyle name="Normal 2 4 5 6" xfId="1214" xr:uid="{00000000-0005-0000-0000-0000C6100000}"/>
    <cellStyle name="Normal 2 4 5 6 2" xfId="3444" xr:uid="{00000000-0005-0000-0000-0000C7100000}"/>
    <cellStyle name="Normal 2 4 5 6 2 2" xfId="7667" xr:uid="{00000000-0005-0000-0000-0000C8100000}"/>
    <cellStyle name="Normal 2 4 5 6 2 2 2" xfId="16109" xr:uid="{883124A8-3652-4429-A503-A110B70A81FE}"/>
    <cellStyle name="Normal 2 4 5 6 2 2 3" xfId="24544" xr:uid="{E2C08C88-D517-47F8-AF00-3005F25207D4}"/>
    <cellStyle name="Normal 2 4 5 6 2 3" xfId="11891" xr:uid="{AA9C61C3-A560-43C1-9E02-25442B853EE7}"/>
    <cellStyle name="Normal 2 4 5 6 2 4" xfId="20327" xr:uid="{AEB7EB78-1892-4F65-9C93-02FF6FC38AC4}"/>
    <cellStyle name="Normal 2 4 5 6 3" xfId="5522" xr:uid="{00000000-0005-0000-0000-0000C9100000}"/>
    <cellStyle name="Normal 2 4 5 6 3 2" xfId="13964" xr:uid="{2588A661-B8DF-47E5-908F-01CE631A5871}"/>
    <cellStyle name="Normal 2 4 5 6 3 3" xfId="22399" xr:uid="{F800D0A1-5DAC-4DFA-BC95-D7F306E0A71E}"/>
    <cellStyle name="Normal 2 4 5 6 4" xfId="9746" xr:uid="{AE286F08-D850-4AEF-8965-83F0098993D6}"/>
    <cellStyle name="Normal 2 4 5 6 5" xfId="18182" xr:uid="{79468F93-50A5-420B-80A9-9D2E71249924}"/>
    <cellStyle name="Normal 2 4 5 7" xfId="1627" xr:uid="{00000000-0005-0000-0000-0000CA100000}"/>
    <cellStyle name="Normal 2 4 5 7 2" xfId="3857" xr:uid="{00000000-0005-0000-0000-0000CB100000}"/>
    <cellStyle name="Normal 2 4 5 7 2 2" xfId="8080" xr:uid="{00000000-0005-0000-0000-0000CC100000}"/>
    <cellStyle name="Normal 2 4 5 7 2 2 2" xfId="16522" xr:uid="{4B1BB1B3-E875-43FA-B5B9-E8FAA84E6233}"/>
    <cellStyle name="Normal 2 4 5 7 2 2 3" xfId="24957" xr:uid="{6F1C61B2-8ADA-4F3E-BD70-09E79788F4D6}"/>
    <cellStyle name="Normal 2 4 5 7 2 3" xfId="12304" xr:uid="{B463D474-FD2A-4B1D-AA06-C41947098138}"/>
    <cellStyle name="Normal 2 4 5 7 2 4" xfId="20740" xr:uid="{ADA606F5-5D4B-4CB0-A5E9-421131DAB485}"/>
    <cellStyle name="Normal 2 4 5 7 3" xfId="5935" xr:uid="{00000000-0005-0000-0000-0000CD100000}"/>
    <cellStyle name="Normal 2 4 5 7 3 2" xfId="14377" xr:uid="{11347051-A726-4AF5-B97F-C7C4F79DE19B}"/>
    <cellStyle name="Normal 2 4 5 7 3 3" xfId="22812" xr:uid="{CE6F6B73-4FEB-4F4B-93C5-238DFAB9D841}"/>
    <cellStyle name="Normal 2 4 5 7 4" xfId="10159" xr:uid="{FA70C732-310D-481A-A6FF-B974F16585D3}"/>
    <cellStyle name="Normal 2 4 5 7 5" xfId="18595" xr:uid="{4D68ED9C-8ACE-40ED-A1B4-5EA54B629767}"/>
    <cellStyle name="Normal 2 4 5 8" xfId="2041" xr:uid="{00000000-0005-0000-0000-0000CE100000}"/>
    <cellStyle name="Normal 2 4 5 8 2" xfId="4270" xr:uid="{00000000-0005-0000-0000-0000CF100000}"/>
    <cellStyle name="Normal 2 4 5 8 2 2" xfId="8493" xr:uid="{00000000-0005-0000-0000-0000D0100000}"/>
    <cellStyle name="Normal 2 4 5 8 2 2 2" xfId="16935" xr:uid="{886EDAF9-1D49-42DA-A513-DD39322B0F2E}"/>
    <cellStyle name="Normal 2 4 5 8 2 2 3" xfId="25370" xr:uid="{735B9534-3E86-4388-A8E1-6EAE648F67D6}"/>
    <cellStyle name="Normal 2 4 5 8 2 3" xfId="12717" xr:uid="{F0C78507-D2C5-44BD-AFEC-57DB167673EE}"/>
    <cellStyle name="Normal 2 4 5 8 2 4" xfId="21153" xr:uid="{9742C4CA-B317-434E-B1AF-D56EED9A1E23}"/>
    <cellStyle name="Normal 2 4 5 8 3" xfId="6348" xr:uid="{00000000-0005-0000-0000-0000D1100000}"/>
    <cellStyle name="Normal 2 4 5 8 3 2" xfId="14790" xr:uid="{335012EA-E490-4C3A-B16B-01F0A3C87272}"/>
    <cellStyle name="Normal 2 4 5 8 3 3" xfId="23225" xr:uid="{15A71AAC-46C0-4959-97EF-44D7AA5603A4}"/>
    <cellStyle name="Normal 2 4 5 8 4" xfId="10572" xr:uid="{4A39505A-5108-49C8-9B5E-890EDFA9BB13}"/>
    <cellStyle name="Normal 2 4 5 8 5" xfId="19008" xr:uid="{A9219C41-7A2E-428D-BA02-CA97AAEA213C}"/>
    <cellStyle name="Normal 2 4 5 9" xfId="2477" xr:uid="{00000000-0005-0000-0000-0000D2100000}"/>
    <cellStyle name="Normal 2 4 5 9 2" xfId="6761" xr:uid="{00000000-0005-0000-0000-0000D3100000}"/>
    <cellStyle name="Normal 2 4 5 9 2 2" xfId="15203" xr:uid="{C16A9530-8809-42BC-9B30-E0A533738006}"/>
    <cellStyle name="Normal 2 4 5 9 2 3" xfId="23638" xr:uid="{CD5F25D0-D6FC-4C2B-AF99-5FAE63D4F4E0}"/>
    <cellStyle name="Normal 2 4 5 9 3" xfId="10985" xr:uid="{77AC3F2A-7708-4CE8-A539-6B9103F0BC8F}"/>
    <cellStyle name="Normal 2 4 5 9 4" xfId="19421" xr:uid="{359669BF-42ED-4D92-A23D-99D09F86322F}"/>
    <cellStyle name="Normal 2 4 6" xfId="311" xr:uid="{00000000-0005-0000-0000-0000D4100000}"/>
    <cellStyle name="Normal 2 4 7" xfId="312" xr:uid="{00000000-0005-0000-0000-0000D5100000}"/>
    <cellStyle name="Normal 2 4 7 10" xfId="17363" xr:uid="{404AF643-B5AB-4F3E-9515-9FC1AAB7E65D}"/>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2 2 2" xfId="15705" xr:uid="{A90C4A42-970B-4A36-872B-D87C812F9EBF}"/>
    <cellStyle name="Normal 2 4 7 2 2 2 2 3" xfId="24140" xr:uid="{1010D2B2-02B0-48AA-8A52-443ABD70E710}"/>
    <cellStyle name="Normal 2 4 7 2 2 2 3" xfId="11487" xr:uid="{58C3E5BD-AFDF-4443-999B-FF1B59BB474F}"/>
    <cellStyle name="Normal 2 4 7 2 2 2 4" xfId="19923" xr:uid="{FA9B54A0-AC5C-4FB4-915F-E92158880991}"/>
    <cellStyle name="Normal 2 4 7 2 2 3" xfId="5118" xr:uid="{00000000-0005-0000-0000-0000DA100000}"/>
    <cellStyle name="Normal 2 4 7 2 2 3 2" xfId="13560" xr:uid="{CE8410D3-B335-41CC-AB14-E5B02BDE75BF}"/>
    <cellStyle name="Normal 2 4 7 2 2 3 3" xfId="21995" xr:uid="{40FD5EDD-3678-4211-A890-94EF8E8547DC}"/>
    <cellStyle name="Normal 2 4 7 2 2 4" xfId="9342" xr:uid="{1A4BF4B4-AFF1-400F-8938-08961F4CF56A}"/>
    <cellStyle name="Normal 2 4 7 2 2 5" xfId="17778" xr:uid="{C272532A-580B-4110-8283-9454D568C9F4}"/>
    <cellStyle name="Normal 2 4 7 2 3" xfId="1223" xr:uid="{00000000-0005-0000-0000-0000DB100000}"/>
    <cellStyle name="Normal 2 4 7 2 3 2" xfId="3453" xr:uid="{00000000-0005-0000-0000-0000DC100000}"/>
    <cellStyle name="Normal 2 4 7 2 3 2 2" xfId="7676" xr:uid="{00000000-0005-0000-0000-0000DD100000}"/>
    <cellStyle name="Normal 2 4 7 2 3 2 2 2" xfId="16118" xr:uid="{3CEED612-C295-45F4-92B4-FD6105CB7237}"/>
    <cellStyle name="Normal 2 4 7 2 3 2 2 3" xfId="24553" xr:uid="{43E1C944-8E26-4563-A173-59F7983C0C05}"/>
    <cellStyle name="Normal 2 4 7 2 3 2 3" xfId="11900" xr:uid="{42F80571-31C9-4E6E-B114-0FCD24810ED6}"/>
    <cellStyle name="Normal 2 4 7 2 3 2 4" xfId="20336" xr:uid="{3DB0A69B-B248-4A7A-BE8E-604766361928}"/>
    <cellStyle name="Normal 2 4 7 2 3 3" xfId="5531" xr:uid="{00000000-0005-0000-0000-0000DE100000}"/>
    <cellStyle name="Normal 2 4 7 2 3 3 2" xfId="13973" xr:uid="{7A36992F-3DCD-4992-A9A5-23A73D43B0AF}"/>
    <cellStyle name="Normal 2 4 7 2 3 3 3" xfId="22408" xr:uid="{7184B95C-57E8-42D0-967F-B2F4451A50ED}"/>
    <cellStyle name="Normal 2 4 7 2 3 4" xfId="9755" xr:uid="{07B1AD79-74F7-443E-A222-975625249241}"/>
    <cellStyle name="Normal 2 4 7 2 3 5" xfId="18191" xr:uid="{47514E0F-93C7-47F6-8832-0D018957918A}"/>
    <cellStyle name="Normal 2 4 7 2 4" xfId="1636" xr:uid="{00000000-0005-0000-0000-0000DF100000}"/>
    <cellStyle name="Normal 2 4 7 2 4 2" xfId="3866" xr:uid="{00000000-0005-0000-0000-0000E0100000}"/>
    <cellStyle name="Normal 2 4 7 2 4 2 2" xfId="8089" xr:uid="{00000000-0005-0000-0000-0000E1100000}"/>
    <cellStyle name="Normal 2 4 7 2 4 2 2 2" xfId="16531" xr:uid="{C0398CB6-B67E-4CD9-8A9C-036D12D1D5F2}"/>
    <cellStyle name="Normal 2 4 7 2 4 2 2 3" xfId="24966" xr:uid="{236BA7E2-CC2C-4E39-AA6F-73E74A09A30F}"/>
    <cellStyle name="Normal 2 4 7 2 4 2 3" xfId="12313" xr:uid="{2BBE1D9C-2D64-46E1-92C2-8C6B2F501F94}"/>
    <cellStyle name="Normal 2 4 7 2 4 2 4" xfId="20749" xr:uid="{4FB6071D-8C98-428D-B9EE-12FED8B24273}"/>
    <cellStyle name="Normal 2 4 7 2 4 3" xfId="5944" xr:uid="{00000000-0005-0000-0000-0000E2100000}"/>
    <cellStyle name="Normal 2 4 7 2 4 3 2" xfId="14386" xr:uid="{BB9D8613-46D9-4403-8757-FFCB173901A4}"/>
    <cellStyle name="Normal 2 4 7 2 4 3 3" xfId="22821" xr:uid="{048EE3BE-94F8-497A-A667-7F6BA75BD124}"/>
    <cellStyle name="Normal 2 4 7 2 4 4" xfId="10168" xr:uid="{36E15079-BE4A-4597-AF4C-F765A9C98E62}"/>
    <cellStyle name="Normal 2 4 7 2 4 5" xfId="18604" xr:uid="{54F6343B-B3E9-4217-B14D-6D782377D3F3}"/>
    <cellStyle name="Normal 2 4 7 2 5" xfId="2050" xr:uid="{00000000-0005-0000-0000-0000E3100000}"/>
    <cellStyle name="Normal 2 4 7 2 5 2" xfId="4279" xr:uid="{00000000-0005-0000-0000-0000E4100000}"/>
    <cellStyle name="Normal 2 4 7 2 5 2 2" xfId="8502" xr:uid="{00000000-0005-0000-0000-0000E5100000}"/>
    <cellStyle name="Normal 2 4 7 2 5 2 2 2" xfId="16944" xr:uid="{CDACA0BC-D67C-4BC9-A0C2-F6A5E950C8F8}"/>
    <cellStyle name="Normal 2 4 7 2 5 2 2 3" xfId="25379" xr:uid="{0A60EA06-9A48-4AAC-B2F2-7F07788B4DCB}"/>
    <cellStyle name="Normal 2 4 7 2 5 2 3" xfId="12726" xr:uid="{7BB3CA4E-E298-4A1A-AFAD-0425CECFB50D}"/>
    <cellStyle name="Normal 2 4 7 2 5 2 4" xfId="21162" xr:uid="{ACD259F7-C5E8-44B0-BCE6-EEF61FDA7428}"/>
    <cellStyle name="Normal 2 4 7 2 5 3" xfId="6357" xr:uid="{00000000-0005-0000-0000-0000E6100000}"/>
    <cellStyle name="Normal 2 4 7 2 5 3 2" xfId="14799" xr:uid="{90C1C27F-19FD-42DB-AA86-CDB9B03087A6}"/>
    <cellStyle name="Normal 2 4 7 2 5 3 3" xfId="23234" xr:uid="{5FD46F31-F7DA-4416-B993-A8C82529D2BB}"/>
    <cellStyle name="Normal 2 4 7 2 5 4" xfId="10581" xr:uid="{ADAE0788-FE30-48DF-BE7C-23A516DB09D4}"/>
    <cellStyle name="Normal 2 4 7 2 5 5" xfId="19017" xr:uid="{0778F5C4-E797-4A9A-8E4F-797FB0B03790}"/>
    <cellStyle name="Normal 2 4 7 2 6" xfId="2486" xr:uid="{00000000-0005-0000-0000-0000E7100000}"/>
    <cellStyle name="Normal 2 4 7 2 6 2" xfId="6770" xr:uid="{00000000-0005-0000-0000-0000E8100000}"/>
    <cellStyle name="Normal 2 4 7 2 6 2 2" xfId="15212" xr:uid="{C516F4EB-5978-44E0-8F1F-C4673EFDD934}"/>
    <cellStyle name="Normal 2 4 7 2 6 2 3" xfId="23647" xr:uid="{C2BFEF3C-4A7F-478B-99AC-6F03A3947CE7}"/>
    <cellStyle name="Normal 2 4 7 2 6 3" xfId="10994" xr:uid="{5DEACA47-02B7-40CE-9D8F-ED73BA2CD8DD}"/>
    <cellStyle name="Normal 2 4 7 2 6 4" xfId="19430" xr:uid="{6004F459-CADC-4AD3-BD76-AB5A19D53EED}"/>
    <cellStyle name="Normal 2 4 7 2 7" xfId="4704" xr:uid="{00000000-0005-0000-0000-0000E9100000}"/>
    <cellStyle name="Normal 2 4 7 2 7 2" xfId="13146" xr:uid="{7F4D45C2-2C20-42D4-A47A-309815569C72}"/>
    <cellStyle name="Normal 2 4 7 2 7 3" xfId="21581" xr:uid="{8BA72A6F-4D09-45EF-9484-A7B8B20F8088}"/>
    <cellStyle name="Normal 2 4 7 2 8" xfId="8928" xr:uid="{440858DE-C236-4AF5-A164-07535635C3C9}"/>
    <cellStyle name="Normal 2 4 7 2 9" xfId="17364" xr:uid="{FB384CF4-56E2-40B8-8994-90CD748D57C4}"/>
    <cellStyle name="Normal 2 4 7 3" xfId="800" xr:uid="{00000000-0005-0000-0000-0000EA100000}"/>
    <cellStyle name="Normal 2 4 7 3 2" xfId="3039" xr:uid="{00000000-0005-0000-0000-0000EB100000}"/>
    <cellStyle name="Normal 2 4 7 3 2 2" xfId="7262" xr:uid="{00000000-0005-0000-0000-0000EC100000}"/>
    <cellStyle name="Normal 2 4 7 3 2 2 2" xfId="15704" xr:uid="{C83A7BB2-7389-4631-8980-6F363257A722}"/>
    <cellStyle name="Normal 2 4 7 3 2 2 3" xfId="24139" xr:uid="{0E5FAF3C-84B4-4D34-8362-4200254E7DB0}"/>
    <cellStyle name="Normal 2 4 7 3 2 3" xfId="11486" xr:uid="{1DF19BA6-174A-4D4C-A881-96D0A0D3B03F}"/>
    <cellStyle name="Normal 2 4 7 3 2 4" xfId="19922" xr:uid="{E93D781E-A80C-408A-B441-71B405BB55BA}"/>
    <cellStyle name="Normal 2 4 7 3 3" xfId="5117" xr:uid="{00000000-0005-0000-0000-0000ED100000}"/>
    <cellStyle name="Normal 2 4 7 3 3 2" xfId="13559" xr:uid="{4504CC74-C0E0-4B4C-AB01-6F9785D1A7D3}"/>
    <cellStyle name="Normal 2 4 7 3 3 3" xfId="21994" xr:uid="{65DC22DD-9816-49BC-B12F-E941F19B36FD}"/>
    <cellStyle name="Normal 2 4 7 3 4" xfId="9341" xr:uid="{C180A73C-A298-4C86-ABB9-29B9586E8372}"/>
    <cellStyle name="Normal 2 4 7 3 5" xfId="17777" xr:uid="{39CA3B34-AA89-4D0E-8E9D-80F198A5920E}"/>
    <cellStyle name="Normal 2 4 7 4" xfId="1222" xr:uid="{00000000-0005-0000-0000-0000EE100000}"/>
    <cellStyle name="Normal 2 4 7 4 2" xfId="3452" xr:uid="{00000000-0005-0000-0000-0000EF100000}"/>
    <cellStyle name="Normal 2 4 7 4 2 2" xfId="7675" xr:uid="{00000000-0005-0000-0000-0000F0100000}"/>
    <cellStyle name="Normal 2 4 7 4 2 2 2" xfId="16117" xr:uid="{6928F13D-85DB-4E0E-936E-1FCCAE93EE6F}"/>
    <cellStyle name="Normal 2 4 7 4 2 2 3" xfId="24552" xr:uid="{F5A59D93-225C-439C-84F8-136CEDFA9221}"/>
    <cellStyle name="Normal 2 4 7 4 2 3" xfId="11899" xr:uid="{A5A93CFA-157F-4985-947F-01686C56A52A}"/>
    <cellStyle name="Normal 2 4 7 4 2 4" xfId="20335" xr:uid="{998AA90C-6A9D-47C8-BDE8-67E2BBEC7271}"/>
    <cellStyle name="Normal 2 4 7 4 3" xfId="5530" xr:uid="{00000000-0005-0000-0000-0000F1100000}"/>
    <cellStyle name="Normal 2 4 7 4 3 2" xfId="13972" xr:uid="{9125E365-6D0A-4517-8ACB-8845475CFCBA}"/>
    <cellStyle name="Normal 2 4 7 4 3 3" xfId="22407" xr:uid="{52E5481C-84ED-4035-B997-7E0C5453A892}"/>
    <cellStyle name="Normal 2 4 7 4 4" xfId="9754" xr:uid="{8BBE4CC0-33E5-4FB2-A9D1-56CBCCAEFFCB}"/>
    <cellStyle name="Normal 2 4 7 4 5" xfId="18190" xr:uid="{7A44BD1B-76F3-4E7F-AEE6-BB498E43EA34}"/>
    <cellStyle name="Normal 2 4 7 5" xfId="1635" xr:uid="{00000000-0005-0000-0000-0000F2100000}"/>
    <cellStyle name="Normal 2 4 7 5 2" xfId="3865" xr:uid="{00000000-0005-0000-0000-0000F3100000}"/>
    <cellStyle name="Normal 2 4 7 5 2 2" xfId="8088" xr:uid="{00000000-0005-0000-0000-0000F4100000}"/>
    <cellStyle name="Normal 2 4 7 5 2 2 2" xfId="16530" xr:uid="{705AA941-1E72-46E6-A14F-8987CC426236}"/>
    <cellStyle name="Normal 2 4 7 5 2 2 3" xfId="24965" xr:uid="{3572A8BF-FE9D-4031-AC82-2D83356E0CD7}"/>
    <cellStyle name="Normal 2 4 7 5 2 3" xfId="12312" xr:uid="{F08807BF-FBDF-45DD-843A-A32EFE1528F6}"/>
    <cellStyle name="Normal 2 4 7 5 2 4" xfId="20748" xr:uid="{5D3572DA-0EE9-4C56-9E8A-2D47B8695411}"/>
    <cellStyle name="Normal 2 4 7 5 3" xfId="5943" xr:uid="{00000000-0005-0000-0000-0000F5100000}"/>
    <cellStyle name="Normal 2 4 7 5 3 2" xfId="14385" xr:uid="{2F2B8B02-1FE0-46A6-AC2C-088855F43EB7}"/>
    <cellStyle name="Normal 2 4 7 5 3 3" xfId="22820" xr:uid="{A69DFB60-A2D0-4E22-9D6C-3552C699B06A}"/>
    <cellStyle name="Normal 2 4 7 5 4" xfId="10167" xr:uid="{A629D01C-CD8B-442D-B2E9-3D27C747AE17}"/>
    <cellStyle name="Normal 2 4 7 5 5" xfId="18603" xr:uid="{95FC0015-364F-4460-9E21-1FA6875DD116}"/>
    <cellStyle name="Normal 2 4 7 6" xfId="2049" xr:uid="{00000000-0005-0000-0000-0000F6100000}"/>
    <cellStyle name="Normal 2 4 7 6 2" xfId="4278" xr:uid="{00000000-0005-0000-0000-0000F7100000}"/>
    <cellStyle name="Normal 2 4 7 6 2 2" xfId="8501" xr:uid="{00000000-0005-0000-0000-0000F8100000}"/>
    <cellStyle name="Normal 2 4 7 6 2 2 2" xfId="16943" xr:uid="{C6E243BA-1002-447A-B11A-3C9CA8532338}"/>
    <cellStyle name="Normal 2 4 7 6 2 2 3" xfId="25378" xr:uid="{A378E919-FEDF-479C-9209-6FE292C85849}"/>
    <cellStyle name="Normal 2 4 7 6 2 3" xfId="12725" xr:uid="{EF2388DA-8378-4A77-874A-1DE9CD6223F8}"/>
    <cellStyle name="Normal 2 4 7 6 2 4" xfId="21161" xr:uid="{21AF6D4A-9B9E-4533-A327-BE9630354ABA}"/>
    <cellStyle name="Normal 2 4 7 6 3" xfId="6356" xr:uid="{00000000-0005-0000-0000-0000F9100000}"/>
    <cellStyle name="Normal 2 4 7 6 3 2" xfId="14798" xr:uid="{4B96B461-F926-426B-91AF-6A9F31CBEBAD}"/>
    <cellStyle name="Normal 2 4 7 6 3 3" xfId="23233" xr:uid="{AFBA6076-FB37-43D4-BDAD-CE411AF1762D}"/>
    <cellStyle name="Normal 2 4 7 6 4" xfId="10580" xr:uid="{CAC50ABD-0A69-4BDA-9072-DF0E6278D611}"/>
    <cellStyle name="Normal 2 4 7 6 5" xfId="19016" xr:uid="{F22389CC-8ADC-4BF4-B2AA-680AACDB174B}"/>
    <cellStyle name="Normal 2 4 7 7" xfId="2485" xr:uid="{00000000-0005-0000-0000-0000FA100000}"/>
    <cellStyle name="Normal 2 4 7 7 2" xfId="6769" xr:uid="{00000000-0005-0000-0000-0000FB100000}"/>
    <cellStyle name="Normal 2 4 7 7 2 2" xfId="15211" xr:uid="{6A2736FA-3CE2-47D8-909A-6E99553376C1}"/>
    <cellStyle name="Normal 2 4 7 7 2 3" xfId="23646" xr:uid="{964A3793-6EAA-4B5D-B3B5-BB099169C294}"/>
    <cellStyle name="Normal 2 4 7 7 3" xfId="10993" xr:uid="{6E3E25A7-6CA8-486F-A7A1-2DF775664A2C}"/>
    <cellStyle name="Normal 2 4 7 7 4" xfId="19429" xr:uid="{4AEAF7E0-7905-4C55-B75C-4A7E2424CA3F}"/>
    <cellStyle name="Normal 2 4 7 8" xfId="4703" xr:uid="{00000000-0005-0000-0000-0000FC100000}"/>
    <cellStyle name="Normal 2 4 7 8 2" xfId="13145" xr:uid="{C824A88F-E06B-496F-8CB6-99D6D273FD8F}"/>
    <cellStyle name="Normal 2 4 7 8 3" xfId="21580" xr:uid="{774E02DA-B0EA-4A22-82EC-9C31C44B722C}"/>
    <cellStyle name="Normal 2 4 7 9" xfId="8927" xr:uid="{79E6A944-D61A-4710-82E4-0FC376ABE42E}"/>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2 2 2" xfId="15706" xr:uid="{1EE1F1C4-9FFE-4B28-ADD7-6DC8D1CB47F1}"/>
    <cellStyle name="Normal 2 4 8 2 2 2 3" xfId="24141" xr:uid="{33A9956F-D0FE-46B9-A9EA-4408E81D34FB}"/>
    <cellStyle name="Normal 2 4 8 2 2 3" xfId="11488" xr:uid="{9BB328CD-8506-4168-875B-550C41261B89}"/>
    <cellStyle name="Normal 2 4 8 2 2 4" xfId="19924" xr:uid="{A32DD18A-6C79-486C-887C-4EF886658481}"/>
    <cellStyle name="Normal 2 4 8 2 3" xfId="5119" xr:uid="{00000000-0005-0000-0000-000001110000}"/>
    <cellStyle name="Normal 2 4 8 2 3 2" xfId="13561" xr:uid="{56891BC8-3C06-4793-9192-A1D0628E0210}"/>
    <cellStyle name="Normal 2 4 8 2 3 3" xfId="21996" xr:uid="{5535700A-4AE9-41EE-8E06-34D94CF40C4B}"/>
    <cellStyle name="Normal 2 4 8 2 4" xfId="9343" xr:uid="{D9C600AE-DB10-4CD3-A3C8-DB9F2FDE6FAD}"/>
    <cellStyle name="Normal 2 4 8 2 5" xfId="17779" xr:uid="{8A84BAA0-D63B-459E-A6A0-CC453442BB57}"/>
    <cellStyle name="Normal 2 4 8 3" xfId="1224" xr:uid="{00000000-0005-0000-0000-000002110000}"/>
    <cellStyle name="Normal 2 4 8 3 2" xfId="3454" xr:uid="{00000000-0005-0000-0000-000003110000}"/>
    <cellStyle name="Normal 2 4 8 3 2 2" xfId="7677" xr:uid="{00000000-0005-0000-0000-000004110000}"/>
    <cellStyle name="Normal 2 4 8 3 2 2 2" xfId="16119" xr:uid="{FA79F54F-37E6-4D57-969E-B977329F92CA}"/>
    <cellStyle name="Normal 2 4 8 3 2 2 3" xfId="24554" xr:uid="{32B9455E-4C3E-402B-BB2F-D056D33E0B74}"/>
    <cellStyle name="Normal 2 4 8 3 2 3" xfId="11901" xr:uid="{EE4F74B2-8D3C-4082-BC49-4D8C684BD9DD}"/>
    <cellStyle name="Normal 2 4 8 3 2 4" xfId="20337" xr:uid="{7AF96028-09E6-4D94-B03B-BD0B256E7E99}"/>
    <cellStyle name="Normal 2 4 8 3 3" xfId="5532" xr:uid="{00000000-0005-0000-0000-000005110000}"/>
    <cellStyle name="Normal 2 4 8 3 3 2" xfId="13974" xr:uid="{37A0A8C6-0650-4A9D-B1E3-A3805F24D153}"/>
    <cellStyle name="Normal 2 4 8 3 3 3" xfId="22409" xr:uid="{D48525F9-9E42-4AB4-A7C4-51D355A2CCE3}"/>
    <cellStyle name="Normal 2 4 8 3 4" xfId="9756" xr:uid="{3A80E57B-6BA0-40C8-A2DB-ECCE46526071}"/>
    <cellStyle name="Normal 2 4 8 3 5" xfId="18192" xr:uid="{618557A4-2DD8-4F62-8E98-C9D35149B9D0}"/>
    <cellStyle name="Normal 2 4 8 4" xfId="1637" xr:uid="{00000000-0005-0000-0000-000006110000}"/>
    <cellStyle name="Normal 2 4 8 4 2" xfId="3867" xr:uid="{00000000-0005-0000-0000-000007110000}"/>
    <cellStyle name="Normal 2 4 8 4 2 2" xfId="8090" xr:uid="{00000000-0005-0000-0000-000008110000}"/>
    <cellStyle name="Normal 2 4 8 4 2 2 2" xfId="16532" xr:uid="{E1C671BF-717B-45EF-9457-18109596D492}"/>
    <cellStyle name="Normal 2 4 8 4 2 2 3" xfId="24967" xr:uid="{573F4A33-1DB4-4FE5-AD38-295692747758}"/>
    <cellStyle name="Normal 2 4 8 4 2 3" xfId="12314" xr:uid="{7EF57498-E5DE-4AF7-8ADC-2706B2041B8C}"/>
    <cellStyle name="Normal 2 4 8 4 2 4" xfId="20750" xr:uid="{12D499E0-0227-4E69-BF85-D15FD7ECC9E3}"/>
    <cellStyle name="Normal 2 4 8 4 3" xfId="5945" xr:uid="{00000000-0005-0000-0000-000009110000}"/>
    <cellStyle name="Normal 2 4 8 4 3 2" xfId="14387" xr:uid="{27D20C1F-844B-49D2-BDDD-496C20D1414E}"/>
    <cellStyle name="Normal 2 4 8 4 3 3" xfId="22822" xr:uid="{FE9AF62F-BD7F-48CA-80AE-66C750046299}"/>
    <cellStyle name="Normal 2 4 8 4 4" xfId="10169" xr:uid="{DF572903-F083-40A8-A02C-8041C3D44785}"/>
    <cellStyle name="Normal 2 4 8 4 5" xfId="18605" xr:uid="{13437E39-20F8-414F-902C-47CA690BB7EA}"/>
    <cellStyle name="Normal 2 4 8 5" xfId="2051" xr:uid="{00000000-0005-0000-0000-00000A110000}"/>
    <cellStyle name="Normal 2 4 8 5 2" xfId="4280" xr:uid="{00000000-0005-0000-0000-00000B110000}"/>
    <cellStyle name="Normal 2 4 8 5 2 2" xfId="8503" xr:uid="{00000000-0005-0000-0000-00000C110000}"/>
    <cellStyle name="Normal 2 4 8 5 2 2 2" xfId="16945" xr:uid="{43B06D98-4D23-4817-8C60-003613FE8272}"/>
    <cellStyle name="Normal 2 4 8 5 2 2 3" xfId="25380" xr:uid="{E9C35143-288D-4E2A-8CAD-D3BC2C29731C}"/>
    <cellStyle name="Normal 2 4 8 5 2 3" xfId="12727" xr:uid="{9700BFF4-5B02-494F-9494-A1CFB2335F63}"/>
    <cellStyle name="Normal 2 4 8 5 2 4" xfId="21163" xr:uid="{6A2C4486-FD71-4423-85EF-3854D92B56BC}"/>
    <cellStyle name="Normal 2 4 8 5 3" xfId="6358" xr:uid="{00000000-0005-0000-0000-00000D110000}"/>
    <cellStyle name="Normal 2 4 8 5 3 2" xfId="14800" xr:uid="{20A5387D-470A-4C7A-92DB-92DEF3A21A28}"/>
    <cellStyle name="Normal 2 4 8 5 3 3" xfId="23235" xr:uid="{0AEFF849-8547-4A27-9552-D3666B967C8B}"/>
    <cellStyle name="Normal 2 4 8 5 4" xfId="10582" xr:uid="{96210711-E371-4EBF-9157-DAEBF8FD1C0E}"/>
    <cellStyle name="Normal 2 4 8 5 5" xfId="19018" xr:uid="{86CDCC22-0539-4861-A7F2-EE226374F53C}"/>
    <cellStyle name="Normal 2 4 8 6" xfId="2487" xr:uid="{00000000-0005-0000-0000-00000E110000}"/>
    <cellStyle name="Normal 2 4 8 6 2" xfId="6771" xr:uid="{00000000-0005-0000-0000-00000F110000}"/>
    <cellStyle name="Normal 2 4 8 6 2 2" xfId="15213" xr:uid="{377CAB92-046F-425B-B727-B68C3F5585B7}"/>
    <cellStyle name="Normal 2 4 8 6 2 3" xfId="23648" xr:uid="{9BED9A95-FC69-4D12-85D2-2193A558DC13}"/>
    <cellStyle name="Normal 2 4 8 6 3" xfId="10995" xr:uid="{873ED176-3D53-4474-AF8A-153F65748342}"/>
    <cellStyle name="Normal 2 4 8 6 4" xfId="19431" xr:uid="{0A16A8B8-148B-45F1-B48C-57E82326C3D6}"/>
    <cellStyle name="Normal 2 4 8 7" xfId="4705" xr:uid="{00000000-0005-0000-0000-000010110000}"/>
    <cellStyle name="Normal 2 4 8 7 2" xfId="13147" xr:uid="{CE1288A8-AFBB-4A86-8FF8-7ECE23EB6B55}"/>
    <cellStyle name="Normal 2 4 8 7 3" xfId="21582" xr:uid="{E3DB0F57-218C-4394-BC85-7240ABF2683F}"/>
    <cellStyle name="Normal 2 4 8 8" xfId="8929" xr:uid="{82F1EF51-CE64-4D47-9BBD-2A2E1DF3BCFA}"/>
    <cellStyle name="Normal 2 4 8 9" xfId="17365" xr:uid="{7C31A251-0090-4949-90BA-E8045DB13DCD}"/>
    <cellStyle name="Normal 2 5" xfId="315" xr:uid="{00000000-0005-0000-0000-000011110000}"/>
    <cellStyle name="Normal 2 5 10" xfId="4706" xr:uid="{00000000-0005-0000-0000-000012110000}"/>
    <cellStyle name="Normal 2 5 10 2" xfId="13148" xr:uid="{10BEC03E-0B7E-441C-869F-D3FC647F81B4}"/>
    <cellStyle name="Normal 2 5 10 3" xfId="21583" xr:uid="{421C0E5C-B50E-43F3-8FF3-ECF697C534FD}"/>
    <cellStyle name="Normal 2 5 11" xfId="8930" xr:uid="{770AA17D-FEB2-42C9-B4A3-A44801C90BF5}"/>
    <cellStyle name="Normal 2 5 12" xfId="17366" xr:uid="{535C7A1D-28F9-47B4-A0AA-7E506DC269B4}"/>
    <cellStyle name="Normal 2 5 2" xfId="316" xr:uid="{00000000-0005-0000-0000-000013110000}"/>
    <cellStyle name="Normal 2 5 3" xfId="317" xr:uid="{00000000-0005-0000-0000-000014110000}"/>
    <cellStyle name="Normal 2 5 4" xfId="318" xr:uid="{00000000-0005-0000-0000-000015110000}"/>
    <cellStyle name="Normal 2 5 4 10" xfId="8931" xr:uid="{C17E642D-2EE2-4DAB-91A5-D961095F45F1}"/>
    <cellStyle name="Normal 2 5 4 11" xfId="17367" xr:uid="{046A279F-1269-4358-9EA0-247C00C743C9}"/>
    <cellStyle name="Normal 2 5 4 2" xfId="319" xr:uid="{00000000-0005-0000-0000-000016110000}"/>
    <cellStyle name="Normal 2 5 4 2 10" xfId="17368" xr:uid="{8328A582-F090-4BE1-A59B-6926CBFF33B4}"/>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2 2 2" xfId="15710" xr:uid="{21247E23-5A22-40CB-867E-43C10104AF1F}"/>
    <cellStyle name="Normal 2 5 4 2 2 2 2 2 3" xfId="24145" xr:uid="{5715C62F-44E0-46EC-9651-45D2F4925F4E}"/>
    <cellStyle name="Normal 2 5 4 2 2 2 2 3" xfId="11492" xr:uid="{4DBEDB94-AE75-44B5-A061-25F8060E42D0}"/>
    <cellStyle name="Normal 2 5 4 2 2 2 2 4" xfId="19928" xr:uid="{F4BC5B4F-2A4C-4C10-AEF0-53670071BF3F}"/>
    <cellStyle name="Normal 2 5 4 2 2 2 3" xfId="5123" xr:uid="{00000000-0005-0000-0000-00001B110000}"/>
    <cellStyle name="Normal 2 5 4 2 2 2 3 2" xfId="13565" xr:uid="{B9DA6D29-E246-455E-8BC3-498E9DBBCD3C}"/>
    <cellStyle name="Normal 2 5 4 2 2 2 3 3" xfId="22000" xr:uid="{7DB7F9C2-E896-409C-86AD-6B10F6AE31CE}"/>
    <cellStyle name="Normal 2 5 4 2 2 2 4" xfId="9347" xr:uid="{39FB9CAE-2748-4367-BB17-0768F2EB823F}"/>
    <cellStyle name="Normal 2 5 4 2 2 2 5" xfId="17783" xr:uid="{AB7DD0DB-A64A-4FA1-81DB-7566D7186E24}"/>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2 2 2" xfId="16123" xr:uid="{243B2C49-93E7-457A-A9C4-CDB87A1F6DAD}"/>
    <cellStyle name="Normal 2 5 4 2 2 3 2 2 3" xfId="24558" xr:uid="{28DC0C01-085D-4896-8A1A-7C43932807B7}"/>
    <cellStyle name="Normal 2 5 4 2 2 3 2 3" xfId="11905" xr:uid="{8602F0D1-AF9C-45A6-85EB-4E8FD321FD32}"/>
    <cellStyle name="Normal 2 5 4 2 2 3 2 4" xfId="20341" xr:uid="{07C993F6-2532-424E-99BF-D642EC35A9B6}"/>
    <cellStyle name="Normal 2 5 4 2 2 3 3" xfId="5536" xr:uid="{00000000-0005-0000-0000-00001F110000}"/>
    <cellStyle name="Normal 2 5 4 2 2 3 3 2" xfId="13978" xr:uid="{25D228FD-E05B-4906-A1E5-D706F22BE784}"/>
    <cellStyle name="Normal 2 5 4 2 2 3 3 3" xfId="22413" xr:uid="{F9442FF4-27D5-420D-9971-49B47F1D3B16}"/>
    <cellStyle name="Normal 2 5 4 2 2 3 4" xfId="9760" xr:uid="{0CEC0817-DE1C-47CE-A42A-3FFB8A157FF8}"/>
    <cellStyle name="Normal 2 5 4 2 2 3 5" xfId="18196" xr:uid="{AC7C109C-6365-4982-A934-E9135A77325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2 2 2" xfId="16536" xr:uid="{97D50365-68A1-4DCD-8317-5294B8F8D920}"/>
    <cellStyle name="Normal 2 5 4 2 2 4 2 2 3" xfId="24971" xr:uid="{1B6DBF65-A4E4-4236-AF84-12424D0ED7EF}"/>
    <cellStyle name="Normal 2 5 4 2 2 4 2 3" xfId="12318" xr:uid="{9EC12427-B0EA-49A9-A9EB-599F21F75E6C}"/>
    <cellStyle name="Normal 2 5 4 2 2 4 2 4" xfId="20754" xr:uid="{E1FEC7C5-B9DE-4D9B-95A2-4B687AB14352}"/>
    <cellStyle name="Normal 2 5 4 2 2 4 3" xfId="5949" xr:uid="{00000000-0005-0000-0000-000023110000}"/>
    <cellStyle name="Normal 2 5 4 2 2 4 3 2" xfId="14391" xr:uid="{C34E403A-61E0-4080-B01F-E306CE0462B0}"/>
    <cellStyle name="Normal 2 5 4 2 2 4 3 3" xfId="22826" xr:uid="{CD39B495-1E9D-4E24-845B-1C9011F0656B}"/>
    <cellStyle name="Normal 2 5 4 2 2 4 4" xfId="10173" xr:uid="{3A19538E-37BB-4808-A92C-DBBA544538EB}"/>
    <cellStyle name="Normal 2 5 4 2 2 4 5" xfId="18609" xr:uid="{F2CE07DE-9A84-47E6-B0E6-C8713E9AA3FE}"/>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2 2 2" xfId="16949" xr:uid="{06771A74-4868-4078-8E53-AC46FF3A9F23}"/>
    <cellStyle name="Normal 2 5 4 2 2 5 2 2 3" xfId="25384" xr:uid="{64048FD5-8602-446E-8BF1-B8A035042F77}"/>
    <cellStyle name="Normal 2 5 4 2 2 5 2 3" xfId="12731" xr:uid="{ED3C2369-B95D-47E6-BE08-593A15978EAE}"/>
    <cellStyle name="Normal 2 5 4 2 2 5 2 4" xfId="21167" xr:uid="{E665495F-5E5B-4C00-BC42-8416EB843A33}"/>
    <cellStyle name="Normal 2 5 4 2 2 5 3" xfId="6362" xr:uid="{00000000-0005-0000-0000-000027110000}"/>
    <cellStyle name="Normal 2 5 4 2 2 5 3 2" xfId="14804" xr:uid="{C5676FED-11D6-4EC3-8435-C8DB982B40DE}"/>
    <cellStyle name="Normal 2 5 4 2 2 5 3 3" xfId="23239" xr:uid="{184B0325-B116-41F7-A4E5-8A4327646839}"/>
    <cellStyle name="Normal 2 5 4 2 2 5 4" xfId="10586" xr:uid="{8C84A839-5ABC-4131-AEB4-2542D4D216BF}"/>
    <cellStyle name="Normal 2 5 4 2 2 5 5" xfId="19022" xr:uid="{03071DFA-033F-4FA8-A5B8-488F52335256}"/>
    <cellStyle name="Normal 2 5 4 2 2 6" xfId="2491" xr:uid="{00000000-0005-0000-0000-000028110000}"/>
    <cellStyle name="Normal 2 5 4 2 2 6 2" xfId="6775" xr:uid="{00000000-0005-0000-0000-000029110000}"/>
    <cellStyle name="Normal 2 5 4 2 2 6 2 2" xfId="15217" xr:uid="{FE135ACE-324C-47A4-8DBE-D85DCF1C9A68}"/>
    <cellStyle name="Normal 2 5 4 2 2 6 2 3" xfId="23652" xr:uid="{C09F8DE1-EACA-4438-86AC-E5D44820AF03}"/>
    <cellStyle name="Normal 2 5 4 2 2 6 3" xfId="10999" xr:uid="{786F174A-7EBC-48FB-8B79-A5217C2D5CA0}"/>
    <cellStyle name="Normal 2 5 4 2 2 6 4" xfId="19435" xr:uid="{6B205DA5-F4B1-4487-98CC-5C6067173B1A}"/>
    <cellStyle name="Normal 2 5 4 2 2 7" xfId="4709" xr:uid="{00000000-0005-0000-0000-00002A110000}"/>
    <cellStyle name="Normal 2 5 4 2 2 7 2" xfId="13151" xr:uid="{3AA40FFA-C45F-4488-86BE-8F712A9C1E13}"/>
    <cellStyle name="Normal 2 5 4 2 2 7 3" xfId="21586" xr:uid="{B55EF5CC-CA10-43CE-B931-3C9F16D487D9}"/>
    <cellStyle name="Normal 2 5 4 2 2 8" xfId="8933" xr:uid="{28E257DA-B8D8-4ED5-9CFB-C6E5C54F6E00}"/>
    <cellStyle name="Normal 2 5 4 2 2 9" xfId="17369" xr:uid="{AF4CD08E-A052-42CF-B770-D2C0AF6C8AF4}"/>
    <cellStyle name="Normal 2 5 4 2 3" xfId="805" xr:uid="{00000000-0005-0000-0000-00002B110000}"/>
    <cellStyle name="Normal 2 5 4 2 3 2" xfId="3044" xr:uid="{00000000-0005-0000-0000-00002C110000}"/>
    <cellStyle name="Normal 2 5 4 2 3 2 2" xfId="7267" xr:uid="{00000000-0005-0000-0000-00002D110000}"/>
    <cellStyle name="Normal 2 5 4 2 3 2 2 2" xfId="15709" xr:uid="{7B52B9F7-C0D8-47DF-B19A-61CAA011304C}"/>
    <cellStyle name="Normal 2 5 4 2 3 2 2 3" xfId="24144" xr:uid="{3D745064-44E6-4F67-A240-8D39FF614DC4}"/>
    <cellStyle name="Normal 2 5 4 2 3 2 3" xfId="11491" xr:uid="{81D1AF48-2B3A-42D2-A741-C4614CCCBD5B}"/>
    <cellStyle name="Normal 2 5 4 2 3 2 4" xfId="19927" xr:uid="{2D3EE9F8-9725-45BE-AEBD-8A79DAEA6E2C}"/>
    <cellStyle name="Normal 2 5 4 2 3 3" xfId="5122" xr:uid="{00000000-0005-0000-0000-00002E110000}"/>
    <cellStyle name="Normal 2 5 4 2 3 3 2" xfId="13564" xr:uid="{4A6A0E45-94AF-426C-94A4-2CF4CA85AB52}"/>
    <cellStyle name="Normal 2 5 4 2 3 3 3" xfId="21999" xr:uid="{0B483A18-5123-4506-8E8E-218D1C4E7A44}"/>
    <cellStyle name="Normal 2 5 4 2 3 4" xfId="9346" xr:uid="{E3A66CFE-6FCA-49DE-AC0B-54D1F8BA5E76}"/>
    <cellStyle name="Normal 2 5 4 2 3 5" xfId="17782" xr:uid="{F99A70F8-2C65-464B-8C6C-4432C0D6E62E}"/>
    <cellStyle name="Normal 2 5 4 2 4" xfId="1227" xr:uid="{00000000-0005-0000-0000-00002F110000}"/>
    <cellStyle name="Normal 2 5 4 2 4 2" xfId="3457" xr:uid="{00000000-0005-0000-0000-000030110000}"/>
    <cellStyle name="Normal 2 5 4 2 4 2 2" xfId="7680" xr:uid="{00000000-0005-0000-0000-000031110000}"/>
    <cellStyle name="Normal 2 5 4 2 4 2 2 2" xfId="16122" xr:uid="{D6F79C13-B0D9-4810-AA7E-C8287A8AB4F3}"/>
    <cellStyle name="Normal 2 5 4 2 4 2 2 3" xfId="24557" xr:uid="{06A58CCE-7DE1-4E1E-9672-281138FC20CE}"/>
    <cellStyle name="Normal 2 5 4 2 4 2 3" xfId="11904" xr:uid="{86264E82-5737-497C-941D-F4EAFD985B39}"/>
    <cellStyle name="Normal 2 5 4 2 4 2 4" xfId="20340" xr:uid="{21D4CBB3-D6E6-4EAA-AA45-35207E438993}"/>
    <cellStyle name="Normal 2 5 4 2 4 3" xfId="5535" xr:uid="{00000000-0005-0000-0000-000032110000}"/>
    <cellStyle name="Normal 2 5 4 2 4 3 2" xfId="13977" xr:uid="{D1AC25B9-46A6-472D-A913-720FAA26ED77}"/>
    <cellStyle name="Normal 2 5 4 2 4 3 3" xfId="22412" xr:uid="{5F555CC5-F339-456B-82FD-606556CA6F21}"/>
    <cellStyle name="Normal 2 5 4 2 4 4" xfId="9759" xr:uid="{274C90D2-1B81-4C58-97CB-15CD4336F93A}"/>
    <cellStyle name="Normal 2 5 4 2 4 5" xfId="18195" xr:uid="{FE7F8AD1-0C35-46E9-8C92-B5E4E18FB233}"/>
    <cellStyle name="Normal 2 5 4 2 5" xfId="1640" xr:uid="{00000000-0005-0000-0000-000033110000}"/>
    <cellStyle name="Normal 2 5 4 2 5 2" xfId="3870" xr:uid="{00000000-0005-0000-0000-000034110000}"/>
    <cellStyle name="Normal 2 5 4 2 5 2 2" xfId="8093" xr:uid="{00000000-0005-0000-0000-000035110000}"/>
    <cellStyle name="Normal 2 5 4 2 5 2 2 2" xfId="16535" xr:uid="{548E5FCE-752F-4E59-8EA3-532979F9B61F}"/>
    <cellStyle name="Normal 2 5 4 2 5 2 2 3" xfId="24970" xr:uid="{139140BE-625B-4198-9FE7-D0A9F53844A6}"/>
    <cellStyle name="Normal 2 5 4 2 5 2 3" xfId="12317" xr:uid="{CEAFEFC1-65F8-435B-A1AC-5FBAA218C4FD}"/>
    <cellStyle name="Normal 2 5 4 2 5 2 4" xfId="20753" xr:uid="{B97604B4-A7F2-4C9D-BB14-2D36DB0BA18C}"/>
    <cellStyle name="Normal 2 5 4 2 5 3" xfId="5948" xr:uid="{00000000-0005-0000-0000-000036110000}"/>
    <cellStyle name="Normal 2 5 4 2 5 3 2" xfId="14390" xr:uid="{8ADC9766-58E3-4959-A550-6C9C8812583A}"/>
    <cellStyle name="Normal 2 5 4 2 5 3 3" xfId="22825" xr:uid="{849C33F2-90A6-4B6E-BF35-1996D0F2901D}"/>
    <cellStyle name="Normal 2 5 4 2 5 4" xfId="10172" xr:uid="{5F455895-DD81-4D56-A9F1-1A2503A14550}"/>
    <cellStyle name="Normal 2 5 4 2 5 5" xfId="18608" xr:uid="{6DB728D1-6F41-4F0B-86EF-9733F6AF29AA}"/>
    <cellStyle name="Normal 2 5 4 2 6" xfId="2054" xr:uid="{00000000-0005-0000-0000-000037110000}"/>
    <cellStyle name="Normal 2 5 4 2 6 2" xfId="4283" xr:uid="{00000000-0005-0000-0000-000038110000}"/>
    <cellStyle name="Normal 2 5 4 2 6 2 2" xfId="8506" xr:uid="{00000000-0005-0000-0000-000039110000}"/>
    <cellStyle name="Normal 2 5 4 2 6 2 2 2" xfId="16948" xr:uid="{536F3E42-C865-4B56-B3B6-E7A473542FC1}"/>
    <cellStyle name="Normal 2 5 4 2 6 2 2 3" xfId="25383" xr:uid="{D6478F61-728C-47DF-9593-A1EA21E3C362}"/>
    <cellStyle name="Normal 2 5 4 2 6 2 3" xfId="12730" xr:uid="{EF3135BF-A27A-4C79-8A90-F2742D2943A6}"/>
    <cellStyle name="Normal 2 5 4 2 6 2 4" xfId="21166" xr:uid="{7CF106CA-0AFB-4ACC-BC38-8C793B7827BE}"/>
    <cellStyle name="Normal 2 5 4 2 6 3" xfId="6361" xr:uid="{00000000-0005-0000-0000-00003A110000}"/>
    <cellStyle name="Normal 2 5 4 2 6 3 2" xfId="14803" xr:uid="{A9C789EF-E2B8-4E1A-BDB8-69F241994A29}"/>
    <cellStyle name="Normal 2 5 4 2 6 3 3" xfId="23238" xr:uid="{773309C8-CCCD-42E3-9FBD-54DEEF3B17CC}"/>
    <cellStyle name="Normal 2 5 4 2 6 4" xfId="10585" xr:uid="{5EB98057-D7E3-4CD7-AF34-F6C6BA145C46}"/>
    <cellStyle name="Normal 2 5 4 2 6 5" xfId="19021" xr:uid="{AE382FD5-ECC5-4146-9F23-62468E8BCEC6}"/>
    <cellStyle name="Normal 2 5 4 2 7" xfId="2490" xr:uid="{00000000-0005-0000-0000-00003B110000}"/>
    <cellStyle name="Normal 2 5 4 2 7 2" xfId="6774" xr:uid="{00000000-0005-0000-0000-00003C110000}"/>
    <cellStyle name="Normal 2 5 4 2 7 2 2" xfId="15216" xr:uid="{BF18FB69-47B7-4442-AA7F-F505E5720FF5}"/>
    <cellStyle name="Normal 2 5 4 2 7 2 3" xfId="23651" xr:uid="{497DA619-EFF3-4172-B1F8-7DE08D8AABCB}"/>
    <cellStyle name="Normal 2 5 4 2 7 3" xfId="10998" xr:uid="{21C9B16C-C214-4ACC-8EE6-BF9CFEB3102C}"/>
    <cellStyle name="Normal 2 5 4 2 7 4" xfId="19434" xr:uid="{4DC46BAF-82E2-4FD3-AF06-1C27F02FFDEA}"/>
    <cellStyle name="Normal 2 5 4 2 8" xfId="4708" xr:uid="{00000000-0005-0000-0000-00003D110000}"/>
    <cellStyle name="Normal 2 5 4 2 8 2" xfId="13150" xr:uid="{38547042-F941-4AF9-98D7-C16624253C70}"/>
    <cellStyle name="Normal 2 5 4 2 8 3" xfId="21585" xr:uid="{63EBD547-129F-4F08-8271-647B08C7287A}"/>
    <cellStyle name="Normal 2 5 4 2 9" xfId="8932" xr:uid="{E1B9F302-8D3F-4906-A92A-A03E00DA289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2 2 2" xfId="15711" xr:uid="{DE596BAA-2CDD-49A8-83E3-B0E4BE02C531}"/>
    <cellStyle name="Normal 2 5 4 3 2 2 2 3" xfId="24146" xr:uid="{0CDB5134-1614-4685-82F6-6E82BB4A4DF3}"/>
    <cellStyle name="Normal 2 5 4 3 2 2 3" xfId="11493" xr:uid="{9B310915-04E3-4ADA-955B-36358FF87AA6}"/>
    <cellStyle name="Normal 2 5 4 3 2 2 4" xfId="19929" xr:uid="{3493619D-8472-4DEE-890C-80EC8DA308A1}"/>
    <cellStyle name="Normal 2 5 4 3 2 3" xfId="5124" xr:uid="{00000000-0005-0000-0000-000042110000}"/>
    <cellStyle name="Normal 2 5 4 3 2 3 2" xfId="13566" xr:uid="{FCBB8BE3-C9E5-4931-AD66-E88C112CDF7E}"/>
    <cellStyle name="Normal 2 5 4 3 2 3 3" xfId="22001" xr:uid="{DB3F1A56-59DF-45FC-9008-4EF65A00E9B2}"/>
    <cellStyle name="Normal 2 5 4 3 2 4" xfId="9348" xr:uid="{447DD303-9878-4CC7-BDBB-FB8F9A529065}"/>
    <cellStyle name="Normal 2 5 4 3 2 5" xfId="17784" xr:uid="{CCE32CAF-CC3B-4FCD-ACD9-EA4CCA9A0966}"/>
    <cellStyle name="Normal 2 5 4 3 3" xfId="1229" xr:uid="{00000000-0005-0000-0000-000043110000}"/>
    <cellStyle name="Normal 2 5 4 3 3 2" xfId="3459" xr:uid="{00000000-0005-0000-0000-000044110000}"/>
    <cellStyle name="Normal 2 5 4 3 3 2 2" xfId="7682" xr:uid="{00000000-0005-0000-0000-000045110000}"/>
    <cellStyle name="Normal 2 5 4 3 3 2 2 2" xfId="16124" xr:uid="{1C035D4B-6815-4AF2-B5C1-9073902794C7}"/>
    <cellStyle name="Normal 2 5 4 3 3 2 2 3" xfId="24559" xr:uid="{4EB5080A-3816-41E7-9937-6096171BE7A8}"/>
    <cellStyle name="Normal 2 5 4 3 3 2 3" xfId="11906" xr:uid="{9C8AE9DE-D2D1-4C6B-8788-485311A54849}"/>
    <cellStyle name="Normal 2 5 4 3 3 2 4" xfId="20342" xr:uid="{9183A189-C849-4F20-97FB-91B72825EF67}"/>
    <cellStyle name="Normal 2 5 4 3 3 3" xfId="5537" xr:uid="{00000000-0005-0000-0000-000046110000}"/>
    <cellStyle name="Normal 2 5 4 3 3 3 2" xfId="13979" xr:uid="{CE8B5A20-374D-4CDF-AAF5-FF2FBE9EC7EF}"/>
    <cellStyle name="Normal 2 5 4 3 3 3 3" xfId="22414" xr:uid="{87E0C5DA-E5F2-4A15-A699-BBE33AEAB929}"/>
    <cellStyle name="Normal 2 5 4 3 3 4" xfId="9761" xr:uid="{F7BA231E-895C-415B-BFF3-AB415ABBA4F2}"/>
    <cellStyle name="Normal 2 5 4 3 3 5" xfId="18197" xr:uid="{207B3F65-4B0E-4D3B-9F87-96CC0D7FD4D8}"/>
    <cellStyle name="Normal 2 5 4 3 4" xfId="1642" xr:uid="{00000000-0005-0000-0000-000047110000}"/>
    <cellStyle name="Normal 2 5 4 3 4 2" xfId="3872" xr:uid="{00000000-0005-0000-0000-000048110000}"/>
    <cellStyle name="Normal 2 5 4 3 4 2 2" xfId="8095" xr:uid="{00000000-0005-0000-0000-000049110000}"/>
    <cellStyle name="Normal 2 5 4 3 4 2 2 2" xfId="16537" xr:uid="{ABF752CF-AA4C-47A1-AA8A-8E485C700207}"/>
    <cellStyle name="Normal 2 5 4 3 4 2 2 3" xfId="24972" xr:uid="{5FBFB4D9-0DE2-426B-ADA6-C0649E6FA5B2}"/>
    <cellStyle name="Normal 2 5 4 3 4 2 3" xfId="12319" xr:uid="{373F9E77-E78D-4FBD-934E-150D617191E6}"/>
    <cellStyle name="Normal 2 5 4 3 4 2 4" xfId="20755" xr:uid="{3259DE99-977C-4BCD-9D92-712295F78118}"/>
    <cellStyle name="Normal 2 5 4 3 4 3" xfId="5950" xr:uid="{00000000-0005-0000-0000-00004A110000}"/>
    <cellStyle name="Normal 2 5 4 3 4 3 2" xfId="14392" xr:uid="{151DBF43-C956-4450-A4C7-4B8CCB52662E}"/>
    <cellStyle name="Normal 2 5 4 3 4 3 3" xfId="22827" xr:uid="{8B910608-9481-40E0-AC5F-C9A38AB19C3B}"/>
    <cellStyle name="Normal 2 5 4 3 4 4" xfId="10174" xr:uid="{20E496B0-476B-42BC-8067-F204937AB668}"/>
    <cellStyle name="Normal 2 5 4 3 4 5" xfId="18610" xr:uid="{1361C90E-7E63-471A-8E43-09305733A29A}"/>
    <cellStyle name="Normal 2 5 4 3 5" xfId="2056" xr:uid="{00000000-0005-0000-0000-00004B110000}"/>
    <cellStyle name="Normal 2 5 4 3 5 2" xfId="4285" xr:uid="{00000000-0005-0000-0000-00004C110000}"/>
    <cellStyle name="Normal 2 5 4 3 5 2 2" xfId="8508" xr:uid="{00000000-0005-0000-0000-00004D110000}"/>
    <cellStyle name="Normal 2 5 4 3 5 2 2 2" xfId="16950" xr:uid="{0704E279-9364-43CB-A9DA-A5B6AD5C56D2}"/>
    <cellStyle name="Normal 2 5 4 3 5 2 2 3" xfId="25385" xr:uid="{4560EAAD-00C1-445C-ABDC-9A949D7EB74E}"/>
    <cellStyle name="Normal 2 5 4 3 5 2 3" xfId="12732" xr:uid="{585DC1C9-EF8F-4F78-84EB-788D0FDE4187}"/>
    <cellStyle name="Normal 2 5 4 3 5 2 4" xfId="21168" xr:uid="{9CA4D6B9-2BDB-436D-9344-CE7741E45CF8}"/>
    <cellStyle name="Normal 2 5 4 3 5 3" xfId="6363" xr:uid="{00000000-0005-0000-0000-00004E110000}"/>
    <cellStyle name="Normal 2 5 4 3 5 3 2" xfId="14805" xr:uid="{09DC34AD-2791-4FC8-96B7-0FBF9CFE818E}"/>
    <cellStyle name="Normal 2 5 4 3 5 3 3" xfId="23240" xr:uid="{F0525B26-9366-4162-A15B-D2CB2CEF14BC}"/>
    <cellStyle name="Normal 2 5 4 3 5 4" xfId="10587" xr:uid="{18327262-E6E5-4340-905B-2099223FB7E1}"/>
    <cellStyle name="Normal 2 5 4 3 5 5" xfId="19023" xr:uid="{F108D065-0819-4E23-BFA0-714B868F1385}"/>
    <cellStyle name="Normal 2 5 4 3 6" xfId="2492" xr:uid="{00000000-0005-0000-0000-00004F110000}"/>
    <cellStyle name="Normal 2 5 4 3 6 2" xfId="6776" xr:uid="{00000000-0005-0000-0000-000050110000}"/>
    <cellStyle name="Normal 2 5 4 3 6 2 2" xfId="15218" xr:uid="{54D53BF9-EDC2-4300-A044-897427E4D54B}"/>
    <cellStyle name="Normal 2 5 4 3 6 2 3" xfId="23653" xr:uid="{D0E3E2E5-6464-416E-BDF6-FD9C329740DB}"/>
    <cellStyle name="Normal 2 5 4 3 6 3" xfId="11000" xr:uid="{3188EF2A-D17D-43BF-9B01-DC8EF2EEB6CD}"/>
    <cellStyle name="Normal 2 5 4 3 6 4" xfId="19436" xr:uid="{EA7A13A4-16E5-4175-A0BD-C9C53057CB94}"/>
    <cellStyle name="Normal 2 5 4 3 7" xfId="4710" xr:uid="{00000000-0005-0000-0000-000051110000}"/>
    <cellStyle name="Normal 2 5 4 3 7 2" xfId="13152" xr:uid="{49D178C8-FBAC-4C69-938D-EE9B63132301}"/>
    <cellStyle name="Normal 2 5 4 3 7 3" xfId="21587" xr:uid="{98A08BDA-C678-4403-A0A1-B4EDCDF04222}"/>
    <cellStyle name="Normal 2 5 4 3 8" xfId="8934" xr:uid="{43A29ACC-6A10-40D6-9D38-03ED901E5523}"/>
    <cellStyle name="Normal 2 5 4 3 9" xfId="17370" xr:uid="{F6B3CC32-E042-4F90-BD29-34272E3C98C6}"/>
    <cellStyle name="Normal 2 5 4 4" xfId="804" xr:uid="{00000000-0005-0000-0000-000052110000}"/>
    <cellStyle name="Normal 2 5 4 4 2" xfId="3043" xr:uid="{00000000-0005-0000-0000-000053110000}"/>
    <cellStyle name="Normal 2 5 4 4 2 2" xfId="7266" xr:uid="{00000000-0005-0000-0000-000054110000}"/>
    <cellStyle name="Normal 2 5 4 4 2 2 2" xfId="15708" xr:uid="{C0AC3E44-1225-456D-BAAB-3B98481AC42D}"/>
    <cellStyle name="Normal 2 5 4 4 2 2 3" xfId="24143" xr:uid="{D2D15B20-818F-4BE1-BF08-B215B1E679E8}"/>
    <cellStyle name="Normal 2 5 4 4 2 3" xfId="11490" xr:uid="{182FDE0E-4519-44F4-80EF-96A6ACEC0D4D}"/>
    <cellStyle name="Normal 2 5 4 4 2 4" xfId="19926" xr:uid="{5B69E94C-9252-4849-B17A-B02CEC5B8739}"/>
    <cellStyle name="Normal 2 5 4 4 3" xfId="5121" xr:uid="{00000000-0005-0000-0000-000055110000}"/>
    <cellStyle name="Normal 2 5 4 4 3 2" xfId="13563" xr:uid="{DDACA5CF-D169-4F3F-B399-71F9C2B0120E}"/>
    <cellStyle name="Normal 2 5 4 4 3 3" xfId="21998" xr:uid="{07CB202F-4AE0-4C5E-B163-0688CB4570B7}"/>
    <cellStyle name="Normal 2 5 4 4 4" xfId="9345" xr:uid="{6965F3A5-5924-4E8C-9CC6-D5600096AFF7}"/>
    <cellStyle name="Normal 2 5 4 4 5" xfId="17781" xr:uid="{7B881E5D-08B2-4254-BB90-4C6FE8514A45}"/>
    <cellStyle name="Normal 2 5 4 5" xfId="1226" xr:uid="{00000000-0005-0000-0000-000056110000}"/>
    <cellStyle name="Normal 2 5 4 5 2" xfId="3456" xr:uid="{00000000-0005-0000-0000-000057110000}"/>
    <cellStyle name="Normal 2 5 4 5 2 2" xfId="7679" xr:uid="{00000000-0005-0000-0000-000058110000}"/>
    <cellStyle name="Normal 2 5 4 5 2 2 2" xfId="16121" xr:uid="{BBF82D6E-A158-4590-90FB-6C153A5D5B15}"/>
    <cellStyle name="Normal 2 5 4 5 2 2 3" xfId="24556" xr:uid="{7789754A-9AD3-45F8-A04A-22471F2A4778}"/>
    <cellStyle name="Normal 2 5 4 5 2 3" xfId="11903" xr:uid="{B4F23E5C-5984-4574-8294-C72F0EF65A62}"/>
    <cellStyle name="Normal 2 5 4 5 2 4" xfId="20339" xr:uid="{61CE2893-286B-4744-8F11-F6FA0A9A16A3}"/>
    <cellStyle name="Normal 2 5 4 5 3" xfId="5534" xr:uid="{00000000-0005-0000-0000-000059110000}"/>
    <cellStyle name="Normal 2 5 4 5 3 2" xfId="13976" xr:uid="{6B39A061-30FF-4531-91E8-C961E0B91DDB}"/>
    <cellStyle name="Normal 2 5 4 5 3 3" xfId="22411" xr:uid="{EBB57D95-B6EA-4D01-ABAB-8C25EE194D55}"/>
    <cellStyle name="Normal 2 5 4 5 4" xfId="9758" xr:uid="{7066F177-5969-412E-96BF-57A24FECDCF5}"/>
    <cellStyle name="Normal 2 5 4 5 5" xfId="18194" xr:uid="{B5FD0615-ABE3-4949-ABB5-DB32E2524B1C}"/>
    <cellStyle name="Normal 2 5 4 6" xfId="1639" xr:uid="{00000000-0005-0000-0000-00005A110000}"/>
    <cellStyle name="Normal 2 5 4 6 2" xfId="3869" xr:uid="{00000000-0005-0000-0000-00005B110000}"/>
    <cellStyle name="Normal 2 5 4 6 2 2" xfId="8092" xr:uid="{00000000-0005-0000-0000-00005C110000}"/>
    <cellStyle name="Normal 2 5 4 6 2 2 2" xfId="16534" xr:uid="{48666FE2-9D8C-4812-9723-D2D2BBC57A5C}"/>
    <cellStyle name="Normal 2 5 4 6 2 2 3" xfId="24969" xr:uid="{E72183A9-D26D-4DD1-AC02-3F3146E3C542}"/>
    <cellStyle name="Normal 2 5 4 6 2 3" xfId="12316" xr:uid="{23C9BB3C-214C-4F7A-9800-4319299A0368}"/>
    <cellStyle name="Normal 2 5 4 6 2 4" xfId="20752" xr:uid="{B21AE08B-E56B-4CA0-A640-739B83E65ECF}"/>
    <cellStyle name="Normal 2 5 4 6 3" xfId="5947" xr:uid="{00000000-0005-0000-0000-00005D110000}"/>
    <cellStyle name="Normal 2 5 4 6 3 2" xfId="14389" xr:uid="{1894E650-F8DB-402F-AED1-827257075A7E}"/>
    <cellStyle name="Normal 2 5 4 6 3 3" xfId="22824" xr:uid="{4A33D4D9-0CFD-4EAE-B878-6EF7088AE6B4}"/>
    <cellStyle name="Normal 2 5 4 6 4" xfId="10171" xr:uid="{8BA49B4F-7E0E-4D69-B7A2-2107F4A7C4D3}"/>
    <cellStyle name="Normal 2 5 4 6 5" xfId="18607" xr:uid="{5839164A-A278-4AC8-A960-F2E2ED9E37D1}"/>
    <cellStyle name="Normal 2 5 4 7" xfId="2053" xr:uid="{00000000-0005-0000-0000-00005E110000}"/>
    <cellStyle name="Normal 2 5 4 7 2" xfId="4282" xr:uid="{00000000-0005-0000-0000-00005F110000}"/>
    <cellStyle name="Normal 2 5 4 7 2 2" xfId="8505" xr:uid="{00000000-0005-0000-0000-000060110000}"/>
    <cellStyle name="Normal 2 5 4 7 2 2 2" xfId="16947" xr:uid="{0DBF58C9-5642-4002-A57F-73160CE48678}"/>
    <cellStyle name="Normal 2 5 4 7 2 2 3" xfId="25382" xr:uid="{774B6A93-1DD1-448D-9CA8-C79B1B4D9C6A}"/>
    <cellStyle name="Normal 2 5 4 7 2 3" xfId="12729" xr:uid="{3970354A-CAC3-44A9-A25D-E69B58FDF573}"/>
    <cellStyle name="Normal 2 5 4 7 2 4" xfId="21165" xr:uid="{2AE6C183-9930-4E1B-808E-836AE810C1E9}"/>
    <cellStyle name="Normal 2 5 4 7 3" xfId="6360" xr:uid="{00000000-0005-0000-0000-000061110000}"/>
    <cellStyle name="Normal 2 5 4 7 3 2" xfId="14802" xr:uid="{454CE450-F7FF-4A48-9ED8-2B1CF9A12C91}"/>
    <cellStyle name="Normal 2 5 4 7 3 3" xfId="23237" xr:uid="{9C2DFF9E-7200-429E-B098-E3ADC69DA962}"/>
    <cellStyle name="Normal 2 5 4 7 4" xfId="10584" xr:uid="{532FDD9F-364B-4489-87C2-B8FEB8BF0576}"/>
    <cellStyle name="Normal 2 5 4 7 5" xfId="19020" xr:uid="{9D3C367F-90DD-4620-BD33-566A8BAC2024}"/>
    <cellStyle name="Normal 2 5 4 8" xfId="2489" xr:uid="{00000000-0005-0000-0000-000062110000}"/>
    <cellStyle name="Normal 2 5 4 8 2" xfId="6773" xr:uid="{00000000-0005-0000-0000-000063110000}"/>
    <cellStyle name="Normal 2 5 4 8 2 2" xfId="15215" xr:uid="{95616ECE-9ACA-43FB-B13F-88481F4BF2AE}"/>
    <cellStyle name="Normal 2 5 4 8 2 3" xfId="23650" xr:uid="{BBB46C94-F436-475C-BCC2-EDEEAEA55877}"/>
    <cellStyle name="Normal 2 5 4 8 3" xfId="10997" xr:uid="{8666CD0A-DBFF-4C47-B065-62AF810A6380}"/>
    <cellStyle name="Normal 2 5 4 8 4" xfId="19433" xr:uid="{1A7729EE-527E-4021-AEE3-B7DF889A92A9}"/>
    <cellStyle name="Normal 2 5 4 9" xfId="4707" xr:uid="{00000000-0005-0000-0000-000064110000}"/>
    <cellStyle name="Normal 2 5 4 9 2" xfId="13149" xr:uid="{413813D0-0DBF-4C5E-BCC2-4E96856D30DA}"/>
    <cellStyle name="Normal 2 5 4 9 3" xfId="21584" xr:uid="{4F691843-931E-4CD3-B718-5A4F1790117C}"/>
    <cellStyle name="Normal 2 5 5" xfId="803" xr:uid="{00000000-0005-0000-0000-000065110000}"/>
    <cellStyle name="Normal 2 5 5 2" xfId="3042" xr:uid="{00000000-0005-0000-0000-000066110000}"/>
    <cellStyle name="Normal 2 5 5 2 2" xfId="7265" xr:uid="{00000000-0005-0000-0000-000067110000}"/>
    <cellStyle name="Normal 2 5 5 2 2 2" xfId="15707" xr:uid="{083796B8-BAF4-4092-8FA2-EF0F7CB3789C}"/>
    <cellStyle name="Normal 2 5 5 2 2 3" xfId="24142" xr:uid="{938A954D-9C6E-4F3F-82CB-EA9D1A8D0513}"/>
    <cellStyle name="Normal 2 5 5 2 3" xfId="11489" xr:uid="{DDD5D5C4-7FCA-4876-B608-A19E30A1D759}"/>
    <cellStyle name="Normal 2 5 5 2 4" xfId="19925" xr:uid="{222C2AE1-9813-45B7-8518-7DC62F588CE4}"/>
    <cellStyle name="Normal 2 5 5 3" xfId="5120" xr:uid="{00000000-0005-0000-0000-000068110000}"/>
    <cellStyle name="Normal 2 5 5 3 2" xfId="13562" xr:uid="{C1C70775-DDC0-4AB7-B616-48193E9F667D}"/>
    <cellStyle name="Normal 2 5 5 3 3" xfId="21997" xr:uid="{892748E1-C4BF-4BFB-9E56-454F634960BA}"/>
    <cellStyle name="Normal 2 5 5 4" xfId="9344" xr:uid="{9FAE1A27-61D8-4B34-B538-0DB10908DCBB}"/>
    <cellStyle name="Normal 2 5 5 5" xfId="17780" xr:uid="{A3B94C4A-B23F-4F94-A1AD-ACFFC19B77EC}"/>
    <cellStyle name="Normal 2 5 6" xfId="1225" xr:uid="{00000000-0005-0000-0000-000069110000}"/>
    <cellStyle name="Normal 2 5 6 2" xfId="3455" xr:uid="{00000000-0005-0000-0000-00006A110000}"/>
    <cellStyle name="Normal 2 5 6 2 2" xfId="7678" xr:uid="{00000000-0005-0000-0000-00006B110000}"/>
    <cellStyle name="Normal 2 5 6 2 2 2" xfId="16120" xr:uid="{05138DBC-9BC9-4A76-AE9F-7E272D1F88AE}"/>
    <cellStyle name="Normal 2 5 6 2 2 3" xfId="24555" xr:uid="{8EA5DFC6-8D59-46DB-922D-83CD878BC4D0}"/>
    <cellStyle name="Normal 2 5 6 2 3" xfId="11902" xr:uid="{6F72336A-FBDD-4159-B816-7C834E017EAD}"/>
    <cellStyle name="Normal 2 5 6 2 4" xfId="20338" xr:uid="{045B9BAC-C94E-44F7-BDDA-C7C176C870C3}"/>
    <cellStyle name="Normal 2 5 6 3" xfId="5533" xr:uid="{00000000-0005-0000-0000-00006C110000}"/>
    <cellStyle name="Normal 2 5 6 3 2" xfId="13975" xr:uid="{9E0C3AE8-90E8-4FF1-8696-2E5C0DF316E1}"/>
    <cellStyle name="Normal 2 5 6 3 3" xfId="22410" xr:uid="{E76A67AB-E818-48BA-A58A-18DC84520BFD}"/>
    <cellStyle name="Normal 2 5 6 4" xfId="9757" xr:uid="{D154C7F6-0B19-4CB8-B9AB-F064C2C2101C}"/>
    <cellStyle name="Normal 2 5 6 5" xfId="18193" xr:uid="{AC1584F0-3F81-4901-945C-AAB3330E6598}"/>
    <cellStyle name="Normal 2 5 7" xfId="1638" xr:uid="{00000000-0005-0000-0000-00006D110000}"/>
    <cellStyle name="Normal 2 5 7 2" xfId="3868" xr:uid="{00000000-0005-0000-0000-00006E110000}"/>
    <cellStyle name="Normal 2 5 7 2 2" xfId="8091" xr:uid="{00000000-0005-0000-0000-00006F110000}"/>
    <cellStyle name="Normal 2 5 7 2 2 2" xfId="16533" xr:uid="{1C77AB9C-1E33-48A5-B68E-C9FE31E1B1F4}"/>
    <cellStyle name="Normal 2 5 7 2 2 3" xfId="24968" xr:uid="{DE952C43-47F6-43ED-B939-835BE1294125}"/>
    <cellStyle name="Normal 2 5 7 2 3" xfId="12315" xr:uid="{258A0676-CA45-40E8-A646-180DD27664B5}"/>
    <cellStyle name="Normal 2 5 7 2 4" xfId="20751" xr:uid="{B6EAB2C3-2105-4C6A-9F44-C78F4C9AD16D}"/>
    <cellStyle name="Normal 2 5 7 3" xfId="5946" xr:uid="{00000000-0005-0000-0000-000070110000}"/>
    <cellStyle name="Normal 2 5 7 3 2" xfId="14388" xr:uid="{4EAADC18-001E-4AFA-96F2-A830A181F14F}"/>
    <cellStyle name="Normal 2 5 7 3 3" xfId="22823" xr:uid="{27F74579-F2F0-43B7-A92E-A081F45FF584}"/>
    <cellStyle name="Normal 2 5 7 4" xfId="10170" xr:uid="{35DCAB87-C6FB-4734-B53D-A645DF3F292C}"/>
    <cellStyle name="Normal 2 5 7 5" xfId="18606" xr:uid="{842E0B6B-75D4-45A7-9639-E8527AC99C05}"/>
    <cellStyle name="Normal 2 5 8" xfId="2052" xr:uid="{00000000-0005-0000-0000-000071110000}"/>
    <cellStyle name="Normal 2 5 8 2" xfId="4281" xr:uid="{00000000-0005-0000-0000-000072110000}"/>
    <cellStyle name="Normal 2 5 8 2 2" xfId="8504" xr:uid="{00000000-0005-0000-0000-000073110000}"/>
    <cellStyle name="Normal 2 5 8 2 2 2" xfId="16946" xr:uid="{54EF0499-C79B-479C-8040-203E82DA3AFB}"/>
    <cellStyle name="Normal 2 5 8 2 2 3" xfId="25381" xr:uid="{C678863C-C04C-48FA-97A7-1FC513EE006B}"/>
    <cellStyle name="Normal 2 5 8 2 3" xfId="12728" xr:uid="{1D8859CF-832B-418C-ADAD-1F913C89D919}"/>
    <cellStyle name="Normal 2 5 8 2 4" xfId="21164" xr:uid="{6FF5A4C3-F474-47FC-92D1-FA7BF4B73739}"/>
    <cellStyle name="Normal 2 5 8 3" xfId="6359" xr:uid="{00000000-0005-0000-0000-000074110000}"/>
    <cellStyle name="Normal 2 5 8 3 2" xfId="14801" xr:uid="{28589440-B855-4F04-8617-7BE76E0BE1AB}"/>
    <cellStyle name="Normal 2 5 8 3 3" xfId="23236" xr:uid="{F37D0828-1A63-467D-AFDB-DB15B0D469CF}"/>
    <cellStyle name="Normal 2 5 8 4" xfId="10583" xr:uid="{4228D383-B9C2-4C04-93DC-584BF7437327}"/>
    <cellStyle name="Normal 2 5 8 5" xfId="19019" xr:uid="{3E333EBD-CBE0-4C92-8ED2-66D1E554587B}"/>
    <cellStyle name="Normal 2 5 9" xfId="2488" xr:uid="{00000000-0005-0000-0000-000075110000}"/>
    <cellStyle name="Normal 2 5 9 2" xfId="6772" xr:uid="{00000000-0005-0000-0000-000076110000}"/>
    <cellStyle name="Normal 2 5 9 2 2" xfId="15214" xr:uid="{C8FB1D36-183C-4E43-B4DE-0771575E77F7}"/>
    <cellStyle name="Normal 2 5 9 2 3" xfId="23649" xr:uid="{2D079027-B076-4DF0-BCC7-B4F51653ADF3}"/>
    <cellStyle name="Normal 2 5 9 3" xfId="10996" xr:uid="{EAABAB29-FD48-4871-AF23-F209F17777D2}"/>
    <cellStyle name="Normal 2 5 9 4" xfId="19432" xr:uid="{ABB86031-E790-481F-9EB8-3D644A759E55}"/>
    <cellStyle name="Normal 2 6" xfId="322" xr:uid="{00000000-0005-0000-0000-000077110000}"/>
    <cellStyle name="Normal 2 7" xfId="769" xr:uid="{00000000-0005-0000-0000-000078110000}"/>
    <cellStyle name="Normal 2 8" xfId="4495" xr:uid="{00000000-0005-0000-0000-000079110000}"/>
    <cellStyle name="Normal 2 8 2" xfId="12940" xr:uid="{DFBC4E62-0AB9-4C07-9448-251D08A51440}"/>
    <cellStyle name="Normal 3" xfId="323" xr:uid="{00000000-0005-0000-0000-00007A110000}"/>
    <cellStyle name="Normal 3 2" xfId="324" xr:uid="{00000000-0005-0000-0000-00007B110000}"/>
    <cellStyle name="Normal 3 2 10" xfId="8935" xr:uid="{1B1EFDB0-91F0-4657-81B1-D5AEC6586CCF}"/>
    <cellStyle name="Normal 3 2 11" xfId="17371" xr:uid="{68153DEE-9ED2-43E3-80F2-5D86C291471C}"/>
    <cellStyle name="Normal 3 2 2" xfId="325" xr:uid="{00000000-0005-0000-0000-00007C110000}"/>
    <cellStyle name="Normal 3 2 2 2" xfId="810" xr:uid="{00000000-0005-0000-0000-00007D110000}"/>
    <cellStyle name="Normal 3 2 3" xfId="326" xr:uid="{00000000-0005-0000-0000-00007E110000}"/>
    <cellStyle name="Normal 3 2 3 10" xfId="8936" xr:uid="{D630A6F2-3B25-4CF0-BAA1-2E0377E8FB32}"/>
    <cellStyle name="Normal 3 2 3 11" xfId="17372" xr:uid="{18D80E19-D43C-49CB-99B5-E8D0DBEED710}"/>
    <cellStyle name="Normal 3 2 3 2" xfId="327" xr:uid="{00000000-0005-0000-0000-00007F110000}"/>
    <cellStyle name="Normal 3 2 3 2 10" xfId="17373" xr:uid="{F080B59F-7D84-4583-89B8-9C588A90E0A4}"/>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2 2 2" xfId="15715" xr:uid="{C266F18D-EAEC-4EF2-A04A-E63D148B4A7A}"/>
    <cellStyle name="Normal 3 2 3 2 2 2 2 2 3" xfId="24150" xr:uid="{55584D98-4C1B-4BBF-883A-6721830DEEF4}"/>
    <cellStyle name="Normal 3 2 3 2 2 2 2 3" xfId="11497" xr:uid="{ED076165-5EDD-414A-8AFE-1F55D8EC97F5}"/>
    <cellStyle name="Normal 3 2 3 2 2 2 2 4" xfId="19933" xr:uid="{17940F3B-1C8A-491E-9348-61E539814807}"/>
    <cellStyle name="Normal 3 2 3 2 2 2 3" xfId="5128" xr:uid="{00000000-0005-0000-0000-000084110000}"/>
    <cellStyle name="Normal 3 2 3 2 2 2 3 2" xfId="13570" xr:uid="{078B98EC-D4EA-4B48-8909-C305FC61AA63}"/>
    <cellStyle name="Normal 3 2 3 2 2 2 3 3" xfId="22005" xr:uid="{FCBF269D-7183-4922-B23E-0715B710AF98}"/>
    <cellStyle name="Normal 3 2 3 2 2 2 4" xfId="9352" xr:uid="{2BA76DC2-735C-44F4-8022-5DB7C963DA10}"/>
    <cellStyle name="Normal 3 2 3 2 2 2 5" xfId="17788" xr:uid="{E9106D31-FFA0-4E76-BCA1-78F2708FE653}"/>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2 2 2" xfId="16128" xr:uid="{4AC35DBF-DC33-4874-AFEB-80704D9297CD}"/>
    <cellStyle name="Normal 3 2 3 2 2 3 2 2 3" xfId="24563" xr:uid="{2DBE39A6-AB20-412F-8377-601311BAF860}"/>
    <cellStyle name="Normal 3 2 3 2 2 3 2 3" xfId="11910" xr:uid="{7248A351-3F77-47D9-A8C6-90AF17655E89}"/>
    <cellStyle name="Normal 3 2 3 2 2 3 2 4" xfId="20346" xr:uid="{C685C283-2252-47E1-BB66-99735D00E4B2}"/>
    <cellStyle name="Normal 3 2 3 2 2 3 3" xfId="5541" xr:uid="{00000000-0005-0000-0000-000088110000}"/>
    <cellStyle name="Normal 3 2 3 2 2 3 3 2" xfId="13983" xr:uid="{87C58B93-6766-4530-A5E0-75A3D27267FB}"/>
    <cellStyle name="Normal 3 2 3 2 2 3 3 3" xfId="22418" xr:uid="{D73FAD9C-7CA0-42B2-823E-49F4726AA45F}"/>
    <cellStyle name="Normal 3 2 3 2 2 3 4" xfId="9765" xr:uid="{FFB09DA7-429E-4CC0-85DC-83B6763BA539}"/>
    <cellStyle name="Normal 3 2 3 2 2 3 5" xfId="18201" xr:uid="{89C79E9A-D3BA-4D9F-B90F-C73EBC56A2B8}"/>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2 2 2" xfId="16541" xr:uid="{19B4E153-2C5C-47A8-BF56-104DCC9FAA43}"/>
    <cellStyle name="Normal 3 2 3 2 2 4 2 2 3" xfId="24976" xr:uid="{F2B9992B-DAB7-4415-88AF-07C1A9E39646}"/>
    <cellStyle name="Normal 3 2 3 2 2 4 2 3" xfId="12323" xr:uid="{CF9A1A43-DEFB-447A-B692-307F63E56B76}"/>
    <cellStyle name="Normal 3 2 3 2 2 4 2 4" xfId="20759" xr:uid="{CFAD8135-F90E-491E-BEA2-9E34793DC1C0}"/>
    <cellStyle name="Normal 3 2 3 2 2 4 3" xfId="5954" xr:uid="{00000000-0005-0000-0000-00008C110000}"/>
    <cellStyle name="Normal 3 2 3 2 2 4 3 2" xfId="14396" xr:uid="{F8E0C72A-5E1F-4489-B08F-5B8E462F6E89}"/>
    <cellStyle name="Normal 3 2 3 2 2 4 3 3" xfId="22831" xr:uid="{D1D9681B-EEC2-490F-8C06-88B0EA6BF996}"/>
    <cellStyle name="Normal 3 2 3 2 2 4 4" xfId="10178" xr:uid="{7E40BDE3-FDF5-4DF0-9D2E-4F2F55D6BFA5}"/>
    <cellStyle name="Normal 3 2 3 2 2 4 5" xfId="18614" xr:uid="{FE1FD450-FFB8-4134-9F76-176086BA5257}"/>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2 2 2" xfId="16954" xr:uid="{A456867C-03C9-4B2A-9330-902F1C5E278A}"/>
    <cellStyle name="Normal 3 2 3 2 2 5 2 2 3" xfId="25389" xr:uid="{E0006B10-5872-4F3E-93F1-18BFD2FE9DED}"/>
    <cellStyle name="Normal 3 2 3 2 2 5 2 3" xfId="12736" xr:uid="{8663988B-BD7D-4296-A16F-A92775ACB496}"/>
    <cellStyle name="Normal 3 2 3 2 2 5 2 4" xfId="21172" xr:uid="{BE8E6BBA-703C-46F5-BB2B-D8B611BA454D}"/>
    <cellStyle name="Normal 3 2 3 2 2 5 3" xfId="6367" xr:uid="{00000000-0005-0000-0000-000090110000}"/>
    <cellStyle name="Normal 3 2 3 2 2 5 3 2" xfId="14809" xr:uid="{84F7AF1F-2F48-4564-83E4-BAF235BA6375}"/>
    <cellStyle name="Normal 3 2 3 2 2 5 3 3" xfId="23244" xr:uid="{C6495FB2-0DC7-49C8-A606-8531A469E29A}"/>
    <cellStyle name="Normal 3 2 3 2 2 5 4" xfId="10591" xr:uid="{3CA4131E-C0A8-45E2-B297-8CD19E139766}"/>
    <cellStyle name="Normal 3 2 3 2 2 5 5" xfId="19027" xr:uid="{E87EEB34-5B64-4ED4-B927-268FA0C886A9}"/>
    <cellStyle name="Normal 3 2 3 2 2 6" xfId="2496" xr:uid="{00000000-0005-0000-0000-000091110000}"/>
    <cellStyle name="Normal 3 2 3 2 2 6 2" xfId="6780" xr:uid="{00000000-0005-0000-0000-000092110000}"/>
    <cellStyle name="Normal 3 2 3 2 2 6 2 2" xfId="15222" xr:uid="{3C505620-8DF8-4480-AA85-4CE528BF5AD9}"/>
    <cellStyle name="Normal 3 2 3 2 2 6 2 3" xfId="23657" xr:uid="{7384AA1B-26F5-4DFB-9A63-D1412F73B6A2}"/>
    <cellStyle name="Normal 3 2 3 2 2 6 3" xfId="11004" xr:uid="{A5B99FEC-3A59-47F1-8DC2-1158453F42DC}"/>
    <cellStyle name="Normal 3 2 3 2 2 6 4" xfId="19440" xr:uid="{F3C47707-3F8A-4E89-8648-2B2C2E72074F}"/>
    <cellStyle name="Normal 3 2 3 2 2 7" xfId="4714" xr:uid="{00000000-0005-0000-0000-000093110000}"/>
    <cellStyle name="Normal 3 2 3 2 2 7 2" xfId="13156" xr:uid="{E0AF1B40-5776-40C4-8417-FB35B7C2066E}"/>
    <cellStyle name="Normal 3 2 3 2 2 7 3" xfId="21591" xr:uid="{63B3D8D7-A5DA-4240-A5FD-FE17DA506B8C}"/>
    <cellStyle name="Normal 3 2 3 2 2 8" xfId="8938" xr:uid="{6DC3FCB4-F2F7-4DF3-B2D3-FC8C7217AA42}"/>
    <cellStyle name="Normal 3 2 3 2 2 9" xfId="17374" xr:uid="{29DF3896-9308-477F-87F6-737E45F012A8}"/>
    <cellStyle name="Normal 3 2 3 2 3" xfId="812" xr:uid="{00000000-0005-0000-0000-000094110000}"/>
    <cellStyle name="Normal 3 2 3 2 3 2" xfId="3049" xr:uid="{00000000-0005-0000-0000-000095110000}"/>
    <cellStyle name="Normal 3 2 3 2 3 2 2" xfId="7272" xr:uid="{00000000-0005-0000-0000-000096110000}"/>
    <cellStyle name="Normal 3 2 3 2 3 2 2 2" xfId="15714" xr:uid="{805FB0DB-484E-4250-B942-CAD7C6D2F186}"/>
    <cellStyle name="Normal 3 2 3 2 3 2 2 3" xfId="24149" xr:uid="{F856344B-8007-4648-BDEB-64B93A053A6A}"/>
    <cellStyle name="Normal 3 2 3 2 3 2 3" xfId="11496" xr:uid="{796609F4-ECA6-4AA0-A52F-447F0A520EE9}"/>
    <cellStyle name="Normal 3 2 3 2 3 2 4" xfId="19932" xr:uid="{874E595A-7F42-48E1-90DA-3AA052898F8E}"/>
    <cellStyle name="Normal 3 2 3 2 3 3" xfId="5127" xr:uid="{00000000-0005-0000-0000-000097110000}"/>
    <cellStyle name="Normal 3 2 3 2 3 3 2" xfId="13569" xr:uid="{109EAAE3-4F99-49A6-B5A3-1BA1EDCF9010}"/>
    <cellStyle name="Normal 3 2 3 2 3 3 3" xfId="22004" xr:uid="{1F6C412A-87F7-4C51-9862-C38F911FE9EE}"/>
    <cellStyle name="Normal 3 2 3 2 3 4" xfId="9351" xr:uid="{92996190-5497-49F3-9817-B138DA907AF3}"/>
    <cellStyle name="Normal 3 2 3 2 3 5" xfId="17787" xr:uid="{17FB8F01-EF9D-49B2-9E16-1D14D2FEB375}"/>
    <cellStyle name="Normal 3 2 3 2 4" xfId="1232" xr:uid="{00000000-0005-0000-0000-000098110000}"/>
    <cellStyle name="Normal 3 2 3 2 4 2" xfId="3462" xr:uid="{00000000-0005-0000-0000-000099110000}"/>
    <cellStyle name="Normal 3 2 3 2 4 2 2" xfId="7685" xr:uid="{00000000-0005-0000-0000-00009A110000}"/>
    <cellStyle name="Normal 3 2 3 2 4 2 2 2" xfId="16127" xr:uid="{A8B636A9-2938-439A-821B-64620590554C}"/>
    <cellStyle name="Normal 3 2 3 2 4 2 2 3" xfId="24562" xr:uid="{6429EDF0-DC39-4305-AA7C-153C1EEE0100}"/>
    <cellStyle name="Normal 3 2 3 2 4 2 3" xfId="11909" xr:uid="{0906CF72-20A1-46C0-BDBD-889B91C02AC9}"/>
    <cellStyle name="Normal 3 2 3 2 4 2 4" xfId="20345" xr:uid="{11BB12F5-A849-44BC-B8D6-1F0FD722A095}"/>
    <cellStyle name="Normal 3 2 3 2 4 3" xfId="5540" xr:uid="{00000000-0005-0000-0000-00009B110000}"/>
    <cellStyle name="Normal 3 2 3 2 4 3 2" xfId="13982" xr:uid="{901335B8-3950-46D8-80A0-904D82BC49B7}"/>
    <cellStyle name="Normal 3 2 3 2 4 3 3" xfId="22417" xr:uid="{64C59F21-E499-45A3-BB88-D17F37E2044F}"/>
    <cellStyle name="Normal 3 2 3 2 4 4" xfId="9764" xr:uid="{870CA74F-ADC5-4BA3-9AFB-A46901C6DCA6}"/>
    <cellStyle name="Normal 3 2 3 2 4 5" xfId="18200" xr:uid="{A7A61B4E-F988-4DEC-A74F-96BB67D1A1A9}"/>
    <cellStyle name="Normal 3 2 3 2 5" xfId="1645" xr:uid="{00000000-0005-0000-0000-00009C110000}"/>
    <cellStyle name="Normal 3 2 3 2 5 2" xfId="3875" xr:uid="{00000000-0005-0000-0000-00009D110000}"/>
    <cellStyle name="Normal 3 2 3 2 5 2 2" xfId="8098" xr:uid="{00000000-0005-0000-0000-00009E110000}"/>
    <cellStyle name="Normal 3 2 3 2 5 2 2 2" xfId="16540" xr:uid="{CE7223DB-E150-4481-8CDE-6D65C90A9F5C}"/>
    <cellStyle name="Normal 3 2 3 2 5 2 2 3" xfId="24975" xr:uid="{5127FFDE-9896-4007-90CB-63B393A84EE2}"/>
    <cellStyle name="Normal 3 2 3 2 5 2 3" xfId="12322" xr:uid="{CE1AC615-DCAF-48B7-93CC-4EBF34358B5C}"/>
    <cellStyle name="Normal 3 2 3 2 5 2 4" xfId="20758" xr:uid="{6F230464-5129-4D4D-98F4-C3FEDE1EAEF9}"/>
    <cellStyle name="Normal 3 2 3 2 5 3" xfId="5953" xr:uid="{00000000-0005-0000-0000-00009F110000}"/>
    <cellStyle name="Normal 3 2 3 2 5 3 2" xfId="14395" xr:uid="{F8A1010D-E27E-490A-BC76-832C8F2BCB8E}"/>
    <cellStyle name="Normal 3 2 3 2 5 3 3" xfId="22830" xr:uid="{C3BCBDF2-4AB7-41D6-B693-B7E1E24E703E}"/>
    <cellStyle name="Normal 3 2 3 2 5 4" xfId="10177" xr:uid="{C3EBFAE1-7F95-492A-A1EA-8E8E1FC1CF60}"/>
    <cellStyle name="Normal 3 2 3 2 5 5" xfId="18613" xr:uid="{00AF4D9F-D3DC-4974-8053-94E33FC58661}"/>
    <cellStyle name="Normal 3 2 3 2 6" xfId="2059" xr:uid="{00000000-0005-0000-0000-0000A0110000}"/>
    <cellStyle name="Normal 3 2 3 2 6 2" xfId="4288" xr:uid="{00000000-0005-0000-0000-0000A1110000}"/>
    <cellStyle name="Normal 3 2 3 2 6 2 2" xfId="8511" xr:uid="{00000000-0005-0000-0000-0000A2110000}"/>
    <cellStyle name="Normal 3 2 3 2 6 2 2 2" xfId="16953" xr:uid="{D11F507C-AD08-4158-AD43-78CF94DD42B6}"/>
    <cellStyle name="Normal 3 2 3 2 6 2 2 3" xfId="25388" xr:uid="{CF3F0B77-8996-441B-8D33-AA6EA2B1EE7F}"/>
    <cellStyle name="Normal 3 2 3 2 6 2 3" xfId="12735" xr:uid="{F8179042-5D2B-4545-8EA4-FE86D10F4FFC}"/>
    <cellStyle name="Normal 3 2 3 2 6 2 4" xfId="21171" xr:uid="{D3F5A73D-618C-473A-8B75-7594B30FC932}"/>
    <cellStyle name="Normal 3 2 3 2 6 3" xfId="6366" xr:uid="{00000000-0005-0000-0000-0000A3110000}"/>
    <cellStyle name="Normal 3 2 3 2 6 3 2" xfId="14808" xr:uid="{D6B2ECCE-7707-465C-A9EB-859A7C1B4C08}"/>
    <cellStyle name="Normal 3 2 3 2 6 3 3" xfId="23243" xr:uid="{EE1DC098-0320-4A69-8CE2-81CFCF9454CD}"/>
    <cellStyle name="Normal 3 2 3 2 6 4" xfId="10590" xr:uid="{894C15DC-7622-4A7C-8EDD-C92FDF6B98A6}"/>
    <cellStyle name="Normal 3 2 3 2 6 5" xfId="19026" xr:uid="{0BF793EB-7013-499E-AE4B-EFACDA7F9E16}"/>
    <cellStyle name="Normal 3 2 3 2 7" xfId="2495" xr:uid="{00000000-0005-0000-0000-0000A4110000}"/>
    <cellStyle name="Normal 3 2 3 2 7 2" xfId="6779" xr:uid="{00000000-0005-0000-0000-0000A5110000}"/>
    <cellStyle name="Normal 3 2 3 2 7 2 2" xfId="15221" xr:uid="{94A6938F-1E1A-4D7F-97D9-52BC26B4A345}"/>
    <cellStyle name="Normal 3 2 3 2 7 2 3" xfId="23656" xr:uid="{77AAB79C-25B5-44C2-8C50-D8C212A913C7}"/>
    <cellStyle name="Normal 3 2 3 2 7 3" xfId="11003" xr:uid="{5DDE7EDD-13A4-43EE-B577-AFAC09E98302}"/>
    <cellStyle name="Normal 3 2 3 2 7 4" xfId="19439" xr:uid="{2BD2BC7C-6DED-4419-86EC-4AD4D182F252}"/>
    <cellStyle name="Normal 3 2 3 2 8" xfId="4713" xr:uid="{00000000-0005-0000-0000-0000A6110000}"/>
    <cellStyle name="Normal 3 2 3 2 8 2" xfId="13155" xr:uid="{EB581753-ED4F-495C-A96B-15538DAC67ED}"/>
    <cellStyle name="Normal 3 2 3 2 8 3" xfId="21590" xr:uid="{3C474A43-54BF-4E30-B36A-BB6734037E95}"/>
    <cellStyle name="Normal 3 2 3 2 9" xfId="8937" xr:uid="{C186B417-1ADD-475A-A453-8FC0F670C4E8}"/>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2 2 2" xfId="15716" xr:uid="{13191AD6-B7D8-427E-8AD6-4669801D2B7B}"/>
    <cellStyle name="Normal 3 2 3 3 2 2 2 3" xfId="24151" xr:uid="{971F1A33-D4F1-46F6-A24C-27AC0860D18E}"/>
    <cellStyle name="Normal 3 2 3 3 2 2 3" xfId="11498" xr:uid="{6A842DB8-A315-4F3F-84EF-E6152548DC9B}"/>
    <cellStyle name="Normal 3 2 3 3 2 2 4" xfId="19934" xr:uid="{A5BA7108-A8C2-4ABF-B64B-CAA1100F24D0}"/>
    <cellStyle name="Normal 3 2 3 3 2 3" xfId="5129" xr:uid="{00000000-0005-0000-0000-0000AB110000}"/>
    <cellStyle name="Normal 3 2 3 3 2 3 2" xfId="13571" xr:uid="{7123CA68-1251-4B31-A524-8ACDA74927EE}"/>
    <cellStyle name="Normal 3 2 3 3 2 3 3" xfId="22006" xr:uid="{8CEC1467-B4EA-498A-8FCA-FB6C0F62C6D3}"/>
    <cellStyle name="Normal 3 2 3 3 2 4" xfId="9353" xr:uid="{1CB85463-4F7B-4018-A236-7BAE0BC4E05F}"/>
    <cellStyle name="Normal 3 2 3 3 2 5" xfId="17789" xr:uid="{230B46BB-EA02-4625-924C-7657790F29F9}"/>
    <cellStyle name="Normal 3 2 3 3 3" xfId="1234" xr:uid="{00000000-0005-0000-0000-0000AC110000}"/>
    <cellStyle name="Normal 3 2 3 3 3 2" xfId="3464" xr:uid="{00000000-0005-0000-0000-0000AD110000}"/>
    <cellStyle name="Normal 3 2 3 3 3 2 2" xfId="7687" xr:uid="{00000000-0005-0000-0000-0000AE110000}"/>
    <cellStyle name="Normal 3 2 3 3 3 2 2 2" xfId="16129" xr:uid="{181F0A3D-BA0B-4014-BDE1-E672C78391B8}"/>
    <cellStyle name="Normal 3 2 3 3 3 2 2 3" xfId="24564" xr:uid="{937DFD9B-6DFF-4465-89BB-2876CDBF28D3}"/>
    <cellStyle name="Normal 3 2 3 3 3 2 3" xfId="11911" xr:uid="{095E50E8-FE06-446C-8437-FD31D1975C85}"/>
    <cellStyle name="Normal 3 2 3 3 3 2 4" xfId="20347" xr:uid="{A1A679A9-1ABA-4DD9-AF1B-E69CD58285D6}"/>
    <cellStyle name="Normal 3 2 3 3 3 3" xfId="5542" xr:uid="{00000000-0005-0000-0000-0000AF110000}"/>
    <cellStyle name="Normal 3 2 3 3 3 3 2" xfId="13984" xr:uid="{8D28478F-ABFA-4543-AB0C-303865819B2F}"/>
    <cellStyle name="Normal 3 2 3 3 3 3 3" xfId="22419" xr:uid="{C46042DF-9DA7-4565-90D1-1E9C0C662BFE}"/>
    <cellStyle name="Normal 3 2 3 3 3 4" xfId="9766" xr:uid="{EA17C63D-3E29-41C6-9CE0-D729344FAADC}"/>
    <cellStyle name="Normal 3 2 3 3 3 5" xfId="18202" xr:uid="{67CE93FF-D597-4C0A-9B4E-E90DA6D69840}"/>
    <cellStyle name="Normal 3 2 3 3 4" xfId="1647" xr:uid="{00000000-0005-0000-0000-0000B0110000}"/>
    <cellStyle name="Normal 3 2 3 3 4 2" xfId="3877" xr:uid="{00000000-0005-0000-0000-0000B1110000}"/>
    <cellStyle name="Normal 3 2 3 3 4 2 2" xfId="8100" xr:uid="{00000000-0005-0000-0000-0000B2110000}"/>
    <cellStyle name="Normal 3 2 3 3 4 2 2 2" xfId="16542" xr:uid="{B6669D97-029D-42D3-9946-7BA003A2F948}"/>
    <cellStyle name="Normal 3 2 3 3 4 2 2 3" xfId="24977" xr:uid="{248DB685-92D8-4EEC-AED3-6BDB60CFCD14}"/>
    <cellStyle name="Normal 3 2 3 3 4 2 3" xfId="12324" xr:uid="{DDC3902C-58EF-46ED-92A2-A4363140EFAB}"/>
    <cellStyle name="Normal 3 2 3 3 4 2 4" xfId="20760" xr:uid="{DA9E9739-8FE1-4367-8CE3-F4902EDD877C}"/>
    <cellStyle name="Normal 3 2 3 3 4 3" xfId="5955" xr:uid="{00000000-0005-0000-0000-0000B3110000}"/>
    <cellStyle name="Normal 3 2 3 3 4 3 2" xfId="14397" xr:uid="{DD625827-E13B-4164-ABB1-0BDE39FBF009}"/>
    <cellStyle name="Normal 3 2 3 3 4 3 3" xfId="22832" xr:uid="{ACC91DA1-E562-4DA4-9AC0-98E3BFBF4005}"/>
    <cellStyle name="Normal 3 2 3 3 4 4" xfId="10179" xr:uid="{4C254E49-C28C-4C34-B017-555334B9C471}"/>
    <cellStyle name="Normal 3 2 3 3 4 5" xfId="18615" xr:uid="{EEACF38F-FCD2-499F-A13C-FC5E01D9BC42}"/>
    <cellStyle name="Normal 3 2 3 3 5" xfId="2061" xr:uid="{00000000-0005-0000-0000-0000B4110000}"/>
    <cellStyle name="Normal 3 2 3 3 5 2" xfId="4290" xr:uid="{00000000-0005-0000-0000-0000B5110000}"/>
    <cellStyle name="Normal 3 2 3 3 5 2 2" xfId="8513" xr:uid="{00000000-0005-0000-0000-0000B6110000}"/>
    <cellStyle name="Normal 3 2 3 3 5 2 2 2" xfId="16955" xr:uid="{53D3125F-6350-4368-9C1A-FED1BD048D53}"/>
    <cellStyle name="Normal 3 2 3 3 5 2 2 3" xfId="25390" xr:uid="{EE78FF76-0D13-451A-9695-AFA6126BE66A}"/>
    <cellStyle name="Normal 3 2 3 3 5 2 3" xfId="12737" xr:uid="{EC1CAAF1-BDB0-4DA1-AAAE-A6DF4600BC98}"/>
    <cellStyle name="Normal 3 2 3 3 5 2 4" xfId="21173" xr:uid="{E3697535-11CA-46FA-B9F6-5EBE3B5764A1}"/>
    <cellStyle name="Normal 3 2 3 3 5 3" xfId="6368" xr:uid="{00000000-0005-0000-0000-0000B7110000}"/>
    <cellStyle name="Normal 3 2 3 3 5 3 2" xfId="14810" xr:uid="{521FF7B4-B50C-49C3-A610-FCC81B4EF622}"/>
    <cellStyle name="Normal 3 2 3 3 5 3 3" xfId="23245" xr:uid="{371A4761-2A71-40BC-8114-217BD7529494}"/>
    <cellStyle name="Normal 3 2 3 3 5 4" xfId="10592" xr:uid="{17998BB7-EDBE-439D-AC1B-11A0B65DB6F4}"/>
    <cellStyle name="Normal 3 2 3 3 5 5" xfId="19028" xr:uid="{351C1FFD-177B-4FF3-8F32-D05C4E40BC1F}"/>
    <cellStyle name="Normal 3 2 3 3 6" xfId="2497" xr:uid="{00000000-0005-0000-0000-0000B8110000}"/>
    <cellStyle name="Normal 3 2 3 3 6 2" xfId="6781" xr:uid="{00000000-0005-0000-0000-0000B9110000}"/>
    <cellStyle name="Normal 3 2 3 3 6 2 2" xfId="15223" xr:uid="{A6D61EF3-7338-4C76-BACE-DACAFEAE2A83}"/>
    <cellStyle name="Normal 3 2 3 3 6 2 3" xfId="23658" xr:uid="{1A497D4B-9A2F-4C5D-972B-8C018F4CA9CF}"/>
    <cellStyle name="Normal 3 2 3 3 6 3" xfId="11005" xr:uid="{6269644A-FCB2-43A2-B5E9-066329506BCE}"/>
    <cellStyle name="Normal 3 2 3 3 6 4" xfId="19441" xr:uid="{DBD18868-65E0-4C1D-A87A-7BA8FC747ADE}"/>
    <cellStyle name="Normal 3 2 3 3 7" xfId="4715" xr:uid="{00000000-0005-0000-0000-0000BA110000}"/>
    <cellStyle name="Normal 3 2 3 3 7 2" xfId="13157" xr:uid="{97F6EEB6-ABAD-436D-B99E-F2A87A67B6BD}"/>
    <cellStyle name="Normal 3 2 3 3 7 3" xfId="21592" xr:uid="{269952CD-0D7A-4F9C-A491-55050D52D317}"/>
    <cellStyle name="Normal 3 2 3 3 8" xfId="8939" xr:uid="{205BAF1F-6969-4031-9582-784949DADFC9}"/>
    <cellStyle name="Normal 3 2 3 3 9" xfId="17375" xr:uid="{193C2D5C-2BC8-48A1-BDF1-9129E66D0709}"/>
    <cellStyle name="Normal 3 2 3 4" xfId="811" xr:uid="{00000000-0005-0000-0000-0000BB110000}"/>
    <cellStyle name="Normal 3 2 3 4 2" xfId="3048" xr:uid="{00000000-0005-0000-0000-0000BC110000}"/>
    <cellStyle name="Normal 3 2 3 4 2 2" xfId="7271" xr:uid="{00000000-0005-0000-0000-0000BD110000}"/>
    <cellStyle name="Normal 3 2 3 4 2 2 2" xfId="15713" xr:uid="{0084DB5E-F9E7-421D-8450-CEAD5D027027}"/>
    <cellStyle name="Normal 3 2 3 4 2 2 3" xfId="24148" xr:uid="{AC65C3E4-8A14-4937-8DDE-0750E2CFAF9E}"/>
    <cellStyle name="Normal 3 2 3 4 2 3" xfId="11495" xr:uid="{DF28EA56-3F3A-4B4C-8ACA-0DB76311AFBC}"/>
    <cellStyle name="Normal 3 2 3 4 2 4" xfId="19931" xr:uid="{84629D4C-2176-4A91-934A-C8922593BA9F}"/>
    <cellStyle name="Normal 3 2 3 4 3" xfId="5126" xr:uid="{00000000-0005-0000-0000-0000BE110000}"/>
    <cellStyle name="Normal 3 2 3 4 3 2" xfId="13568" xr:uid="{805595E8-5CB8-4176-8BDF-11E80DA681E1}"/>
    <cellStyle name="Normal 3 2 3 4 3 3" xfId="22003" xr:uid="{DEF23C1A-BFA9-49F4-BB96-14F4E0A2EE47}"/>
    <cellStyle name="Normal 3 2 3 4 4" xfId="9350" xr:uid="{D8314130-1806-4579-AF86-1E2387CB02F7}"/>
    <cellStyle name="Normal 3 2 3 4 5" xfId="17786" xr:uid="{C47B2EFD-B53A-47F2-8B58-364F84B76DB6}"/>
    <cellStyle name="Normal 3 2 3 5" xfId="1231" xr:uid="{00000000-0005-0000-0000-0000BF110000}"/>
    <cellStyle name="Normal 3 2 3 5 2" xfId="3461" xr:uid="{00000000-0005-0000-0000-0000C0110000}"/>
    <cellStyle name="Normal 3 2 3 5 2 2" xfId="7684" xr:uid="{00000000-0005-0000-0000-0000C1110000}"/>
    <cellStyle name="Normal 3 2 3 5 2 2 2" xfId="16126" xr:uid="{207CB17F-AECB-42A3-BE12-5ADBDBBC891B}"/>
    <cellStyle name="Normal 3 2 3 5 2 2 3" xfId="24561" xr:uid="{94051EB4-FCFF-409A-9CD1-2D431055E3DE}"/>
    <cellStyle name="Normal 3 2 3 5 2 3" xfId="11908" xr:uid="{C7BE61A2-C8DC-4FBA-987D-BCE89389AE23}"/>
    <cellStyle name="Normal 3 2 3 5 2 4" xfId="20344" xr:uid="{1AEEAF2E-A123-4B05-97EA-F7BDFD0CDF7C}"/>
    <cellStyle name="Normal 3 2 3 5 3" xfId="5539" xr:uid="{00000000-0005-0000-0000-0000C2110000}"/>
    <cellStyle name="Normal 3 2 3 5 3 2" xfId="13981" xr:uid="{D96CFCC4-4F61-4B1B-80E4-AF9FA4CFF60D}"/>
    <cellStyle name="Normal 3 2 3 5 3 3" xfId="22416" xr:uid="{A91EB1F9-0C1E-4779-B99A-B75AE294BA29}"/>
    <cellStyle name="Normal 3 2 3 5 4" xfId="9763" xr:uid="{3912F4E6-B8F9-4486-9720-C4465982638D}"/>
    <cellStyle name="Normal 3 2 3 5 5" xfId="18199" xr:uid="{3F485906-ACFE-4C67-9EBD-E84A69B1C798}"/>
    <cellStyle name="Normal 3 2 3 6" xfId="1644" xr:uid="{00000000-0005-0000-0000-0000C3110000}"/>
    <cellStyle name="Normal 3 2 3 6 2" xfId="3874" xr:uid="{00000000-0005-0000-0000-0000C4110000}"/>
    <cellStyle name="Normal 3 2 3 6 2 2" xfId="8097" xr:uid="{00000000-0005-0000-0000-0000C5110000}"/>
    <cellStyle name="Normal 3 2 3 6 2 2 2" xfId="16539" xr:uid="{8677F625-B7EF-4DE7-A9FB-957B75E4E274}"/>
    <cellStyle name="Normal 3 2 3 6 2 2 3" xfId="24974" xr:uid="{31AFA974-C53F-489C-AE0E-A02151407937}"/>
    <cellStyle name="Normal 3 2 3 6 2 3" xfId="12321" xr:uid="{D013B0A4-DD26-40FF-A445-C68E549DC088}"/>
    <cellStyle name="Normal 3 2 3 6 2 4" xfId="20757" xr:uid="{EF7EB089-0E15-475A-9223-390E85F0CBF7}"/>
    <cellStyle name="Normal 3 2 3 6 3" xfId="5952" xr:uid="{00000000-0005-0000-0000-0000C6110000}"/>
    <cellStyle name="Normal 3 2 3 6 3 2" xfId="14394" xr:uid="{9F069C21-EEE5-436B-93A2-F0DFB6E5C3AE}"/>
    <cellStyle name="Normal 3 2 3 6 3 3" xfId="22829" xr:uid="{3BDB181E-48C2-45D0-9A8C-873B596785EF}"/>
    <cellStyle name="Normal 3 2 3 6 4" xfId="10176" xr:uid="{CBF4CBB2-70DA-4313-9137-1ABD7031531B}"/>
    <cellStyle name="Normal 3 2 3 6 5" xfId="18612" xr:uid="{F18728FD-B06D-4A3B-B2B3-B62F7FF04331}"/>
    <cellStyle name="Normal 3 2 3 7" xfId="2058" xr:uid="{00000000-0005-0000-0000-0000C7110000}"/>
    <cellStyle name="Normal 3 2 3 7 2" xfId="4287" xr:uid="{00000000-0005-0000-0000-0000C8110000}"/>
    <cellStyle name="Normal 3 2 3 7 2 2" xfId="8510" xr:uid="{00000000-0005-0000-0000-0000C9110000}"/>
    <cellStyle name="Normal 3 2 3 7 2 2 2" xfId="16952" xr:uid="{8BF04157-500F-46ED-8669-999DDFF04E3E}"/>
    <cellStyle name="Normal 3 2 3 7 2 2 3" xfId="25387" xr:uid="{1E917B6B-9190-4A9B-86B3-7EBD231A71DC}"/>
    <cellStyle name="Normal 3 2 3 7 2 3" xfId="12734" xr:uid="{EB701270-DDC1-4FC7-9D44-0996396C177D}"/>
    <cellStyle name="Normal 3 2 3 7 2 4" xfId="21170" xr:uid="{84A51C86-11CA-4F6C-A618-D72499AE0972}"/>
    <cellStyle name="Normal 3 2 3 7 3" xfId="6365" xr:uid="{00000000-0005-0000-0000-0000CA110000}"/>
    <cellStyle name="Normal 3 2 3 7 3 2" xfId="14807" xr:uid="{6F5CCB77-B417-4A41-921E-F80D25E511DD}"/>
    <cellStyle name="Normal 3 2 3 7 3 3" xfId="23242" xr:uid="{FBC66FA7-B8D2-458F-A64D-306D868A9A07}"/>
    <cellStyle name="Normal 3 2 3 7 4" xfId="10589" xr:uid="{2FE576FE-B001-45C7-A87A-53F0A61BFF8B}"/>
    <cellStyle name="Normal 3 2 3 7 5" xfId="19025" xr:uid="{663AA2A5-27DF-4C07-BFFB-EA35491BE194}"/>
    <cellStyle name="Normal 3 2 3 8" xfId="2494" xr:uid="{00000000-0005-0000-0000-0000CB110000}"/>
    <cellStyle name="Normal 3 2 3 8 2" xfId="6778" xr:uid="{00000000-0005-0000-0000-0000CC110000}"/>
    <cellStyle name="Normal 3 2 3 8 2 2" xfId="15220" xr:uid="{48AADAC8-2160-4A77-BA9A-CDFB854DDF58}"/>
    <cellStyle name="Normal 3 2 3 8 2 3" xfId="23655" xr:uid="{995623BF-3851-444E-87C5-7F8A799D1331}"/>
    <cellStyle name="Normal 3 2 3 8 3" xfId="11002" xr:uid="{51C1FFD3-D7F6-4BB9-B693-E9F0A01ABA4D}"/>
    <cellStyle name="Normal 3 2 3 8 4" xfId="19438" xr:uid="{3700F115-9EA3-4846-9F40-4643BD301600}"/>
    <cellStyle name="Normal 3 2 3 9" xfId="4712" xr:uid="{00000000-0005-0000-0000-0000CD110000}"/>
    <cellStyle name="Normal 3 2 3 9 2" xfId="13154" xr:uid="{414BAE91-B79C-44CD-ADD1-09A9FA916528}"/>
    <cellStyle name="Normal 3 2 3 9 3" xfId="21589" xr:uid="{5FF4824A-D100-419A-9A75-8B69F33B7713}"/>
    <cellStyle name="Normal 3 2 4" xfId="809" xr:uid="{00000000-0005-0000-0000-0000CE110000}"/>
    <cellStyle name="Normal 3 2 4 2" xfId="3047" xr:uid="{00000000-0005-0000-0000-0000CF110000}"/>
    <cellStyle name="Normal 3 2 4 2 2" xfId="7270" xr:uid="{00000000-0005-0000-0000-0000D0110000}"/>
    <cellStyle name="Normal 3 2 4 2 2 2" xfId="15712" xr:uid="{9EFA1B92-85A2-48F2-996E-0977F9D0CD62}"/>
    <cellStyle name="Normal 3 2 4 2 2 3" xfId="24147" xr:uid="{5EC29889-1727-4516-8750-67E66ADE803D}"/>
    <cellStyle name="Normal 3 2 4 2 3" xfId="11494" xr:uid="{C902ADE2-27B1-4BAA-8FE3-F4708988E45F}"/>
    <cellStyle name="Normal 3 2 4 2 4" xfId="19930" xr:uid="{F596DE6E-AF3C-4252-BAB4-262CCE5350F4}"/>
    <cellStyle name="Normal 3 2 4 3" xfId="5125" xr:uid="{00000000-0005-0000-0000-0000D1110000}"/>
    <cellStyle name="Normal 3 2 4 3 2" xfId="13567" xr:uid="{81AFD24D-453C-44A3-A273-656FA2CBE3E8}"/>
    <cellStyle name="Normal 3 2 4 3 3" xfId="22002" xr:uid="{D2307EF1-8DA4-41C5-94C6-D4BD63EF2459}"/>
    <cellStyle name="Normal 3 2 4 4" xfId="9349" xr:uid="{01D3861B-87B4-4855-B9CF-32F320CB350A}"/>
    <cellStyle name="Normal 3 2 4 5" xfId="17785" xr:uid="{6AA333D8-7BAA-4835-A994-593C44684673}"/>
    <cellStyle name="Normal 3 2 5" xfId="1230" xr:uid="{00000000-0005-0000-0000-0000D2110000}"/>
    <cellStyle name="Normal 3 2 5 2" xfId="3460" xr:uid="{00000000-0005-0000-0000-0000D3110000}"/>
    <cellStyle name="Normal 3 2 5 2 2" xfId="7683" xr:uid="{00000000-0005-0000-0000-0000D4110000}"/>
    <cellStyle name="Normal 3 2 5 2 2 2" xfId="16125" xr:uid="{B866E523-E12A-47EE-BDFE-7482DA66DD07}"/>
    <cellStyle name="Normal 3 2 5 2 2 3" xfId="24560" xr:uid="{8F240BAC-07D7-4C77-939F-71BC483B3486}"/>
    <cellStyle name="Normal 3 2 5 2 3" xfId="11907" xr:uid="{78314F52-E456-43A6-8BF9-7A2F4923EDEB}"/>
    <cellStyle name="Normal 3 2 5 2 4" xfId="20343" xr:uid="{B1694594-C213-40A2-AF70-286ED23B1DCF}"/>
    <cellStyle name="Normal 3 2 5 3" xfId="5538" xr:uid="{00000000-0005-0000-0000-0000D5110000}"/>
    <cellStyle name="Normal 3 2 5 3 2" xfId="13980" xr:uid="{AE520669-243F-4499-BC0B-8778E881F8C6}"/>
    <cellStyle name="Normal 3 2 5 3 3" xfId="22415" xr:uid="{E01CB5DC-C56B-4919-8981-FFF15B7972B0}"/>
    <cellStyle name="Normal 3 2 5 4" xfId="9762" xr:uid="{61C749FE-6485-4829-95A0-C4FCD9E394DD}"/>
    <cellStyle name="Normal 3 2 5 5" xfId="18198" xr:uid="{BF443218-655C-4266-9BD7-281BE3B11D32}"/>
    <cellStyle name="Normal 3 2 6" xfId="1643" xr:uid="{00000000-0005-0000-0000-0000D6110000}"/>
    <cellStyle name="Normal 3 2 6 2" xfId="3873" xr:uid="{00000000-0005-0000-0000-0000D7110000}"/>
    <cellStyle name="Normal 3 2 6 2 2" xfId="8096" xr:uid="{00000000-0005-0000-0000-0000D8110000}"/>
    <cellStyle name="Normal 3 2 6 2 2 2" xfId="16538" xr:uid="{2AAD7FEC-D2C5-4F52-AF88-51B5E0B7C60C}"/>
    <cellStyle name="Normal 3 2 6 2 2 3" xfId="24973" xr:uid="{0CE635B9-6864-4FEE-B47A-5688611C0C11}"/>
    <cellStyle name="Normal 3 2 6 2 3" xfId="12320" xr:uid="{32AC1DF2-1141-4F46-BCC9-9B1DF4B9CCD7}"/>
    <cellStyle name="Normal 3 2 6 2 4" xfId="20756" xr:uid="{5D1CD66B-23B8-4F87-8432-E92B607882D4}"/>
    <cellStyle name="Normal 3 2 6 3" xfId="5951" xr:uid="{00000000-0005-0000-0000-0000D9110000}"/>
    <cellStyle name="Normal 3 2 6 3 2" xfId="14393" xr:uid="{4720E9D5-AF34-4CD1-9FC4-8F736482FC3F}"/>
    <cellStyle name="Normal 3 2 6 3 3" xfId="22828" xr:uid="{ADB6B305-1081-4E12-A959-046508E8156E}"/>
    <cellStyle name="Normal 3 2 6 4" xfId="10175" xr:uid="{1467A751-32B3-4CA1-BB0A-FDAC76C46CB4}"/>
    <cellStyle name="Normal 3 2 6 5" xfId="18611" xr:uid="{0D1EFE18-B07F-445F-B6B2-4F88CC00CEF6}"/>
    <cellStyle name="Normal 3 2 7" xfId="2057" xr:uid="{00000000-0005-0000-0000-0000DA110000}"/>
    <cellStyle name="Normal 3 2 7 2" xfId="4286" xr:uid="{00000000-0005-0000-0000-0000DB110000}"/>
    <cellStyle name="Normal 3 2 7 2 2" xfId="8509" xr:uid="{00000000-0005-0000-0000-0000DC110000}"/>
    <cellStyle name="Normal 3 2 7 2 2 2" xfId="16951" xr:uid="{B8EFC332-4307-41A8-BCD8-842C586E3FCF}"/>
    <cellStyle name="Normal 3 2 7 2 2 3" xfId="25386" xr:uid="{F97AFACB-9E2B-41B6-B7B6-035B7E259C47}"/>
    <cellStyle name="Normal 3 2 7 2 3" xfId="12733" xr:uid="{45230CE4-48F6-47DF-9CC8-A8379FB6CDAB}"/>
    <cellStyle name="Normal 3 2 7 2 4" xfId="21169" xr:uid="{F8ECE06A-A58A-4D59-A73C-A30E83C98B70}"/>
    <cellStyle name="Normal 3 2 7 3" xfId="6364" xr:uid="{00000000-0005-0000-0000-0000DD110000}"/>
    <cellStyle name="Normal 3 2 7 3 2" xfId="14806" xr:uid="{45D2125C-E7B5-4882-AE83-BF141087DC6D}"/>
    <cellStyle name="Normal 3 2 7 3 3" xfId="23241" xr:uid="{54893418-8800-4E94-84B7-3D4D4A4F52B9}"/>
    <cellStyle name="Normal 3 2 7 4" xfId="10588" xr:uid="{86F61A36-DC14-4629-8E41-E1EBF5DB21C4}"/>
    <cellStyle name="Normal 3 2 7 5" xfId="19024" xr:uid="{159F9A1A-5E1B-438C-9DF6-55C1064600EB}"/>
    <cellStyle name="Normal 3 2 8" xfId="2493" xr:uid="{00000000-0005-0000-0000-0000DE110000}"/>
    <cellStyle name="Normal 3 2 8 2" xfId="6777" xr:uid="{00000000-0005-0000-0000-0000DF110000}"/>
    <cellStyle name="Normal 3 2 8 2 2" xfId="15219" xr:uid="{FD05D1CF-26C7-4FE5-841F-6009167A5DFF}"/>
    <cellStyle name="Normal 3 2 8 2 3" xfId="23654" xr:uid="{E4E308AD-8501-4549-B11E-9C5F2018B185}"/>
    <cellStyle name="Normal 3 2 8 3" xfId="11001" xr:uid="{12F43AD1-3103-4BBA-AEAB-C103EA60A7B2}"/>
    <cellStyle name="Normal 3 2 8 4" xfId="19437" xr:uid="{D46C55D4-E9F8-4926-9E60-10F3EB4FD870}"/>
    <cellStyle name="Normal 3 2 9" xfId="4711" xr:uid="{00000000-0005-0000-0000-0000E0110000}"/>
    <cellStyle name="Normal 3 2 9 2" xfId="13153" xr:uid="{82F55456-C13C-4849-A8EC-BC33C572CBD8}"/>
    <cellStyle name="Normal 3 2 9 3" xfId="21588" xr:uid="{D6838757-6335-4EEC-8350-27B371F8D1B3}"/>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940" xr:uid="{A716F31C-BA6C-481B-B363-A6333546AA3C}"/>
    <cellStyle name="Normal 4 11" xfId="17376" xr:uid="{1799264D-C51B-4C35-85F8-1AD80563ED0A}"/>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2 2 2" xfId="16956" xr:uid="{CAC69E8E-0D76-4CE3-9630-78C58B603B5F}"/>
    <cellStyle name="Normal 4 2 2 10 2 2 3" xfId="25391" xr:uid="{367683CD-F0E6-4418-BA44-B616FE9E0A52}"/>
    <cellStyle name="Normal 4 2 2 10 2 3" xfId="12738" xr:uid="{41948655-914A-454F-83F3-929513FA17FD}"/>
    <cellStyle name="Normal 4 2 2 10 2 4" xfId="21174" xr:uid="{2E5BAE3F-E754-4870-976D-09FCBDBBC9C1}"/>
    <cellStyle name="Normal 4 2 2 10 3" xfId="6369" xr:uid="{00000000-0005-0000-0000-0000ED110000}"/>
    <cellStyle name="Normal 4 2 2 10 3 2" xfId="14811" xr:uid="{D5ECFECE-AC00-4751-9DF4-3125C242D036}"/>
    <cellStyle name="Normal 4 2 2 10 3 3" xfId="23246" xr:uid="{828A94AB-416F-49B2-BCF3-278CA6AB0D9C}"/>
    <cellStyle name="Normal 4 2 2 10 4" xfId="10593" xr:uid="{19694224-8DDE-4C89-B3B0-B018001F84CC}"/>
    <cellStyle name="Normal 4 2 2 10 5" xfId="19029" xr:uid="{1A123495-DEFF-480F-B100-5F51F721DF77}"/>
    <cellStyle name="Normal 4 2 2 11" xfId="2498" xr:uid="{00000000-0005-0000-0000-0000EE110000}"/>
    <cellStyle name="Normal 4 2 2 11 2" xfId="6782" xr:uid="{00000000-0005-0000-0000-0000EF110000}"/>
    <cellStyle name="Normal 4 2 2 11 2 2" xfId="15224" xr:uid="{679C67DE-CEC9-4DE3-89A4-9B5D1A5D24C2}"/>
    <cellStyle name="Normal 4 2 2 11 2 3" xfId="23659" xr:uid="{49585751-E556-450F-8CF5-27E522C010A1}"/>
    <cellStyle name="Normal 4 2 2 11 3" xfId="11006" xr:uid="{81AAAC81-66F7-4E42-A9BF-E27C79EC3A54}"/>
    <cellStyle name="Normal 4 2 2 11 4" xfId="19442" xr:uid="{19F7C3B4-ED58-4312-A0D2-66C55891296C}"/>
    <cellStyle name="Normal 4 2 2 12" xfId="4717" xr:uid="{00000000-0005-0000-0000-0000F0110000}"/>
    <cellStyle name="Normal 4 2 2 12 2" xfId="13159" xr:uid="{372B5FA9-722F-4A49-AFD1-F6B50477722B}"/>
    <cellStyle name="Normal 4 2 2 12 3" xfId="21594" xr:uid="{1A3C5223-5EAB-41C0-ACA3-75B54876ED66}"/>
    <cellStyle name="Normal 4 2 2 13" xfId="8941" xr:uid="{36EAA8A1-562B-4AE8-A080-1175809CB83D}"/>
    <cellStyle name="Normal 4 2 2 14" xfId="17377" xr:uid="{7A08BE4C-7468-4E30-9909-C7D164776BA8}"/>
    <cellStyle name="Normal 4 2 2 2" xfId="338" xr:uid="{00000000-0005-0000-0000-0000F1110000}"/>
    <cellStyle name="Normal 4 2 2 3" xfId="339" xr:uid="{00000000-0005-0000-0000-0000F2110000}"/>
    <cellStyle name="Normal 4 2 2 3 10" xfId="4718" xr:uid="{00000000-0005-0000-0000-0000F3110000}"/>
    <cellStyle name="Normal 4 2 2 3 10 2" xfId="13160" xr:uid="{F8CA83C7-6A6B-4E3C-9706-4CD479C559A9}"/>
    <cellStyle name="Normal 4 2 2 3 10 3" xfId="21595" xr:uid="{3FE1C354-020B-4326-9D78-860DE0A9BA95}"/>
    <cellStyle name="Normal 4 2 2 3 11" xfId="8942" xr:uid="{1FD6FD09-7090-49B8-B075-B1028AF271E6}"/>
    <cellStyle name="Normal 4 2 2 3 12" xfId="17378" xr:uid="{05333246-777A-400D-9055-DDFD662731AF}"/>
    <cellStyle name="Normal 4 2 2 3 2" xfId="340" xr:uid="{00000000-0005-0000-0000-0000F4110000}"/>
    <cellStyle name="Normal 4 2 2 3 2 10" xfId="8943" xr:uid="{25F53110-0DA4-42AF-A606-5FF3551D12D6}"/>
    <cellStyle name="Normal 4 2 2 3 2 11" xfId="17379" xr:uid="{C8CF22F4-28CF-4BD4-8142-177207F26542}"/>
    <cellStyle name="Normal 4 2 2 3 2 2" xfId="341" xr:uid="{00000000-0005-0000-0000-0000F5110000}"/>
    <cellStyle name="Normal 4 2 2 3 2 2 10" xfId="17380" xr:uid="{79E9E106-E6B3-499B-83B7-907340234C21}"/>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2 2 2" xfId="15721" xr:uid="{18A3BA60-E781-42A3-86D4-BF75DB64937F}"/>
    <cellStyle name="Normal 4 2 2 3 2 2 2 2 2 2 3" xfId="24156" xr:uid="{61B1B450-3BBE-4F22-99F8-8F4A727987A9}"/>
    <cellStyle name="Normal 4 2 2 3 2 2 2 2 2 3" xfId="11503" xr:uid="{77AD23A4-BE94-40D2-879A-87AA57078E11}"/>
    <cellStyle name="Normal 4 2 2 3 2 2 2 2 2 4" xfId="19939" xr:uid="{08722B2E-07E3-441A-B2DD-F8034A502B89}"/>
    <cellStyle name="Normal 4 2 2 3 2 2 2 2 3" xfId="5134" xr:uid="{00000000-0005-0000-0000-0000FA110000}"/>
    <cellStyle name="Normal 4 2 2 3 2 2 2 2 3 2" xfId="13576" xr:uid="{B4B1CF42-00AE-4440-9911-1F93879DE37E}"/>
    <cellStyle name="Normal 4 2 2 3 2 2 2 2 3 3" xfId="22011" xr:uid="{0E38082A-709E-487B-A68C-82827B78C07E}"/>
    <cellStyle name="Normal 4 2 2 3 2 2 2 2 4" xfId="9358" xr:uid="{15B4FBA1-04FB-4643-8A32-1943DBBFA4ED}"/>
    <cellStyle name="Normal 4 2 2 3 2 2 2 2 5" xfId="17794" xr:uid="{4CEA0DFD-358F-4047-9A5F-BCD645BF71F3}"/>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2 2 2" xfId="16134" xr:uid="{3B86A044-DF28-44C6-89B9-F6DB276F3E4D}"/>
    <cellStyle name="Normal 4 2 2 3 2 2 2 3 2 2 3" xfId="24569" xr:uid="{D119067A-7243-4C48-9811-24F885730FB0}"/>
    <cellStyle name="Normal 4 2 2 3 2 2 2 3 2 3" xfId="11916" xr:uid="{08775D3D-9516-4C65-A578-7DFB850AF4EF}"/>
    <cellStyle name="Normal 4 2 2 3 2 2 2 3 2 4" xfId="20352" xr:uid="{17AC81D4-ABD5-45BF-BC7A-901ECE6566F7}"/>
    <cellStyle name="Normal 4 2 2 3 2 2 2 3 3" xfId="5547" xr:uid="{00000000-0005-0000-0000-0000FE110000}"/>
    <cellStyle name="Normal 4 2 2 3 2 2 2 3 3 2" xfId="13989" xr:uid="{74AF7571-0B1F-4B2D-8579-422BB1C53243}"/>
    <cellStyle name="Normal 4 2 2 3 2 2 2 3 3 3" xfId="22424" xr:uid="{C0D0A983-4EF2-4B90-B8F6-2FD541ED48BA}"/>
    <cellStyle name="Normal 4 2 2 3 2 2 2 3 4" xfId="9771" xr:uid="{4E381F63-CE00-42FD-8EEC-556134DE385A}"/>
    <cellStyle name="Normal 4 2 2 3 2 2 2 3 5" xfId="18207" xr:uid="{E139B0A4-944B-485E-AEC6-5979B7699226}"/>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2 2 2" xfId="16547" xr:uid="{2D5BC395-E7E7-40A9-841F-BB2FB56F04EB}"/>
    <cellStyle name="Normal 4 2 2 3 2 2 2 4 2 2 3" xfId="24982" xr:uid="{AC7272E0-1B19-4B9B-82F5-3E37F60F56D0}"/>
    <cellStyle name="Normal 4 2 2 3 2 2 2 4 2 3" xfId="12329" xr:uid="{D481AF0D-197F-4238-971E-95FC77425B5D}"/>
    <cellStyle name="Normal 4 2 2 3 2 2 2 4 2 4" xfId="20765" xr:uid="{45D7FBE3-C2B6-429B-8CBB-FD9AF172E535}"/>
    <cellStyle name="Normal 4 2 2 3 2 2 2 4 3" xfId="5960" xr:uid="{00000000-0005-0000-0000-000002120000}"/>
    <cellStyle name="Normal 4 2 2 3 2 2 2 4 3 2" xfId="14402" xr:uid="{7550F1CD-3093-418D-9B15-D40E7A7560F8}"/>
    <cellStyle name="Normal 4 2 2 3 2 2 2 4 3 3" xfId="22837" xr:uid="{9171FF00-E211-4C9A-9211-711C515ADD86}"/>
    <cellStyle name="Normal 4 2 2 3 2 2 2 4 4" xfId="10184" xr:uid="{7AE33DF3-9DF4-41E3-8CCD-082FDA2F3622}"/>
    <cellStyle name="Normal 4 2 2 3 2 2 2 4 5" xfId="18620" xr:uid="{467BE0EA-9C3B-4DC2-B4AE-C170EA31F741}"/>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2 2 2" xfId="16960" xr:uid="{28606BC0-95C2-48FA-9D81-63A1B0C11A01}"/>
    <cellStyle name="Normal 4 2 2 3 2 2 2 5 2 2 3" xfId="25395" xr:uid="{48B89BA2-EFEF-46B7-B5E2-751625380C1D}"/>
    <cellStyle name="Normal 4 2 2 3 2 2 2 5 2 3" xfId="12742" xr:uid="{4576357A-E305-4AA5-8E68-635D88150CF3}"/>
    <cellStyle name="Normal 4 2 2 3 2 2 2 5 2 4" xfId="21178" xr:uid="{F00FDC93-6EF0-44A9-92D6-C7334EB6DC93}"/>
    <cellStyle name="Normal 4 2 2 3 2 2 2 5 3" xfId="6373" xr:uid="{00000000-0005-0000-0000-000006120000}"/>
    <cellStyle name="Normal 4 2 2 3 2 2 2 5 3 2" xfId="14815" xr:uid="{9B123904-7950-436B-BE6D-4786E5B6CBD3}"/>
    <cellStyle name="Normal 4 2 2 3 2 2 2 5 3 3" xfId="23250" xr:uid="{1E83B667-AEEE-4C9A-9415-12DA7A237D9C}"/>
    <cellStyle name="Normal 4 2 2 3 2 2 2 5 4" xfId="10597" xr:uid="{1CB69E1B-D264-428F-8366-722B849AE930}"/>
    <cellStyle name="Normal 4 2 2 3 2 2 2 5 5" xfId="19033" xr:uid="{802605C1-EBB4-49E7-963C-E7E4197EE8C0}"/>
    <cellStyle name="Normal 4 2 2 3 2 2 2 6" xfId="2502" xr:uid="{00000000-0005-0000-0000-000007120000}"/>
    <cellStyle name="Normal 4 2 2 3 2 2 2 6 2" xfId="6786" xr:uid="{00000000-0005-0000-0000-000008120000}"/>
    <cellStyle name="Normal 4 2 2 3 2 2 2 6 2 2" xfId="15228" xr:uid="{DDFD89A2-3FE3-4BD4-9C57-FD53776A0E1A}"/>
    <cellStyle name="Normal 4 2 2 3 2 2 2 6 2 3" xfId="23663" xr:uid="{99893A4A-42DB-49B9-9F91-9494883286BF}"/>
    <cellStyle name="Normal 4 2 2 3 2 2 2 6 3" xfId="11010" xr:uid="{15F597A9-BAC2-4D76-835F-23FC23AE332E}"/>
    <cellStyle name="Normal 4 2 2 3 2 2 2 6 4" xfId="19446" xr:uid="{F0A603C5-1AE1-41A4-8B5F-9C06D910DD96}"/>
    <cellStyle name="Normal 4 2 2 3 2 2 2 7" xfId="4721" xr:uid="{00000000-0005-0000-0000-000009120000}"/>
    <cellStyle name="Normal 4 2 2 3 2 2 2 7 2" xfId="13163" xr:uid="{4E4F54B5-2DAB-4D9A-83AC-0D905F6D18F3}"/>
    <cellStyle name="Normal 4 2 2 3 2 2 2 7 3" xfId="21598" xr:uid="{6FF2483B-8577-4D7B-9641-6FD4E938FD4A}"/>
    <cellStyle name="Normal 4 2 2 3 2 2 2 8" xfId="8945" xr:uid="{F147BA23-568B-4BD8-9EA6-21E66304F067}"/>
    <cellStyle name="Normal 4 2 2 3 2 2 2 9" xfId="17381" xr:uid="{082331DE-6D9D-4777-9E09-074D8FF5BC08}"/>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2 2 2" xfId="15720" xr:uid="{AF5C6E46-DC0B-4D17-9FB3-83A97232A52B}"/>
    <cellStyle name="Normal 4 2 2 3 2 2 3 2 2 3" xfId="24155" xr:uid="{4EF9E612-D4E8-4BC6-88EB-CD2B2E97F1B5}"/>
    <cellStyle name="Normal 4 2 2 3 2 2 3 2 3" xfId="11502" xr:uid="{13D892DF-B7E9-42F4-9D67-D1C1AB8F8498}"/>
    <cellStyle name="Normal 4 2 2 3 2 2 3 2 4" xfId="19938" xr:uid="{58DF9F66-9599-456D-9749-0C8D96F43964}"/>
    <cellStyle name="Normal 4 2 2 3 2 2 3 3" xfId="5133" xr:uid="{00000000-0005-0000-0000-00000D120000}"/>
    <cellStyle name="Normal 4 2 2 3 2 2 3 3 2" xfId="13575" xr:uid="{8CDF2437-3F14-4A71-8993-4CABF28F0A53}"/>
    <cellStyle name="Normal 4 2 2 3 2 2 3 3 3" xfId="22010" xr:uid="{942352E2-924C-41D1-885E-F2D8ECA9234C}"/>
    <cellStyle name="Normal 4 2 2 3 2 2 3 4" xfId="9357" xr:uid="{19CDB5C1-B5C6-4350-A185-E7E5036C0A47}"/>
    <cellStyle name="Normal 4 2 2 3 2 2 3 5" xfId="17793" xr:uid="{07C5A277-E798-4AB1-94DE-365D627D93A2}"/>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2 2 2" xfId="16133" xr:uid="{508AB3E9-CF83-42D6-A1BB-94F1F5BFCF25}"/>
    <cellStyle name="Normal 4 2 2 3 2 2 4 2 2 3" xfId="24568" xr:uid="{A6150C1B-E8CB-4EDC-89C4-372A9CB5C940}"/>
    <cellStyle name="Normal 4 2 2 3 2 2 4 2 3" xfId="11915" xr:uid="{78550860-D8FC-4930-8484-66F0B4D82C17}"/>
    <cellStyle name="Normal 4 2 2 3 2 2 4 2 4" xfId="20351" xr:uid="{365E34D0-D9D8-4F39-B45C-26EC2BB8D35D}"/>
    <cellStyle name="Normal 4 2 2 3 2 2 4 3" xfId="5546" xr:uid="{00000000-0005-0000-0000-000011120000}"/>
    <cellStyle name="Normal 4 2 2 3 2 2 4 3 2" xfId="13988" xr:uid="{11922C49-5D11-42EB-8A64-4C6BF0CCEF62}"/>
    <cellStyle name="Normal 4 2 2 3 2 2 4 3 3" xfId="22423" xr:uid="{A29CAA20-B277-4C8C-A0B7-F1572C5E767B}"/>
    <cellStyle name="Normal 4 2 2 3 2 2 4 4" xfId="9770" xr:uid="{036A41FF-9390-40B7-96A2-ADC6CA299BAC}"/>
    <cellStyle name="Normal 4 2 2 3 2 2 4 5" xfId="18206" xr:uid="{F673CFAF-932A-45D7-85C4-1D2B10E858DC}"/>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2 2 2" xfId="16546" xr:uid="{D0CEC0E6-8148-4529-B067-3D3CECD2FC3E}"/>
    <cellStyle name="Normal 4 2 2 3 2 2 5 2 2 3" xfId="24981" xr:uid="{157FF42E-7D34-497F-B802-D3F8D85262DE}"/>
    <cellStyle name="Normal 4 2 2 3 2 2 5 2 3" xfId="12328" xr:uid="{C48A8E41-2CE5-4ABE-9B98-7F7383A30E72}"/>
    <cellStyle name="Normal 4 2 2 3 2 2 5 2 4" xfId="20764" xr:uid="{648949DE-40DF-4880-8EEA-F533D3602D1F}"/>
    <cellStyle name="Normal 4 2 2 3 2 2 5 3" xfId="5959" xr:uid="{00000000-0005-0000-0000-000015120000}"/>
    <cellStyle name="Normal 4 2 2 3 2 2 5 3 2" xfId="14401" xr:uid="{84CB6E63-B40F-4DD4-8876-0FE901041808}"/>
    <cellStyle name="Normal 4 2 2 3 2 2 5 3 3" xfId="22836" xr:uid="{57C2D77B-6A7C-4B2B-A386-EADC19DE996C}"/>
    <cellStyle name="Normal 4 2 2 3 2 2 5 4" xfId="10183" xr:uid="{276D6673-D1E9-4111-A836-7B580E38DDCD}"/>
    <cellStyle name="Normal 4 2 2 3 2 2 5 5" xfId="18619" xr:uid="{42228908-145B-42AF-B114-FA7501B1A874}"/>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2 2 2" xfId="16959" xr:uid="{7790B651-5F6A-4A0B-80D5-B13B517B5BC3}"/>
    <cellStyle name="Normal 4 2 2 3 2 2 6 2 2 3" xfId="25394" xr:uid="{31930B80-0CA4-44D7-8B9D-6E508DCA4A53}"/>
    <cellStyle name="Normal 4 2 2 3 2 2 6 2 3" xfId="12741" xr:uid="{0D769066-1EA9-4657-A331-4748490C51F2}"/>
    <cellStyle name="Normal 4 2 2 3 2 2 6 2 4" xfId="21177" xr:uid="{8D54175D-8B08-4DB9-8B63-DF33B38D1238}"/>
    <cellStyle name="Normal 4 2 2 3 2 2 6 3" xfId="6372" xr:uid="{00000000-0005-0000-0000-000019120000}"/>
    <cellStyle name="Normal 4 2 2 3 2 2 6 3 2" xfId="14814" xr:uid="{760C5169-65B8-40BC-B10D-51665147CE35}"/>
    <cellStyle name="Normal 4 2 2 3 2 2 6 3 3" xfId="23249" xr:uid="{87CE616C-1A12-493B-B764-52CA497154CC}"/>
    <cellStyle name="Normal 4 2 2 3 2 2 6 4" xfId="10596" xr:uid="{771DCA02-E41E-4680-91B0-2A7A3597CDC5}"/>
    <cellStyle name="Normal 4 2 2 3 2 2 6 5" xfId="19032" xr:uid="{D0AF35C1-3CAE-42AE-AA98-6314E8D7ED67}"/>
    <cellStyle name="Normal 4 2 2 3 2 2 7" xfId="2501" xr:uid="{00000000-0005-0000-0000-00001A120000}"/>
    <cellStyle name="Normal 4 2 2 3 2 2 7 2" xfId="6785" xr:uid="{00000000-0005-0000-0000-00001B120000}"/>
    <cellStyle name="Normal 4 2 2 3 2 2 7 2 2" xfId="15227" xr:uid="{ABA99EB7-82FE-4ADA-9D6C-789E91EE1F57}"/>
    <cellStyle name="Normal 4 2 2 3 2 2 7 2 3" xfId="23662" xr:uid="{44315675-C404-47EF-8110-8A1DFA6DEF06}"/>
    <cellStyle name="Normal 4 2 2 3 2 2 7 3" xfId="11009" xr:uid="{B02A4A50-3D12-4F60-9D9B-FDEE44352967}"/>
    <cellStyle name="Normal 4 2 2 3 2 2 7 4" xfId="19445" xr:uid="{903B69EC-EF1D-4F46-8B6F-F89EB8218A68}"/>
    <cellStyle name="Normal 4 2 2 3 2 2 8" xfId="4720" xr:uid="{00000000-0005-0000-0000-00001C120000}"/>
    <cellStyle name="Normal 4 2 2 3 2 2 8 2" xfId="13162" xr:uid="{116D642E-B11D-4985-BD4F-7A82C66F322B}"/>
    <cellStyle name="Normal 4 2 2 3 2 2 8 3" xfId="21597" xr:uid="{321B0985-D792-4163-B4B4-0DC29D85B459}"/>
    <cellStyle name="Normal 4 2 2 3 2 2 9" xfId="8944" xr:uid="{03F22E1A-6F25-4712-B2F5-CF09EBE55AF7}"/>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2 2 2" xfId="15722" xr:uid="{A911DA4A-71DF-4D08-B2E7-238B9FC9195E}"/>
    <cellStyle name="Normal 4 2 2 3 2 3 2 2 2 3" xfId="24157" xr:uid="{041907F1-B4A7-49AC-9122-EFCE59CE56FD}"/>
    <cellStyle name="Normal 4 2 2 3 2 3 2 2 3" xfId="11504" xr:uid="{C3DFF9CA-89A2-4B68-ABAF-FD98269F3297}"/>
    <cellStyle name="Normal 4 2 2 3 2 3 2 2 4" xfId="19940" xr:uid="{B5DFC04E-68DA-4FE7-A182-90AC4214B51D}"/>
    <cellStyle name="Normal 4 2 2 3 2 3 2 3" xfId="5135" xr:uid="{00000000-0005-0000-0000-000021120000}"/>
    <cellStyle name="Normal 4 2 2 3 2 3 2 3 2" xfId="13577" xr:uid="{DA13FB48-6F5B-4D30-A3F3-C9BCD6CE72B4}"/>
    <cellStyle name="Normal 4 2 2 3 2 3 2 3 3" xfId="22012" xr:uid="{B8065A15-7866-47D7-AEAF-567445D09B33}"/>
    <cellStyle name="Normal 4 2 2 3 2 3 2 4" xfId="9359" xr:uid="{0B8483F7-4628-47A8-9DB5-6505955C1720}"/>
    <cellStyle name="Normal 4 2 2 3 2 3 2 5" xfId="17795" xr:uid="{766FBE90-2802-47F8-91BD-CFA042F6CAD8}"/>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2 2 2" xfId="16135" xr:uid="{2B027EB7-4CA1-4EC6-A34A-F2825CBC076D}"/>
    <cellStyle name="Normal 4 2 2 3 2 3 3 2 2 3" xfId="24570" xr:uid="{5181C1CE-3D3F-4D6C-893A-7D5A3CE8EDD5}"/>
    <cellStyle name="Normal 4 2 2 3 2 3 3 2 3" xfId="11917" xr:uid="{10CAEDD7-D731-4D88-A8CC-EC984408C2EA}"/>
    <cellStyle name="Normal 4 2 2 3 2 3 3 2 4" xfId="20353" xr:uid="{0DB3AA67-E006-439A-A2D5-78D32FBC6642}"/>
    <cellStyle name="Normal 4 2 2 3 2 3 3 3" xfId="5548" xr:uid="{00000000-0005-0000-0000-000025120000}"/>
    <cellStyle name="Normal 4 2 2 3 2 3 3 3 2" xfId="13990" xr:uid="{A9376360-2CED-469B-859C-F5A4FD6CD362}"/>
    <cellStyle name="Normal 4 2 2 3 2 3 3 3 3" xfId="22425" xr:uid="{D5A9B7E2-4B7F-4A08-B168-D5354F69E90B}"/>
    <cellStyle name="Normal 4 2 2 3 2 3 3 4" xfId="9772" xr:uid="{2BDCF7DE-D133-4DEC-BD4F-089389A298DB}"/>
    <cellStyle name="Normal 4 2 2 3 2 3 3 5" xfId="18208" xr:uid="{AE40D104-B6C8-4790-8383-BE3507E9ABD3}"/>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2 2 2" xfId="16548" xr:uid="{493FF62D-E172-4382-B78A-E65585A86850}"/>
    <cellStyle name="Normal 4 2 2 3 2 3 4 2 2 3" xfId="24983" xr:uid="{096A592C-374B-41AB-931E-5FABAA3A99AE}"/>
    <cellStyle name="Normal 4 2 2 3 2 3 4 2 3" xfId="12330" xr:uid="{151E56F9-4EA7-45DF-AC84-15C33E93AC80}"/>
    <cellStyle name="Normal 4 2 2 3 2 3 4 2 4" xfId="20766" xr:uid="{020F6958-79D9-4588-B01D-0328248013B6}"/>
    <cellStyle name="Normal 4 2 2 3 2 3 4 3" xfId="5961" xr:uid="{00000000-0005-0000-0000-000029120000}"/>
    <cellStyle name="Normal 4 2 2 3 2 3 4 3 2" xfId="14403" xr:uid="{565D24CC-C916-40D6-A482-1542D5F14619}"/>
    <cellStyle name="Normal 4 2 2 3 2 3 4 3 3" xfId="22838" xr:uid="{C83FCF84-58C6-463C-92ED-19D4F0D86386}"/>
    <cellStyle name="Normal 4 2 2 3 2 3 4 4" xfId="10185" xr:uid="{5D8C867A-1024-4DBE-B8A1-88074C9DBCAB}"/>
    <cellStyle name="Normal 4 2 2 3 2 3 4 5" xfId="18621" xr:uid="{BE4B69A3-8201-440E-8E31-9321F94D57B4}"/>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2 2 2" xfId="16961" xr:uid="{6A518604-8CEC-4844-B7C8-80A05940A73D}"/>
    <cellStyle name="Normal 4 2 2 3 2 3 5 2 2 3" xfId="25396" xr:uid="{8F7E1F4C-B1C9-4BB3-B9A1-B778B77EC260}"/>
    <cellStyle name="Normal 4 2 2 3 2 3 5 2 3" xfId="12743" xr:uid="{7D8E3AB6-E1C8-420F-B8F2-A91D4CC408E9}"/>
    <cellStyle name="Normal 4 2 2 3 2 3 5 2 4" xfId="21179" xr:uid="{7C2D5FF5-63D4-4F1B-8A88-E20756C394E8}"/>
    <cellStyle name="Normal 4 2 2 3 2 3 5 3" xfId="6374" xr:uid="{00000000-0005-0000-0000-00002D120000}"/>
    <cellStyle name="Normal 4 2 2 3 2 3 5 3 2" xfId="14816" xr:uid="{FD846D09-747A-45AC-9F00-B6DBBBB4D9DD}"/>
    <cellStyle name="Normal 4 2 2 3 2 3 5 3 3" xfId="23251" xr:uid="{7EA74311-4BA1-4392-B023-78D5FA823CFB}"/>
    <cellStyle name="Normal 4 2 2 3 2 3 5 4" xfId="10598" xr:uid="{51A826A7-C254-448D-86C0-A09938660A9A}"/>
    <cellStyle name="Normal 4 2 2 3 2 3 5 5" xfId="19034" xr:uid="{1863D686-17BD-4A87-A257-81A39AC5CAD6}"/>
    <cellStyle name="Normal 4 2 2 3 2 3 6" xfId="2503" xr:uid="{00000000-0005-0000-0000-00002E120000}"/>
    <cellStyle name="Normal 4 2 2 3 2 3 6 2" xfId="6787" xr:uid="{00000000-0005-0000-0000-00002F120000}"/>
    <cellStyle name="Normal 4 2 2 3 2 3 6 2 2" xfId="15229" xr:uid="{E9437CE3-8F55-446D-A6B0-59BBA5F85DF1}"/>
    <cellStyle name="Normal 4 2 2 3 2 3 6 2 3" xfId="23664" xr:uid="{6372FE04-ABB6-4C86-AF98-C6F80AD3A945}"/>
    <cellStyle name="Normal 4 2 2 3 2 3 6 3" xfId="11011" xr:uid="{AF3FC259-6598-4A4D-9B67-114F8CC2E747}"/>
    <cellStyle name="Normal 4 2 2 3 2 3 6 4" xfId="19447" xr:uid="{9CB81F9F-750B-4FF2-BEAD-825E948BA4B9}"/>
    <cellStyle name="Normal 4 2 2 3 2 3 7" xfId="4722" xr:uid="{00000000-0005-0000-0000-000030120000}"/>
    <cellStyle name="Normal 4 2 2 3 2 3 7 2" xfId="13164" xr:uid="{3F79A310-EA64-466A-9891-9D7C4A074365}"/>
    <cellStyle name="Normal 4 2 2 3 2 3 7 3" xfId="21599" xr:uid="{77897554-BEE5-4424-9B19-B5506FEC4437}"/>
    <cellStyle name="Normal 4 2 2 3 2 3 8" xfId="8946" xr:uid="{73293214-94D3-45BE-988F-BB6CCBA6B7CB}"/>
    <cellStyle name="Normal 4 2 2 3 2 3 9" xfId="17382" xr:uid="{F2A46D75-F2EE-45CA-AA08-8AA2F654E8B8}"/>
    <cellStyle name="Normal 4 2 2 3 2 4" xfId="817" xr:uid="{00000000-0005-0000-0000-000031120000}"/>
    <cellStyle name="Normal 4 2 2 3 2 4 2" xfId="3054" xr:uid="{00000000-0005-0000-0000-000032120000}"/>
    <cellStyle name="Normal 4 2 2 3 2 4 2 2" xfId="7277" xr:uid="{00000000-0005-0000-0000-000033120000}"/>
    <cellStyle name="Normal 4 2 2 3 2 4 2 2 2" xfId="15719" xr:uid="{E632A5F2-1C12-468C-80A7-AA2CD57ACB51}"/>
    <cellStyle name="Normal 4 2 2 3 2 4 2 2 3" xfId="24154" xr:uid="{2C000DA9-800A-4F44-A189-F12EC616A9AA}"/>
    <cellStyle name="Normal 4 2 2 3 2 4 2 3" xfId="11501" xr:uid="{92B4CCB9-295D-4624-8E7F-A09933029100}"/>
    <cellStyle name="Normal 4 2 2 3 2 4 2 4" xfId="19937" xr:uid="{39AC9E1E-E431-40F2-A673-9BFF1AB277BF}"/>
    <cellStyle name="Normal 4 2 2 3 2 4 3" xfId="5132" xr:uid="{00000000-0005-0000-0000-000034120000}"/>
    <cellStyle name="Normal 4 2 2 3 2 4 3 2" xfId="13574" xr:uid="{59DCA016-328D-42AB-BFBB-C2B6C013B10E}"/>
    <cellStyle name="Normal 4 2 2 3 2 4 3 3" xfId="22009" xr:uid="{9782E5AB-C1E5-4A2C-82BE-709C9D9FA342}"/>
    <cellStyle name="Normal 4 2 2 3 2 4 4" xfId="9356" xr:uid="{710B3085-FBC2-48D3-9129-42474E825677}"/>
    <cellStyle name="Normal 4 2 2 3 2 4 5" xfId="17792" xr:uid="{9241031A-9D8C-4BC0-8A36-7BD97042456B}"/>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2 2 2" xfId="16132" xr:uid="{7AD34379-5D63-4061-A227-BF3019593F92}"/>
    <cellStyle name="Normal 4 2 2 3 2 5 2 2 3" xfId="24567" xr:uid="{6670116B-A632-475F-BC69-161A865BB074}"/>
    <cellStyle name="Normal 4 2 2 3 2 5 2 3" xfId="11914" xr:uid="{5F1CC552-E967-476C-A633-BF6D272F974C}"/>
    <cellStyle name="Normal 4 2 2 3 2 5 2 4" xfId="20350" xr:uid="{5B3EAE7E-1CD7-4CAB-A00A-BB71F305DF5A}"/>
    <cellStyle name="Normal 4 2 2 3 2 5 3" xfId="5545" xr:uid="{00000000-0005-0000-0000-000038120000}"/>
    <cellStyle name="Normal 4 2 2 3 2 5 3 2" xfId="13987" xr:uid="{BC4C038A-011B-4516-BFAA-B44F25A8FB9E}"/>
    <cellStyle name="Normal 4 2 2 3 2 5 3 3" xfId="22422" xr:uid="{E7891F01-BA18-4EB9-8160-28AF5971D844}"/>
    <cellStyle name="Normal 4 2 2 3 2 5 4" xfId="9769" xr:uid="{39AD4515-D04B-496F-B20F-36A015468724}"/>
    <cellStyle name="Normal 4 2 2 3 2 5 5" xfId="18205" xr:uid="{B1CBFA19-B9CB-4472-A388-85E67E4901EF}"/>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2 2 2" xfId="16545" xr:uid="{A95405C3-7FEF-467A-92A5-82352DDB32CD}"/>
    <cellStyle name="Normal 4 2 2 3 2 6 2 2 3" xfId="24980" xr:uid="{4D0F1451-2945-46B4-8BEE-CD68C6EDFF56}"/>
    <cellStyle name="Normal 4 2 2 3 2 6 2 3" xfId="12327" xr:uid="{9D71A12D-198D-4A91-ACF6-1E991631F172}"/>
    <cellStyle name="Normal 4 2 2 3 2 6 2 4" xfId="20763" xr:uid="{F931886D-3278-4325-BAB6-37D6A1F9AF7F}"/>
    <cellStyle name="Normal 4 2 2 3 2 6 3" xfId="5958" xr:uid="{00000000-0005-0000-0000-00003C120000}"/>
    <cellStyle name="Normal 4 2 2 3 2 6 3 2" xfId="14400" xr:uid="{B3B4E011-346E-4B31-91E2-24AE3FC4C510}"/>
    <cellStyle name="Normal 4 2 2 3 2 6 3 3" xfId="22835" xr:uid="{8882EE2A-7563-4FE2-B854-3ACEB814AFF2}"/>
    <cellStyle name="Normal 4 2 2 3 2 6 4" xfId="10182" xr:uid="{C52AE84B-B80E-45F5-A44B-5DD3FC3B671D}"/>
    <cellStyle name="Normal 4 2 2 3 2 6 5" xfId="18618" xr:uid="{2918E52B-4061-48EE-8C83-F0C129781E2C}"/>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2 2 2" xfId="16958" xr:uid="{7A1FFE5F-B363-43FE-AD1D-948B5B11B241}"/>
    <cellStyle name="Normal 4 2 2 3 2 7 2 2 3" xfId="25393" xr:uid="{2A29AD97-FB12-4CD0-97B2-469C039849B9}"/>
    <cellStyle name="Normal 4 2 2 3 2 7 2 3" xfId="12740" xr:uid="{D2DAFA22-A9C1-48DA-9D80-ACEC0A8E813A}"/>
    <cellStyle name="Normal 4 2 2 3 2 7 2 4" xfId="21176" xr:uid="{1B7F52C0-1DB6-4FB7-A904-871A8861B7B2}"/>
    <cellStyle name="Normal 4 2 2 3 2 7 3" xfId="6371" xr:uid="{00000000-0005-0000-0000-000040120000}"/>
    <cellStyle name="Normal 4 2 2 3 2 7 3 2" xfId="14813" xr:uid="{865A9070-CF5B-4977-A5A1-36D9757E57EB}"/>
    <cellStyle name="Normal 4 2 2 3 2 7 3 3" xfId="23248" xr:uid="{73B95C59-1DD2-475C-A282-215BDDDDE8D9}"/>
    <cellStyle name="Normal 4 2 2 3 2 7 4" xfId="10595" xr:uid="{CE925A64-E3BA-4D46-A20A-DD9DBB513BA7}"/>
    <cellStyle name="Normal 4 2 2 3 2 7 5" xfId="19031" xr:uid="{FB37727E-EF43-43D6-9047-E5DE50466435}"/>
    <cellStyle name="Normal 4 2 2 3 2 8" xfId="2500" xr:uid="{00000000-0005-0000-0000-000041120000}"/>
    <cellStyle name="Normal 4 2 2 3 2 8 2" xfId="6784" xr:uid="{00000000-0005-0000-0000-000042120000}"/>
    <cellStyle name="Normal 4 2 2 3 2 8 2 2" xfId="15226" xr:uid="{05DCC3DC-95B6-400F-AE92-DB79594F0DE9}"/>
    <cellStyle name="Normal 4 2 2 3 2 8 2 3" xfId="23661" xr:uid="{20CABC58-6477-40CE-B355-809E9D6FC636}"/>
    <cellStyle name="Normal 4 2 2 3 2 8 3" xfId="11008" xr:uid="{08F47124-E87B-46C0-83B8-9E610547A188}"/>
    <cellStyle name="Normal 4 2 2 3 2 8 4" xfId="19444" xr:uid="{2343575F-3F40-4C95-AD21-C64267A0FB85}"/>
    <cellStyle name="Normal 4 2 2 3 2 9" xfId="4719" xr:uid="{00000000-0005-0000-0000-000043120000}"/>
    <cellStyle name="Normal 4 2 2 3 2 9 2" xfId="13161" xr:uid="{528F6A63-3090-4D87-9325-C10A7B8BA85A}"/>
    <cellStyle name="Normal 4 2 2 3 2 9 3" xfId="21596" xr:uid="{9CDDAAB0-E1AD-454E-87EA-E07CEEBDD3D9}"/>
    <cellStyle name="Normal 4 2 2 3 3" xfId="344" xr:uid="{00000000-0005-0000-0000-000044120000}"/>
    <cellStyle name="Normal 4 2 2 3 3 10" xfId="17383" xr:uid="{9B0C0FC5-7854-4DF9-BE0C-5097CA9B5242}"/>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2 2 2" xfId="15724" xr:uid="{82EF9115-735E-40E1-A3BA-269B5D481E05}"/>
    <cellStyle name="Normal 4 2 2 3 3 2 2 2 2 3" xfId="24159" xr:uid="{2695C86D-9436-439F-A407-2ECE03A969BD}"/>
    <cellStyle name="Normal 4 2 2 3 3 2 2 2 3" xfId="11506" xr:uid="{F23F65A1-488A-4A71-B9F6-7ACD48AAB553}"/>
    <cellStyle name="Normal 4 2 2 3 3 2 2 2 4" xfId="19942" xr:uid="{D8BBEA29-AC17-46DA-9BF3-BBB41152AE7F}"/>
    <cellStyle name="Normal 4 2 2 3 3 2 2 3" xfId="5137" xr:uid="{00000000-0005-0000-0000-000049120000}"/>
    <cellStyle name="Normal 4 2 2 3 3 2 2 3 2" xfId="13579" xr:uid="{6B16FAD3-7D55-438A-9DC6-63FD45B40FB4}"/>
    <cellStyle name="Normal 4 2 2 3 3 2 2 3 3" xfId="22014" xr:uid="{C37CE649-1F65-4601-8F1A-FD43643B52E8}"/>
    <cellStyle name="Normal 4 2 2 3 3 2 2 4" xfId="9361" xr:uid="{8B8850BB-AF47-4573-8871-A003E232E56A}"/>
    <cellStyle name="Normal 4 2 2 3 3 2 2 5" xfId="17797" xr:uid="{945B36F1-A88D-4E28-BBD8-6E58D3F1CBE6}"/>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2 2 2" xfId="16137" xr:uid="{1CD0A508-2168-487C-B544-CD2E3448E678}"/>
    <cellStyle name="Normal 4 2 2 3 3 2 3 2 2 3" xfId="24572" xr:uid="{DE525C70-636F-4162-B456-D3EAED9C6190}"/>
    <cellStyle name="Normal 4 2 2 3 3 2 3 2 3" xfId="11919" xr:uid="{110697E8-A2AF-487D-B6AE-BCD98BD49175}"/>
    <cellStyle name="Normal 4 2 2 3 3 2 3 2 4" xfId="20355" xr:uid="{EE9B56C0-F726-43C3-B7AD-E7376063339C}"/>
    <cellStyle name="Normal 4 2 2 3 3 2 3 3" xfId="5550" xr:uid="{00000000-0005-0000-0000-00004D120000}"/>
    <cellStyle name="Normal 4 2 2 3 3 2 3 3 2" xfId="13992" xr:uid="{1DBE9484-848F-49E9-A287-4F9399C1E17E}"/>
    <cellStyle name="Normal 4 2 2 3 3 2 3 3 3" xfId="22427" xr:uid="{EF22D40A-0F57-4F06-80E5-C9BB5424CDF2}"/>
    <cellStyle name="Normal 4 2 2 3 3 2 3 4" xfId="9774" xr:uid="{D9A7BA40-2CAA-4C79-B4C3-B25BC9CF8B1E}"/>
    <cellStyle name="Normal 4 2 2 3 3 2 3 5" xfId="18210" xr:uid="{7AFD15A7-FEA3-49B3-AA5D-6B38FB4D63D4}"/>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2 2 2" xfId="16550" xr:uid="{1AF10850-F226-4E07-8409-1B5AC9D02AFB}"/>
    <cellStyle name="Normal 4 2 2 3 3 2 4 2 2 3" xfId="24985" xr:uid="{E49A6023-2973-44F4-9F05-55944E453ED5}"/>
    <cellStyle name="Normal 4 2 2 3 3 2 4 2 3" xfId="12332" xr:uid="{567A1831-0EDA-4CA7-8758-D5ADC3BE72E5}"/>
    <cellStyle name="Normal 4 2 2 3 3 2 4 2 4" xfId="20768" xr:uid="{2AE92DE4-08F0-4424-8C60-D0951736AEF8}"/>
    <cellStyle name="Normal 4 2 2 3 3 2 4 3" xfId="5963" xr:uid="{00000000-0005-0000-0000-000051120000}"/>
    <cellStyle name="Normal 4 2 2 3 3 2 4 3 2" xfId="14405" xr:uid="{35102178-1BCD-4825-95C6-6346375EF127}"/>
    <cellStyle name="Normal 4 2 2 3 3 2 4 3 3" xfId="22840" xr:uid="{77925473-E7C2-4733-9DCD-C19F1B19121D}"/>
    <cellStyle name="Normal 4 2 2 3 3 2 4 4" xfId="10187" xr:uid="{ACDC093D-9EA1-4608-9500-52A844AF09D5}"/>
    <cellStyle name="Normal 4 2 2 3 3 2 4 5" xfId="18623" xr:uid="{5634A993-3E7D-4DDF-B90E-0CC47ADB7145}"/>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2 2 2" xfId="16963" xr:uid="{D74B2AE0-35C4-4BB3-B325-015CEEE65CD3}"/>
    <cellStyle name="Normal 4 2 2 3 3 2 5 2 2 3" xfId="25398" xr:uid="{E4D2EFBC-D278-4FAC-BE6F-DB5B1A367A3A}"/>
    <cellStyle name="Normal 4 2 2 3 3 2 5 2 3" xfId="12745" xr:uid="{697A86FD-7524-45D2-A829-14885CD8AC94}"/>
    <cellStyle name="Normal 4 2 2 3 3 2 5 2 4" xfId="21181" xr:uid="{D53369CC-069A-45DC-8F76-5CC423AF2904}"/>
    <cellStyle name="Normal 4 2 2 3 3 2 5 3" xfId="6376" xr:uid="{00000000-0005-0000-0000-000055120000}"/>
    <cellStyle name="Normal 4 2 2 3 3 2 5 3 2" xfId="14818" xr:uid="{347784F4-C939-42B1-A99C-0B1492CA7F7B}"/>
    <cellStyle name="Normal 4 2 2 3 3 2 5 3 3" xfId="23253" xr:uid="{F836593B-FC44-421F-A55E-15250E91C762}"/>
    <cellStyle name="Normal 4 2 2 3 3 2 5 4" xfId="10600" xr:uid="{9D039D8C-97C7-4068-B7F0-01152B94F9A1}"/>
    <cellStyle name="Normal 4 2 2 3 3 2 5 5" xfId="19036" xr:uid="{26B0B787-1BF2-4893-8EA4-4B24F21F3BCD}"/>
    <cellStyle name="Normal 4 2 2 3 3 2 6" xfId="2505" xr:uid="{00000000-0005-0000-0000-000056120000}"/>
    <cellStyle name="Normal 4 2 2 3 3 2 6 2" xfId="6789" xr:uid="{00000000-0005-0000-0000-000057120000}"/>
    <cellStyle name="Normal 4 2 2 3 3 2 6 2 2" xfId="15231" xr:uid="{BF9E3343-B958-4879-9075-66326C17208C}"/>
    <cellStyle name="Normal 4 2 2 3 3 2 6 2 3" xfId="23666" xr:uid="{38DAABEB-2C81-4645-895E-C4B5E0826DC4}"/>
    <cellStyle name="Normal 4 2 2 3 3 2 6 3" xfId="11013" xr:uid="{B2F5E6C2-1005-4A78-8AF8-3BF7BCFDA929}"/>
    <cellStyle name="Normal 4 2 2 3 3 2 6 4" xfId="19449" xr:uid="{4BB0957A-092F-4E97-86EA-8A4441BD1A73}"/>
    <cellStyle name="Normal 4 2 2 3 3 2 7" xfId="4724" xr:uid="{00000000-0005-0000-0000-000058120000}"/>
    <cellStyle name="Normal 4 2 2 3 3 2 7 2" xfId="13166" xr:uid="{5C89E791-D711-4DEC-9008-A491421ADD50}"/>
    <cellStyle name="Normal 4 2 2 3 3 2 7 3" xfId="21601" xr:uid="{62E2CB2E-4EA0-4FD0-B875-4A2FF86B4E89}"/>
    <cellStyle name="Normal 4 2 2 3 3 2 8" xfId="8948" xr:uid="{9F9F8242-FE58-4286-B70A-3852113FE1F7}"/>
    <cellStyle name="Normal 4 2 2 3 3 2 9" xfId="17384" xr:uid="{C7EB2BAD-C6DA-428D-99A8-7CDDC722F7AF}"/>
    <cellStyle name="Normal 4 2 2 3 3 3" xfId="821" xr:uid="{00000000-0005-0000-0000-000059120000}"/>
    <cellStyle name="Normal 4 2 2 3 3 3 2" xfId="3058" xr:uid="{00000000-0005-0000-0000-00005A120000}"/>
    <cellStyle name="Normal 4 2 2 3 3 3 2 2" xfId="7281" xr:uid="{00000000-0005-0000-0000-00005B120000}"/>
    <cellStyle name="Normal 4 2 2 3 3 3 2 2 2" xfId="15723" xr:uid="{99F27BD1-7FF7-427A-82B3-6340D3766F73}"/>
    <cellStyle name="Normal 4 2 2 3 3 3 2 2 3" xfId="24158" xr:uid="{3C4B7AFA-7567-4D2F-81A6-FC5565A8BB7C}"/>
    <cellStyle name="Normal 4 2 2 3 3 3 2 3" xfId="11505" xr:uid="{B772C046-FFC4-4AC8-B50D-D4EA8622FA8B}"/>
    <cellStyle name="Normal 4 2 2 3 3 3 2 4" xfId="19941" xr:uid="{E7E46D5A-07F1-4A3F-BE9C-08DABDCF418E}"/>
    <cellStyle name="Normal 4 2 2 3 3 3 3" xfId="5136" xr:uid="{00000000-0005-0000-0000-00005C120000}"/>
    <cellStyle name="Normal 4 2 2 3 3 3 3 2" xfId="13578" xr:uid="{0539B85B-983F-477E-BE57-EFF5EED40551}"/>
    <cellStyle name="Normal 4 2 2 3 3 3 3 3" xfId="22013" xr:uid="{155C4C7D-E4F4-47D8-8DB5-162B05F055F0}"/>
    <cellStyle name="Normal 4 2 2 3 3 3 4" xfId="9360" xr:uid="{11DE8BD8-427E-4893-AB98-9A3F23A940EC}"/>
    <cellStyle name="Normal 4 2 2 3 3 3 5" xfId="17796" xr:uid="{AC35B0ED-E887-48A0-8FDC-C603F26C6A44}"/>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2 2 2" xfId="16136" xr:uid="{B981D297-9595-4724-B6FC-9E93F1EE9E8F}"/>
    <cellStyle name="Normal 4 2 2 3 3 4 2 2 3" xfId="24571" xr:uid="{E0114FE9-B3AC-42E3-8E88-11B23669B7B4}"/>
    <cellStyle name="Normal 4 2 2 3 3 4 2 3" xfId="11918" xr:uid="{07865ED8-730B-44A7-806B-C63BD5B74227}"/>
    <cellStyle name="Normal 4 2 2 3 3 4 2 4" xfId="20354" xr:uid="{EE68D19F-7A3B-4956-83D5-61FA0609865F}"/>
    <cellStyle name="Normal 4 2 2 3 3 4 3" xfId="5549" xr:uid="{00000000-0005-0000-0000-000060120000}"/>
    <cellStyle name="Normal 4 2 2 3 3 4 3 2" xfId="13991" xr:uid="{0D538782-695A-43B7-817B-B39A5F981B07}"/>
    <cellStyle name="Normal 4 2 2 3 3 4 3 3" xfId="22426" xr:uid="{2BC6D828-25BC-4175-AEA8-75AC4C52B5F1}"/>
    <cellStyle name="Normal 4 2 2 3 3 4 4" xfId="9773" xr:uid="{D01D1594-D577-4CD1-B55C-9763001A3567}"/>
    <cellStyle name="Normal 4 2 2 3 3 4 5" xfId="18209" xr:uid="{5EB7C139-3A2D-4B6B-835B-62F897A875A7}"/>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2 2 2" xfId="16549" xr:uid="{CA95A4B9-B941-4F03-B63D-04CC2EDA8C59}"/>
    <cellStyle name="Normal 4 2 2 3 3 5 2 2 3" xfId="24984" xr:uid="{310B16F8-2BD7-4528-A4A7-94CAF0B11FF9}"/>
    <cellStyle name="Normal 4 2 2 3 3 5 2 3" xfId="12331" xr:uid="{865AC0F4-D6AA-41FA-997F-DDABB89543C2}"/>
    <cellStyle name="Normal 4 2 2 3 3 5 2 4" xfId="20767" xr:uid="{61FE28DC-5361-4875-88A9-923FA20098B9}"/>
    <cellStyle name="Normal 4 2 2 3 3 5 3" xfId="5962" xr:uid="{00000000-0005-0000-0000-000064120000}"/>
    <cellStyle name="Normal 4 2 2 3 3 5 3 2" xfId="14404" xr:uid="{B692D025-6B88-46D8-8D46-CC9CCF646031}"/>
    <cellStyle name="Normal 4 2 2 3 3 5 3 3" xfId="22839" xr:uid="{8D4EC970-28DD-4D19-8BA3-F9B7064B329E}"/>
    <cellStyle name="Normal 4 2 2 3 3 5 4" xfId="10186" xr:uid="{A871E9EE-4317-4A47-B8A2-07212DBF0339}"/>
    <cellStyle name="Normal 4 2 2 3 3 5 5" xfId="18622" xr:uid="{CABED855-623B-425A-850E-799F487D9815}"/>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2 2 2" xfId="16962" xr:uid="{1787A65F-186D-4955-97E9-F52BA20BEE9C}"/>
    <cellStyle name="Normal 4 2 2 3 3 6 2 2 3" xfId="25397" xr:uid="{A43F7142-A0A0-41DB-8C4E-D6E8B2079F79}"/>
    <cellStyle name="Normal 4 2 2 3 3 6 2 3" xfId="12744" xr:uid="{70F76674-682B-4F3D-A2BC-FD97FA3C9B04}"/>
    <cellStyle name="Normal 4 2 2 3 3 6 2 4" xfId="21180" xr:uid="{5CCE1BED-461C-4053-B418-E5983F57DD61}"/>
    <cellStyle name="Normal 4 2 2 3 3 6 3" xfId="6375" xr:uid="{00000000-0005-0000-0000-000068120000}"/>
    <cellStyle name="Normal 4 2 2 3 3 6 3 2" xfId="14817" xr:uid="{4D931196-3BE6-4119-A5B2-83FD8E054503}"/>
    <cellStyle name="Normal 4 2 2 3 3 6 3 3" xfId="23252" xr:uid="{B2865FD1-1C88-42D8-9CB6-316AD571ECC3}"/>
    <cellStyle name="Normal 4 2 2 3 3 6 4" xfId="10599" xr:uid="{59F01D6D-5295-4BE0-BE34-13A32954A540}"/>
    <cellStyle name="Normal 4 2 2 3 3 6 5" xfId="19035" xr:uid="{9F8AF1E5-2607-4EEA-9AFD-D39A83E47997}"/>
    <cellStyle name="Normal 4 2 2 3 3 7" xfId="2504" xr:uid="{00000000-0005-0000-0000-000069120000}"/>
    <cellStyle name="Normal 4 2 2 3 3 7 2" xfId="6788" xr:uid="{00000000-0005-0000-0000-00006A120000}"/>
    <cellStyle name="Normal 4 2 2 3 3 7 2 2" xfId="15230" xr:uid="{46E38FCB-F990-4301-929E-1819059D0D06}"/>
    <cellStyle name="Normal 4 2 2 3 3 7 2 3" xfId="23665" xr:uid="{0066EF21-5E14-4226-834B-F77A998094E8}"/>
    <cellStyle name="Normal 4 2 2 3 3 7 3" xfId="11012" xr:uid="{D6F922C7-FA1D-4039-B3CE-B3C086AFD583}"/>
    <cellStyle name="Normal 4 2 2 3 3 7 4" xfId="19448" xr:uid="{68860238-8BF5-4889-A484-FF428700E163}"/>
    <cellStyle name="Normal 4 2 2 3 3 8" xfId="4723" xr:uid="{00000000-0005-0000-0000-00006B120000}"/>
    <cellStyle name="Normal 4 2 2 3 3 8 2" xfId="13165" xr:uid="{048C41ED-C03F-41D9-A149-8CAB5F548F09}"/>
    <cellStyle name="Normal 4 2 2 3 3 8 3" xfId="21600" xr:uid="{6321F5EE-D5D2-465E-88FA-6FB113F03052}"/>
    <cellStyle name="Normal 4 2 2 3 3 9" xfId="8947" xr:uid="{0175DECD-344C-42D0-9DC2-12369D981E27}"/>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2 2 2" xfId="15725" xr:uid="{871F4527-0C65-40AE-9A75-FE3545E5057E}"/>
    <cellStyle name="Normal 4 2 2 3 4 2 2 2 3" xfId="24160" xr:uid="{13E64A79-B0E3-4165-96BF-FFFA8A358733}"/>
    <cellStyle name="Normal 4 2 2 3 4 2 2 3" xfId="11507" xr:uid="{747D58F7-17EC-42C2-9896-96375EA3AD2A}"/>
    <cellStyle name="Normal 4 2 2 3 4 2 2 4" xfId="19943" xr:uid="{EE926447-0157-42D2-A5FF-D2FFE5073E41}"/>
    <cellStyle name="Normal 4 2 2 3 4 2 3" xfId="5138" xr:uid="{00000000-0005-0000-0000-000070120000}"/>
    <cellStyle name="Normal 4 2 2 3 4 2 3 2" xfId="13580" xr:uid="{D0ACE79C-9C00-48B7-B15F-568E0260E867}"/>
    <cellStyle name="Normal 4 2 2 3 4 2 3 3" xfId="22015" xr:uid="{7927CFEB-074C-4E81-9157-B1EC5DD79369}"/>
    <cellStyle name="Normal 4 2 2 3 4 2 4" xfId="9362" xr:uid="{0B337826-E59E-44E6-B697-C0DF7C300175}"/>
    <cellStyle name="Normal 4 2 2 3 4 2 5" xfId="17798" xr:uid="{D1F91CC4-281A-4EA1-8A19-C5F168B3B6CB}"/>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2 2 2" xfId="16138" xr:uid="{A5324B77-CE1E-4073-A94B-F8224A085B12}"/>
    <cellStyle name="Normal 4 2 2 3 4 3 2 2 3" xfId="24573" xr:uid="{DF234F4F-9A73-4014-8AB7-4EB220929F5B}"/>
    <cellStyle name="Normal 4 2 2 3 4 3 2 3" xfId="11920" xr:uid="{8BF13247-D9B2-45FF-BA6C-433D4EB496DA}"/>
    <cellStyle name="Normal 4 2 2 3 4 3 2 4" xfId="20356" xr:uid="{CDFAE736-2912-4C3C-B5F8-80E28D1887C8}"/>
    <cellStyle name="Normal 4 2 2 3 4 3 3" xfId="5551" xr:uid="{00000000-0005-0000-0000-000074120000}"/>
    <cellStyle name="Normal 4 2 2 3 4 3 3 2" xfId="13993" xr:uid="{9C62C2BE-6980-47E4-85F9-07D453F03622}"/>
    <cellStyle name="Normal 4 2 2 3 4 3 3 3" xfId="22428" xr:uid="{C4BFF536-B0C1-4388-AD81-5653D910BD0F}"/>
    <cellStyle name="Normal 4 2 2 3 4 3 4" xfId="9775" xr:uid="{739D9FE5-50BE-4F5B-9003-873764B45928}"/>
    <cellStyle name="Normal 4 2 2 3 4 3 5" xfId="18211" xr:uid="{95766D0F-3A2C-4FE4-9E29-97E389FACD8F}"/>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2 2 2" xfId="16551" xr:uid="{45CE939C-D1FB-4827-B1B8-057505F33D39}"/>
    <cellStyle name="Normal 4 2 2 3 4 4 2 2 3" xfId="24986" xr:uid="{24222590-7026-4FCB-B0A4-33A6EF835D36}"/>
    <cellStyle name="Normal 4 2 2 3 4 4 2 3" xfId="12333" xr:uid="{CAF0CEA3-0D7D-44B4-BA76-3C9A81CACC08}"/>
    <cellStyle name="Normal 4 2 2 3 4 4 2 4" xfId="20769" xr:uid="{216388DD-EF4C-44C6-A6D7-2325D321E2E3}"/>
    <cellStyle name="Normal 4 2 2 3 4 4 3" xfId="5964" xr:uid="{00000000-0005-0000-0000-000078120000}"/>
    <cellStyle name="Normal 4 2 2 3 4 4 3 2" xfId="14406" xr:uid="{6C6A6A96-743C-468A-A11D-27B6B64A63E1}"/>
    <cellStyle name="Normal 4 2 2 3 4 4 3 3" xfId="22841" xr:uid="{F90EB29D-BDCC-4B18-96E6-75D7E6AD8619}"/>
    <cellStyle name="Normal 4 2 2 3 4 4 4" xfId="10188" xr:uid="{F7B58405-80FD-42C6-A410-FD632DF4A682}"/>
    <cellStyle name="Normal 4 2 2 3 4 4 5" xfId="18624" xr:uid="{F75311D5-6025-4A40-B350-4161A75435D7}"/>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2 2 2" xfId="16964" xr:uid="{911BEF2E-6B0A-4A2C-95A4-E17136DB1086}"/>
    <cellStyle name="Normal 4 2 2 3 4 5 2 2 3" xfId="25399" xr:uid="{9045D504-5B2D-4F07-90FF-709762552C7B}"/>
    <cellStyle name="Normal 4 2 2 3 4 5 2 3" xfId="12746" xr:uid="{0AB21F4F-812F-4889-BF45-460B215BCAFD}"/>
    <cellStyle name="Normal 4 2 2 3 4 5 2 4" xfId="21182" xr:uid="{B81A8F84-22A5-4F34-8F3E-67B7CB57E619}"/>
    <cellStyle name="Normal 4 2 2 3 4 5 3" xfId="6377" xr:uid="{00000000-0005-0000-0000-00007C120000}"/>
    <cellStyle name="Normal 4 2 2 3 4 5 3 2" xfId="14819" xr:uid="{D82B53ED-1B3E-4438-9418-2C966A6557DF}"/>
    <cellStyle name="Normal 4 2 2 3 4 5 3 3" xfId="23254" xr:uid="{424F9075-DEB2-45BC-A63A-D96A50EA4EFA}"/>
    <cellStyle name="Normal 4 2 2 3 4 5 4" xfId="10601" xr:uid="{D9AE1685-7C4A-43F4-A47B-9866BD41F455}"/>
    <cellStyle name="Normal 4 2 2 3 4 5 5" xfId="19037" xr:uid="{07562519-98F6-49E2-ABD3-CE03F6952D21}"/>
    <cellStyle name="Normal 4 2 2 3 4 6" xfId="2506" xr:uid="{00000000-0005-0000-0000-00007D120000}"/>
    <cellStyle name="Normal 4 2 2 3 4 6 2" xfId="6790" xr:uid="{00000000-0005-0000-0000-00007E120000}"/>
    <cellStyle name="Normal 4 2 2 3 4 6 2 2" xfId="15232" xr:uid="{C214AAF8-9640-4335-8C4B-19E287B5AB98}"/>
    <cellStyle name="Normal 4 2 2 3 4 6 2 3" xfId="23667" xr:uid="{023EE3A1-D2DF-4E60-A590-C743E4B111D8}"/>
    <cellStyle name="Normal 4 2 2 3 4 6 3" xfId="11014" xr:uid="{1718A99B-8A28-4B87-BDCA-14188205F844}"/>
    <cellStyle name="Normal 4 2 2 3 4 6 4" xfId="19450" xr:uid="{04DF2F87-8497-4E87-8743-E13C2EE38485}"/>
    <cellStyle name="Normal 4 2 2 3 4 7" xfId="4725" xr:uid="{00000000-0005-0000-0000-00007F120000}"/>
    <cellStyle name="Normal 4 2 2 3 4 7 2" xfId="13167" xr:uid="{EBCBDE78-56BC-4947-8C1B-F275FD85FE83}"/>
    <cellStyle name="Normal 4 2 2 3 4 7 3" xfId="21602" xr:uid="{39630FFA-E658-42EA-878D-8C4B1B12BE12}"/>
    <cellStyle name="Normal 4 2 2 3 4 8" xfId="8949" xr:uid="{6C773F0F-0E28-4A74-B57D-404F67B4F977}"/>
    <cellStyle name="Normal 4 2 2 3 4 9" xfId="17385" xr:uid="{ADB77F6D-229A-4521-AE2C-C591E0225CF2}"/>
    <cellStyle name="Normal 4 2 2 3 5" xfId="816" xr:uid="{00000000-0005-0000-0000-000080120000}"/>
    <cellStyle name="Normal 4 2 2 3 5 2" xfId="3053" xr:uid="{00000000-0005-0000-0000-000081120000}"/>
    <cellStyle name="Normal 4 2 2 3 5 2 2" xfId="7276" xr:uid="{00000000-0005-0000-0000-000082120000}"/>
    <cellStyle name="Normal 4 2 2 3 5 2 2 2" xfId="15718" xr:uid="{C6A9CE2F-1181-4513-BC4B-6B61595A0F84}"/>
    <cellStyle name="Normal 4 2 2 3 5 2 2 3" xfId="24153" xr:uid="{FF179F61-2E8C-4DF3-ADB0-F4E8EFCBAAAD}"/>
    <cellStyle name="Normal 4 2 2 3 5 2 3" xfId="11500" xr:uid="{026678DA-231C-46E6-8CF9-9B543765F631}"/>
    <cellStyle name="Normal 4 2 2 3 5 2 4" xfId="19936" xr:uid="{4AE0A844-3BA6-4FE7-AAE1-5A3C57C5E3BA}"/>
    <cellStyle name="Normal 4 2 2 3 5 3" xfId="5131" xr:uid="{00000000-0005-0000-0000-000083120000}"/>
    <cellStyle name="Normal 4 2 2 3 5 3 2" xfId="13573" xr:uid="{B0D6BE5E-FB9F-4B29-A84C-953F48CB5B78}"/>
    <cellStyle name="Normal 4 2 2 3 5 3 3" xfId="22008" xr:uid="{11ACE0E7-DEF9-4FCB-BFB8-BC854D2E11FE}"/>
    <cellStyle name="Normal 4 2 2 3 5 4" xfId="9355" xr:uid="{0C1C4CF6-B2FB-4E73-837E-E2877269B5FD}"/>
    <cellStyle name="Normal 4 2 2 3 5 5" xfId="17791" xr:uid="{71094660-91A1-45AB-A1D2-4BCD975DBCB6}"/>
    <cellStyle name="Normal 4 2 2 3 6" xfId="1236" xr:uid="{00000000-0005-0000-0000-000084120000}"/>
    <cellStyle name="Normal 4 2 2 3 6 2" xfId="3466" xr:uid="{00000000-0005-0000-0000-000085120000}"/>
    <cellStyle name="Normal 4 2 2 3 6 2 2" xfId="7689" xr:uid="{00000000-0005-0000-0000-000086120000}"/>
    <cellStyle name="Normal 4 2 2 3 6 2 2 2" xfId="16131" xr:uid="{43AAB686-652D-4116-87C8-8D09DB0128C2}"/>
    <cellStyle name="Normal 4 2 2 3 6 2 2 3" xfId="24566" xr:uid="{AC6E9A2B-75BB-43B8-A0F3-13723F7825E1}"/>
    <cellStyle name="Normal 4 2 2 3 6 2 3" xfId="11913" xr:uid="{4C3C45AC-467B-49B8-A85E-085B6E1D6939}"/>
    <cellStyle name="Normal 4 2 2 3 6 2 4" xfId="20349" xr:uid="{10976CE8-9916-45FC-B4BA-008082348108}"/>
    <cellStyle name="Normal 4 2 2 3 6 3" xfId="5544" xr:uid="{00000000-0005-0000-0000-000087120000}"/>
    <cellStyle name="Normal 4 2 2 3 6 3 2" xfId="13986" xr:uid="{23B8B3CE-4A82-4B24-9E19-A9A36CEE8F7C}"/>
    <cellStyle name="Normal 4 2 2 3 6 3 3" xfId="22421" xr:uid="{B90C2E82-9FBD-401F-9C02-2D939986B529}"/>
    <cellStyle name="Normal 4 2 2 3 6 4" xfId="9768" xr:uid="{655E48B2-AC4F-4D7C-92EE-187C1DF8E574}"/>
    <cellStyle name="Normal 4 2 2 3 6 5" xfId="18204" xr:uid="{D3F92259-762E-4F4A-80D3-1D7B81B1D6B6}"/>
    <cellStyle name="Normal 4 2 2 3 7" xfId="1649" xr:uid="{00000000-0005-0000-0000-000088120000}"/>
    <cellStyle name="Normal 4 2 2 3 7 2" xfId="3879" xr:uid="{00000000-0005-0000-0000-000089120000}"/>
    <cellStyle name="Normal 4 2 2 3 7 2 2" xfId="8102" xr:uid="{00000000-0005-0000-0000-00008A120000}"/>
    <cellStyle name="Normal 4 2 2 3 7 2 2 2" xfId="16544" xr:uid="{36155007-527C-4FFC-B7C1-B3C5CD2988DD}"/>
    <cellStyle name="Normal 4 2 2 3 7 2 2 3" xfId="24979" xr:uid="{870D00F8-5260-4D69-9DC5-5DE7036DAF2C}"/>
    <cellStyle name="Normal 4 2 2 3 7 2 3" xfId="12326" xr:uid="{31A49324-0D43-4942-B2F4-DAD8A57EF510}"/>
    <cellStyle name="Normal 4 2 2 3 7 2 4" xfId="20762" xr:uid="{2171084D-7CD9-4FFE-8BDB-086C777FF13D}"/>
    <cellStyle name="Normal 4 2 2 3 7 3" xfId="5957" xr:uid="{00000000-0005-0000-0000-00008B120000}"/>
    <cellStyle name="Normal 4 2 2 3 7 3 2" xfId="14399" xr:uid="{56D74525-CC65-4D05-9021-E6D90D4C0BE4}"/>
    <cellStyle name="Normal 4 2 2 3 7 3 3" xfId="22834" xr:uid="{73DDF13F-4257-47C5-9740-7A10C2E8A738}"/>
    <cellStyle name="Normal 4 2 2 3 7 4" xfId="10181" xr:uid="{032C7243-3C36-429E-81BE-FD913E9DB59C}"/>
    <cellStyle name="Normal 4 2 2 3 7 5" xfId="18617" xr:uid="{64BBE93D-74C3-4DB5-9D47-C11C55DA56DC}"/>
    <cellStyle name="Normal 4 2 2 3 8" xfId="2063" xr:uid="{00000000-0005-0000-0000-00008C120000}"/>
    <cellStyle name="Normal 4 2 2 3 8 2" xfId="4292" xr:uid="{00000000-0005-0000-0000-00008D120000}"/>
    <cellStyle name="Normal 4 2 2 3 8 2 2" xfId="8515" xr:uid="{00000000-0005-0000-0000-00008E120000}"/>
    <cellStyle name="Normal 4 2 2 3 8 2 2 2" xfId="16957" xr:uid="{E7C6D494-4E4D-40B1-B27A-4C9A6C837C10}"/>
    <cellStyle name="Normal 4 2 2 3 8 2 2 3" xfId="25392" xr:uid="{6A0C10C2-C9A4-4A5B-8F5D-9FEA7FA90883}"/>
    <cellStyle name="Normal 4 2 2 3 8 2 3" xfId="12739" xr:uid="{27C0C29C-02AA-459D-B5F6-9E665AFDEC46}"/>
    <cellStyle name="Normal 4 2 2 3 8 2 4" xfId="21175" xr:uid="{2511B313-9EE4-418C-B671-41982B6A2C09}"/>
    <cellStyle name="Normal 4 2 2 3 8 3" xfId="6370" xr:uid="{00000000-0005-0000-0000-00008F120000}"/>
    <cellStyle name="Normal 4 2 2 3 8 3 2" xfId="14812" xr:uid="{C93F52D6-495A-453D-99FE-D11A052F2844}"/>
    <cellStyle name="Normal 4 2 2 3 8 3 3" xfId="23247" xr:uid="{1AE7CD17-344C-4C4C-AA95-1E94FF620690}"/>
    <cellStyle name="Normal 4 2 2 3 8 4" xfId="10594" xr:uid="{81267FFD-1CC0-4911-8CDC-418EDE5C95BF}"/>
    <cellStyle name="Normal 4 2 2 3 8 5" xfId="19030" xr:uid="{73C37195-4C73-43EC-86E9-5A2AE02C625E}"/>
    <cellStyle name="Normal 4 2 2 3 9" xfId="2499" xr:uid="{00000000-0005-0000-0000-000090120000}"/>
    <cellStyle name="Normal 4 2 2 3 9 2" xfId="6783" xr:uid="{00000000-0005-0000-0000-000091120000}"/>
    <cellStyle name="Normal 4 2 2 3 9 2 2" xfId="15225" xr:uid="{F5B8B7AC-628E-43E7-9038-7443CD2A5D86}"/>
    <cellStyle name="Normal 4 2 2 3 9 2 3" xfId="23660" xr:uid="{14813495-6806-4810-AAE5-FC134EA8FED8}"/>
    <cellStyle name="Normal 4 2 2 3 9 3" xfId="11007" xr:uid="{CA7899C1-08FD-45BD-A99E-28B5FEE810F6}"/>
    <cellStyle name="Normal 4 2 2 3 9 4" xfId="19443" xr:uid="{FFC83FE5-57DC-4F51-BC55-2826218EDCA2}"/>
    <cellStyle name="Normal 4 2 2 4" xfId="347" xr:uid="{00000000-0005-0000-0000-000092120000}"/>
    <cellStyle name="Normal 4 2 2 4 10" xfId="8950" xr:uid="{CA33B3A2-EFC8-4F8C-9768-7E5F660D77CC}"/>
    <cellStyle name="Normal 4 2 2 4 11" xfId="17386" xr:uid="{CF36E99C-A07A-49EB-B4D0-9EC556A4D830}"/>
    <cellStyle name="Normal 4 2 2 4 2" xfId="348" xr:uid="{00000000-0005-0000-0000-000093120000}"/>
    <cellStyle name="Normal 4 2 2 4 2 10" xfId="17387" xr:uid="{89EF02ED-BA97-4FFE-BDF1-650E9C75D38E}"/>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2 2 2" xfId="15728" xr:uid="{0DE55E33-C7CD-4C87-B043-3AAEFFD5E700}"/>
    <cellStyle name="Normal 4 2 2 4 2 2 2 2 2 3" xfId="24163" xr:uid="{1E444E0B-7CD2-4047-B297-0B71584D6261}"/>
    <cellStyle name="Normal 4 2 2 4 2 2 2 2 3" xfId="11510" xr:uid="{4C01155E-633E-477D-840F-4552D5CD7B99}"/>
    <cellStyle name="Normal 4 2 2 4 2 2 2 2 4" xfId="19946" xr:uid="{C9D3BAE6-C4F5-4C17-95E5-FEE306A879CB}"/>
    <cellStyle name="Normal 4 2 2 4 2 2 2 3" xfId="5141" xr:uid="{00000000-0005-0000-0000-000098120000}"/>
    <cellStyle name="Normal 4 2 2 4 2 2 2 3 2" xfId="13583" xr:uid="{095FD871-6833-4226-8B8C-3324DF81F5B9}"/>
    <cellStyle name="Normal 4 2 2 4 2 2 2 3 3" xfId="22018" xr:uid="{FA3FBB7B-3C03-485E-8E1D-347E6F72B9EB}"/>
    <cellStyle name="Normal 4 2 2 4 2 2 2 4" xfId="9365" xr:uid="{68EF75E7-8F92-474D-979A-6E51278921BC}"/>
    <cellStyle name="Normal 4 2 2 4 2 2 2 5" xfId="17801" xr:uid="{A23F75D2-2CF3-4D10-8D81-A9F6347B932A}"/>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2 2 2" xfId="16141" xr:uid="{7E942E89-E7A6-4DB1-983C-61D1790F0F9A}"/>
    <cellStyle name="Normal 4 2 2 4 2 2 3 2 2 3" xfId="24576" xr:uid="{38620006-F6BA-4BD4-BF49-8ECB0A419A8C}"/>
    <cellStyle name="Normal 4 2 2 4 2 2 3 2 3" xfId="11923" xr:uid="{573FE393-A58A-4D34-A4C0-AEAE751D9289}"/>
    <cellStyle name="Normal 4 2 2 4 2 2 3 2 4" xfId="20359" xr:uid="{42F371DB-B016-46A1-AF72-7C0E3BBB6D9E}"/>
    <cellStyle name="Normal 4 2 2 4 2 2 3 3" xfId="5554" xr:uid="{00000000-0005-0000-0000-00009C120000}"/>
    <cellStyle name="Normal 4 2 2 4 2 2 3 3 2" xfId="13996" xr:uid="{93A2CC77-BCB6-4C76-8A22-46CEF2EF1BB5}"/>
    <cellStyle name="Normal 4 2 2 4 2 2 3 3 3" xfId="22431" xr:uid="{406BDFD4-5F78-42B2-9FC0-03BB10C5F1DF}"/>
    <cellStyle name="Normal 4 2 2 4 2 2 3 4" xfId="9778" xr:uid="{12667BAE-E67A-4C54-AF9A-FE5608C81864}"/>
    <cellStyle name="Normal 4 2 2 4 2 2 3 5" xfId="18214" xr:uid="{B3A9B1F6-2351-4E7B-BB52-30062B60233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2 2 2" xfId="16554" xr:uid="{5CCFD826-F5F6-44E8-842C-1D9E28161A25}"/>
    <cellStyle name="Normal 4 2 2 4 2 2 4 2 2 3" xfId="24989" xr:uid="{7AC10E17-DF16-4D76-BD85-35FA10D1B7EA}"/>
    <cellStyle name="Normal 4 2 2 4 2 2 4 2 3" xfId="12336" xr:uid="{B1714EFF-736E-42CE-923E-735974D0CA5C}"/>
    <cellStyle name="Normal 4 2 2 4 2 2 4 2 4" xfId="20772" xr:uid="{B9B16B63-9790-4A80-AD8E-987630795A88}"/>
    <cellStyle name="Normal 4 2 2 4 2 2 4 3" xfId="5967" xr:uid="{00000000-0005-0000-0000-0000A0120000}"/>
    <cellStyle name="Normal 4 2 2 4 2 2 4 3 2" xfId="14409" xr:uid="{9857D7C3-A2B9-4AA6-AE3B-2C283B72AE42}"/>
    <cellStyle name="Normal 4 2 2 4 2 2 4 3 3" xfId="22844" xr:uid="{52562D48-A37D-4020-8165-ABC944B22DED}"/>
    <cellStyle name="Normal 4 2 2 4 2 2 4 4" xfId="10191" xr:uid="{D0BCC17D-07BA-433D-B457-507EB9D41C77}"/>
    <cellStyle name="Normal 4 2 2 4 2 2 4 5" xfId="18627" xr:uid="{3F699D45-D77D-4F47-8616-47381EA21C17}"/>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2 2 2" xfId="16967" xr:uid="{3D5B5D7B-9DA4-414E-8258-B0BADAAF8419}"/>
    <cellStyle name="Normal 4 2 2 4 2 2 5 2 2 3" xfId="25402" xr:uid="{D9F2EE2B-C10C-4FB6-8A2B-06B9E96FA4F5}"/>
    <cellStyle name="Normal 4 2 2 4 2 2 5 2 3" xfId="12749" xr:uid="{3C11A32D-8237-4B5B-931C-BD80C0E602F3}"/>
    <cellStyle name="Normal 4 2 2 4 2 2 5 2 4" xfId="21185" xr:uid="{BFED0952-1907-4BA6-8954-D245DA4C7C2F}"/>
    <cellStyle name="Normal 4 2 2 4 2 2 5 3" xfId="6380" xr:uid="{00000000-0005-0000-0000-0000A4120000}"/>
    <cellStyle name="Normal 4 2 2 4 2 2 5 3 2" xfId="14822" xr:uid="{7430D0E6-C292-4910-876E-335CA06BB53C}"/>
    <cellStyle name="Normal 4 2 2 4 2 2 5 3 3" xfId="23257" xr:uid="{D57BD089-30AB-48C2-B581-CB9D774EEE37}"/>
    <cellStyle name="Normal 4 2 2 4 2 2 5 4" xfId="10604" xr:uid="{1353F677-9192-4E56-AEC7-ED3B13C821E3}"/>
    <cellStyle name="Normal 4 2 2 4 2 2 5 5" xfId="19040" xr:uid="{5EA8F490-3685-4BA2-AC62-AB0306A8D190}"/>
    <cellStyle name="Normal 4 2 2 4 2 2 6" xfId="2509" xr:uid="{00000000-0005-0000-0000-0000A5120000}"/>
    <cellStyle name="Normal 4 2 2 4 2 2 6 2" xfId="6793" xr:uid="{00000000-0005-0000-0000-0000A6120000}"/>
    <cellStyle name="Normal 4 2 2 4 2 2 6 2 2" xfId="15235" xr:uid="{DCB12BDC-94BD-4A60-B28A-42322C9FD999}"/>
    <cellStyle name="Normal 4 2 2 4 2 2 6 2 3" xfId="23670" xr:uid="{D38E6085-D0DA-4F6C-A66F-F84FD444DCDC}"/>
    <cellStyle name="Normal 4 2 2 4 2 2 6 3" xfId="11017" xr:uid="{A090E91C-C858-4793-8C18-6F205E017750}"/>
    <cellStyle name="Normal 4 2 2 4 2 2 6 4" xfId="19453" xr:uid="{A0C9B165-6A7B-4210-9120-D680CA89BBC3}"/>
    <cellStyle name="Normal 4 2 2 4 2 2 7" xfId="4728" xr:uid="{00000000-0005-0000-0000-0000A7120000}"/>
    <cellStyle name="Normal 4 2 2 4 2 2 7 2" xfId="13170" xr:uid="{C0B434C6-49C8-439E-8962-FCBADF90F997}"/>
    <cellStyle name="Normal 4 2 2 4 2 2 7 3" xfId="21605" xr:uid="{6B283EA5-F3A3-4B60-85A3-35D84045DB42}"/>
    <cellStyle name="Normal 4 2 2 4 2 2 8" xfId="8952" xr:uid="{C204E6D3-9AE5-4131-93E3-A8A74EC0A440}"/>
    <cellStyle name="Normal 4 2 2 4 2 2 9" xfId="17388" xr:uid="{3FA23595-E3F2-4E12-9CB8-3B1F7F366FC4}"/>
    <cellStyle name="Normal 4 2 2 4 2 3" xfId="825" xr:uid="{00000000-0005-0000-0000-0000A8120000}"/>
    <cellStyle name="Normal 4 2 2 4 2 3 2" xfId="3062" xr:uid="{00000000-0005-0000-0000-0000A9120000}"/>
    <cellStyle name="Normal 4 2 2 4 2 3 2 2" xfId="7285" xr:uid="{00000000-0005-0000-0000-0000AA120000}"/>
    <cellStyle name="Normal 4 2 2 4 2 3 2 2 2" xfId="15727" xr:uid="{6D8119C2-B7FE-43D1-9EC0-9F797365044C}"/>
    <cellStyle name="Normal 4 2 2 4 2 3 2 2 3" xfId="24162" xr:uid="{E56D0368-50BC-455E-93D3-B3803ABA8A2D}"/>
    <cellStyle name="Normal 4 2 2 4 2 3 2 3" xfId="11509" xr:uid="{4524FC43-03B9-4635-971E-67C5DBF1FED5}"/>
    <cellStyle name="Normal 4 2 2 4 2 3 2 4" xfId="19945" xr:uid="{09C5744A-1F18-4BF2-B863-BD3C92F7738D}"/>
    <cellStyle name="Normal 4 2 2 4 2 3 3" xfId="5140" xr:uid="{00000000-0005-0000-0000-0000AB120000}"/>
    <cellStyle name="Normal 4 2 2 4 2 3 3 2" xfId="13582" xr:uid="{996625BC-8D57-470B-9367-9264715033F7}"/>
    <cellStyle name="Normal 4 2 2 4 2 3 3 3" xfId="22017" xr:uid="{DA118F26-B272-4D90-BD94-CDEEE694ABE0}"/>
    <cellStyle name="Normal 4 2 2 4 2 3 4" xfId="9364" xr:uid="{F09FEDBB-8B79-4CEF-A9AF-2AE8E398CF6B}"/>
    <cellStyle name="Normal 4 2 2 4 2 3 5" xfId="17800" xr:uid="{A712C2D8-486D-4429-9F3E-3B84F7C04611}"/>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2 2 2" xfId="16140" xr:uid="{A55D49FB-E2C9-4A7F-BF05-E88119E41D38}"/>
    <cellStyle name="Normal 4 2 2 4 2 4 2 2 3" xfId="24575" xr:uid="{39FB31B6-9C67-4C57-A07F-7F857CA80095}"/>
    <cellStyle name="Normal 4 2 2 4 2 4 2 3" xfId="11922" xr:uid="{2CFCEDB4-2521-4F02-A937-932E8A72375D}"/>
    <cellStyle name="Normal 4 2 2 4 2 4 2 4" xfId="20358" xr:uid="{6E00C319-18AC-4FD3-A101-8F4A6D87F8A6}"/>
    <cellStyle name="Normal 4 2 2 4 2 4 3" xfId="5553" xr:uid="{00000000-0005-0000-0000-0000AF120000}"/>
    <cellStyle name="Normal 4 2 2 4 2 4 3 2" xfId="13995" xr:uid="{4BA91DA1-0FEC-4C13-9C67-4616F3791C8E}"/>
    <cellStyle name="Normal 4 2 2 4 2 4 3 3" xfId="22430" xr:uid="{043DE6C7-E059-4ABD-A9F7-915E33247F20}"/>
    <cellStyle name="Normal 4 2 2 4 2 4 4" xfId="9777" xr:uid="{38EDC2FC-0402-4688-B67B-1E1D549C4BCB}"/>
    <cellStyle name="Normal 4 2 2 4 2 4 5" xfId="18213" xr:uid="{A4AF6248-DF61-443A-B910-5A8563066A6C}"/>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2 2 2" xfId="16553" xr:uid="{AD8C1F81-06F9-4B4E-A1E8-C99F837D6779}"/>
    <cellStyle name="Normal 4 2 2 4 2 5 2 2 3" xfId="24988" xr:uid="{54A93B4F-052A-4437-B6E9-F61F117C3511}"/>
    <cellStyle name="Normal 4 2 2 4 2 5 2 3" xfId="12335" xr:uid="{4FE6B784-A85D-48BD-BC84-12ACE1AC5B00}"/>
    <cellStyle name="Normal 4 2 2 4 2 5 2 4" xfId="20771" xr:uid="{B9B34923-6B25-447A-A225-406DB620A11B}"/>
    <cellStyle name="Normal 4 2 2 4 2 5 3" xfId="5966" xr:uid="{00000000-0005-0000-0000-0000B3120000}"/>
    <cellStyle name="Normal 4 2 2 4 2 5 3 2" xfId="14408" xr:uid="{E07EC6A8-FA29-4616-8881-13FB630ACE6A}"/>
    <cellStyle name="Normal 4 2 2 4 2 5 3 3" xfId="22843" xr:uid="{511900E5-CE61-44CE-B1F4-5BE34E9D2547}"/>
    <cellStyle name="Normal 4 2 2 4 2 5 4" xfId="10190" xr:uid="{740F2527-B5AE-48B6-9720-847974E7A4F4}"/>
    <cellStyle name="Normal 4 2 2 4 2 5 5" xfId="18626" xr:uid="{D0A87666-2BA6-43AC-B877-7626FD31178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2 2 2" xfId="16966" xr:uid="{25E18F92-0987-4B99-B595-AD60B8C23097}"/>
    <cellStyle name="Normal 4 2 2 4 2 6 2 2 3" xfId="25401" xr:uid="{E192DA91-CB0A-4493-BEC1-F03807A38D65}"/>
    <cellStyle name="Normal 4 2 2 4 2 6 2 3" xfId="12748" xr:uid="{9CDB42AA-3F7A-4A22-868A-C6AD842B6D9B}"/>
    <cellStyle name="Normal 4 2 2 4 2 6 2 4" xfId="21184" xr:uid="{321FD9CA-19CE-4C21-BE1A-26AC23C4B193}"/>
    <cellStyle name="Normal 4 2 2 4 2 6 3" xfId="6379" xr:uid="{00000000-0005-0000-0000-0000B7120000}"/>
    <cellStyle name="Normal 4 2 2 4 2 6 3 2" xfId="14821" xr:uid="{A65F1E5A-169B-4405-BD36-71CFFB92D07F}"/>
    <cellStyle name="Normal 4 2 2 4 2 6 3 3" xfId="23256" xr:uid="{D5F2F3C8-54BE-4582-A6BD-FCC677ED6225}"/>
    <cellStyle name="Normal 4 2 2 4 2 6 4" xfId="10603" xr:uid="{4674DC64-2F09-4469-B2C5-32774441D745}"/>
    <cellStyle name="Normal 4 2 2 4 2 6 5" xfId="19039" xr:uid="{56BE7B59-8058-41EF-A7A4-4266395EA842}"/>
    <cellStyle name="Normal 4 2 2 4 2 7" xfId="2508" xr:uid="{00000000-0005-0000-0000-0000B8120000}"/>
    <cellStyle name="Normal 4 2 2 4 2 7 2" xfId="6792" xr:uid="{00000000-0005-0000-0000-0000B9120000}"/>
    <cellStyle name="Normal 4 2 2 4 2 7 2 2" xfId="15234" xr:uid="{50E4B527-35F6-4995-BF89-DCC79C293046}"/>
    <cellStyle name="Normal 4 2 2 4 2 7 2 3" xfId="23669" xr:uid="{46DC54D0-5C4A-4A0B-9E64-D71C42A75703}"/>
    <cellStyle name="Normal 4 2 2 4 2 7 3" xfId="11016" xr:uid="{B9C9DBBC-7BAA-4022-A687-360BE23E1024}"/>
    <cellStyle name="Normal 4 2 2 4 2 7 4" xfId="19452" xr:uid="{459BA6FD-9D7D-432B-A9B3-F65B18CA6F6F}"/>
    <cellStyle name="Normal 4 2 2 4 2 8" xfId="4727" xr:uid="{00000000-0005-0000-0000-0000BA120000}"/>
    <cellStyle name="Normal 4 2 2 4 2 8 2" xfId="13169" xr:uid="{FC7F2030-4283-435B-9D8C-D03D60C79F6E}"/>
    <cellStyle name="Normal 4 2 2 4 2 8 3" xfId="21604" xr:uid="{646D29BC-6C5A-489E-BB88-93467AC33469}"/>
    <cellStyle name="Normal 4 2 2 4 2 9" xfId="8951" xr:uid="{31337E48-A3D1-4E5E-9FDF-8E97D4905D01}"/>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2 2 2" xfId="15729" xr:uid="{0B4F3FA9-4E4C-4583-99D6-DF22E67A86AD}"/>
    <cellStyle name="Normal 4 2 2 4 3 2 2 2 3" xfId="24164" xr:uid="{774FF3C1-6B3C-4DE9-AB89-B0D27CA71E2A}"/>
    <cellStyle name="Normal 4 2 2 4 3 2 2 3" xfId="11511" xr:uid="{10BD4AED-CF18-43FB-9CE1-C39EA9B8B77C}"/>
    <cellStyle name="Normal 4 2 2 4 3 2 2 4" xfId="19947" xr:uid="{41836EFE-EB87-42D1-96D9-4BFB6C3C5676}"/>
    <cellStyle name="Normal 4 2 2 4 3 2 3" xfId="5142" xr:uid="{00000000-0005-0000-0000-0000BF120000}"/>
    <cellStyle name="Normal 4 2 2 4 3 2 3 2" xfId="13584" xr:uid="{8C2BC728-8F39-4C1D-836E-3143F7642EC8}"/>
    <cellStyle name="Normal 4 2 2 4 3 2 3 3" xfId="22019" xr:uid="{8405F38D-CDA8-4D8A-8B0D-73360972C285}"/>
    <cellStyle name="Normal 4 2 2 4 3 2 4" xfId="9366" xr:uid="{F1DD0B68-EA7C-4335-A526-D479518EC885}"/>
    <cellStyle name="Normal 4 2 2 4 3 2 5" xfId="17802" xr:uid="{B22FF8F3-FD37-46E9-A125-9936DB514679}"/>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2 2 2" xfId="16142" xr:uid="{D99B37BC-DD6C-4297-988F-B38CC834CE98}"/>
    <cellStyle name="Normal 4 2 2 4 3 3 2 2 3" xfId="24577" xr:uid="{047DA7DA-DB66-4C52-A420-5D2000B6D5AC}"/>
    <cellStyle name="Normal 4 2 2 4 3 3 2 3" xfId="11924" xr:uid="{F31DD072-7F34-4D73-8512-F34C6811E8CD}"/>
    <cellStyle name="Normal 4 2 2 4 3 3 2 4" xfId="20360" xr:uid="{0D281B7B-6430-498C-A19C-6FE298FD1F67}"/>
    <cellStyle name="Normal 4 2 2 4 3 3 3" xfId="5555" xr:uid="{00000000-0005-0000-0000-0000C3120000}"/>
    <cellStyle name="Normal 4 2 2 4 3 3 3 2" xfId="13997" xr:uid="{7712E6E6-696D-4AF2-952D-F9CE87BF08A2}"/>
    <cellStyle name="Normal 4 2 2 4 3 3 3 3" xfId="22432" xr:uid="{8A193AB3-0D19-438B-AFEC-A939240B734D}"/>
    <cellStyle name="Normal 4 2 2 4 3 3 4" xfId="9779" xr:uid="{A32F9705-74E0-4098-9A92-AF6BA756C9C7}"/>
    <cellStyle name="Normal 4 2 2 4 3 3 5" xfId="18215" xr:uid="{2BF4A526-950C-4A2E-856F-2149D285493F}"/>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2 2 2" xfId="16555" xr:uid="{143E9159-8250-4B9E-A2F3-D64BB7A61DC4}"/>
    <cellStyle name="Normal 4 2 2 4 3 4 2 2 3" xfId="24990" xr:uid="{CD7C2253-F36E-41B2-9D7D-757EFFDEABFB}"/>
    <cellStyle name="Normal 4 2 2 4 3 4 2 3" xfId="12337" xr:uid="{BBC367D3-AE52-4920-8202-18A4E0AEF6CE}"/>
    <cellStyle name="Normal 4 2 2 4 3 4 2 4" xfId="20773" xr:uid="{4FC901E5-682D-4812-AE66-E4D7D57EDE03}"/>
    <cellStyle name="Normal 4 2 2 4 3 4 3" xfId="5968" xr:uid="{00000000-0005-0000-0000-0000C7120000}"/>
    <cellStyle name="Normal 4 2 2 4 3 4 3 2" xfId="14410" xr:uid="{3AABAE81-9CB5-4908-9071-CFD94F84BF46}"/>
    <cellStyle name="Normal 4 2 2 4 3 4 3 3" xfId="22845" xr:uid="{0143C3B8-A6BD-4A43-9A5A-251FE40F6112}"/>
    <cellStyle name="Normal 4 2 2 4 3 4 4" xfId="10192" xr:uid="{65248337-188E-487B-8854-B0780616791C}"/>
    <cellStyle name="Normal 4 2 2 4 3 4 5" xfId="18628" xr:uid="{E402AA16-D7BB-46F1-9EB9-7058A04A60A2}"/>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2 2 2" xfId="16968" xr:uid="{29A8BDAD-E9D9-4F35-A0DF-743A7FF0CBE8}"/>
    <cellStyle name="Normal 4 2 2 4 3 5 2 2 3" xfId="25403" xr:uid="{83178AC3-0603-4D4A-A85A-CC7924F82FCC}"/>
    <cellStyle name="Normal 4 2 2 4 3 5 2 3" xfId="12750" xr:uid="{8EAB1F91-812C-473B-8D03-35A0C2B21340}"/>
    <cellStyle name="Normal 4 2 2 4 3 5 2 4" xfId="21186" xr:uid="{0798CEB0-6CEF-489F-9CD6-60FB4A8F2306}"/>
    <cellStyle name="Normal 4 2 2 4 3 5 3" xfId="6381" xr:uid="{00000000-0005-0000-0000-0000CB120000}"/>
    <cellStyle name="Normal 4 2 2 4 3 5 3 2" xfId="14823" xr:uid="{0FCF895A-41AC-4BD4-BD6E-5B9D049B165B}"/>
    <cellStyle name="Normal 4 2 2 4 3 5 3 3" xfId="23258" xr:uid="{5146C602-937C-4DCC-896C-1EDA7DB041C3}"/>
    <cellStyle name="Normal 4 2 2 4 3 5 4" xfId="10605" xr:uid="{BB672C99-7FFA-4C9E-95A5-B08F02F03EB7}"/>
    <cellStyle name="Normal 4 2 2 4 3 5 5" xfId="19041" xr:uid="{A075B782-E669-4AEC-AA62-D969DC44277A}"/>
    <cellStyle name="Normal 4 2 2 4 3 6" xfId="2510" xr:uid="{00000000-0005-0000-0000-0000CC120000}"/>
    <cellStyle name="Normal 4 2 2 4 3 6 2" xfId="6794" xr:uid="{00000000-0005-0000-0000-0000CD120000}"/>
    <cellStyle name="Normal 4 2 2 4 3 6 2 2" xfId="15236" xr:uid="{15DD6B36-54A8-4998-9D4E-B2A8A53B3FA6}"/>
    <cellStyle name="Normal 4 2 2 4 3 6 2 3" xfId="23671" xr:uid="{BE7211A3-D7BB-4F94-804C-CF753B7E2200}"/>
    <cellStyle name="Normal 4 2 2 4 3 6 3" xfId="11018" xr:uid="{EA808159-3922-47B1-870B-24F1F4F0372C}"/>
    <cellStyle name="Normal 4 2 2 4 3 6 4" xfId="19454" xr:uid="{5E09DE5E-01DC-47BD-A628-515FEA51B5BA}"/>
    <cellStyle name="Normal 4 2 2 4 3 7" xfId="4729" xr:uid="{00000000-0005-0000-0000-0000CE120000}"/>
    <cellStyle name="Normal 4 2 2 4 3 7 2" xfId="13171" xr:uid="{A5B91097-4D83-41C9-A52C-0B384696E715}"/>
    <cellStyle name="Normal 4 2 2 4 3 7 3" xfId="21606" xr:uid="{DF3B0F5F-C21C-42C6-BB8E-6506F01F0275}"/>
    <cellStyle name="Normal 4 2 2 4 3 8" xfId="8953" xr:uid="{C17499DF-38E9-43E2-B541-B7D18F807A88}"/>
    <cellStyle name="Normal 4 2 2 4 3 9" xfId="17389" xr:uid="{F76A30F4-EEB5-4E7E-B6B5-65BD03F041D7}"/>
    <cellStyle name="Normal 4 2 2 4 4" xfId="824" xr:uid="{00000000-0005-0000-0000-0000CF120000}"/>
    <cellStyle name="Normal 4 2 2 4 4 2" xfId="3061" xr:uid="{00000000-0005-0000-0000-0000D0120000}"/>
    <cellStyle name="Normal 4 2 2 4 4 2 2" xfId="7284" xr:uid="{00000000-0005-0000-0000-0000D1120000}"/>
    <cellStyle name="Normal 4 2 2 4 4 2 2 2" xfId="15726" xr:uid="{1D5201F9-2982-4A5A-B978-B1422ED67BDE}"/>
    <cellStyle name="Normal 4 2 2 4 4 2 2 3" xfId="24161" xr:uid="{5C2373C4-26FA-4A43-BD17-887EFA8B3AE3}"/>
    <cellStyle name="Normal 4 2 2 4 4 2 3" xfId="11508" xr:uid="{37E29329-EE1B-4F4F-A96E-6A68D833B03B}"/>
    <cellStyle name="Normal 4 2 2 4 4 2 4" xfId="19944" xr:uid="{7D63DC0F-DB14-4C6F-9680-2433442D4BA8}"/>
    <cellStyle name="Normal 4 2 2 4 4 3" xfId="5139" xr:uid="{00000000-0005-0000-0000-0000D2120000}"/>
    <cellStyle name="Normal 4 2 2 4 4 3 2" xfId="13581" xr:uid="{EBE9FAB7-FCB1-44C7-B97F-88567B901361}"/>
    <cellStyle name="Normal 4 2 2 4 4 3 3" xfId="22016" xr:uid="{29AB8A29-D4DA-4BA9-A5A2-A3851F9DC4C6}"/>
    <cellStyle name="Normal 4 2 2 4 4 4" xfId="9363" xr:uid="{8BDC214F-8BD8-4D2B-A453-5FFF3DE4BC0B}"/>
    <cellStyle name="Normal 4 2 2 4 4 5" xfId="17799" xr:uid="{E785D765-5A7B-4DDB-A456-F4C6930C0835}"/>
    <cellStyle name="Normal 4 2 2 4 5" xfId="1244" xr:uid="{00000000-0005-0000-0000-0000D3120000}"/>
    <cellStyle name="Normal 4 2 2 4 5 2" xfId="3474" xr:uid="{00000000-0005-0000-0000-0000D4120000}"/>
    <cellStyle name="Normal 4 2 2 4 5 2 2" xfId="7697" xr:uid="{00000000-0005-0000-0000-0000D5120000}"/>
    <cellStyle name="Normal 4 2 2 4 5 2 2 2" xfId="16139" xr:uid="{FF5E96E9-4541-45EF-A81C-73A727FF80FF}"/>
    <cellStyle name="Normal 4 2 2 4 5 2 2 3" xfId="24574" xr:uid="{1EDD83DE-E599-4985-AD53-868FBE49F9A0}"/>
    <cellStyle name="Normal 4 2 2 4 5 2 3" xfId="11921" xr:uid="{0BD3F395-BC9F-4EF4-A65E-10013B725429}"/>
    <cellStyle name="Normal 4 2 2 4 5 2 4" xfId="20357" xr:uid="{B0359815-D31A-47D5-A790-A14EDB938916}"/>
    <cellStyle name="Normal 4 2 2 4 5 3" xfId="5552" xr:uid="{00000000-0005-0000-0000-0000D6120000}"/>
    <cellStyle name="Normal 4 2 2 4 5 3 2" xfId="13994" xr:uid="{0061ED45-254F-4F63-9744-1D9D05C361EC}"/>
    <cellStyle name="Normal 4 2 2 4 5 3 3" xfId="22429" xr:uid="{DFBC20BE-6197-426C-A39B-792B051AA6AF}"/>
    <cellStyle name="Normal 4 2 2 4 5 4" xfId="9776" xr:uid="{01D4538F-4633-4295-9F08-55741BC111AB}"/>
    <cellStyle name="Normal 4 2 2 4 5 5" xfId="18212" xr:uid="{3F6087FF-6A7A-4B03-B8B4-36439A257315}"/>
    <cellStyle name="Normal 4 2 2 4 6" xfId="1657" xr:uid="{00000000-0005-0000-0000-0000D7120000}"/>
    <cellStyle name="Normal 4 2 2 4 6 2" xfId="3887" xr:uid="{00000000-0005-0000-0000-0000D8120000}"/>
    <cellStyle name="Normal 4 2 2 4 6 2 2" xfId="8110" xr:uid="{00000000-0005-0000-0000-0000D9120000}"/>
    <cellStyle name="Normal 4 2 2 4 6 2 2 2" xfId="16552" xr:uid="{94E1D300-B2C2-4F18-BD75-5E85CD2EAB2B}"/>
    <cellStyle name="Normal 4 2 2 4 6 2 2 3" xfId="24987" xr:uid="{55DE01D2-92BD-4DB1-A6D2-DE0CC7BB50A7}"/>
    <cellStyle name="Normal 4 2 2 4 6 2 3" xfId="12334" xr:uid="{6A8BF48A-4D2C-432A-8B85-37CBE6495960}"/>
    <cellStyle name="Normal 4 2 2 4 6 2 4" xfId="20770" xr:uid="{389F40AD-B383-472C-A628-F8FAF39B96E8}"/>
    <cellStyle name="Normal 4 2 2 4 6 3" xfId="5965" xr:uid="{00000000-0005-0000-0000-0000DA120000}"/>
    <cellStyle name="Normal 4 2 2 4 6 3 2" xfId="14407" xr:uid="{5E80F111-4C28-481E-9F21-0C6E7905BBF7}"/>
    <cellStyle name="Normal 4 2 2 4 6 3 3" xfId="22842" xr:uid="{F3146F5E-CA8B-4A30-85F4-0347B1D8FF48}"/>
    <cellStyle name="Normal 4 2 2 4 6 4" xfId="10189" xr:uid="{E72A4DAC-C5D6-408C-A482-7595CB017191}"/>
    <cellStyle name="Normal 4 2 2 4 6 5" xfId="18625" xr:uid="{9D71A587-8C09-4DA7-A570-2111CF247F20}"/>
    <cellStyle name="Normal 4 2 2 4 7" xfId="2071" xr:uid="{00000000-0005-0000-0000-0000DB120000}"/>
    <cellStyle name="Normal 4 2 2 4 7 2" xfId="4300" xr:uid="{00000000-0005-0000-0000-0000DC120000}"/>
    <cellStyle name="Normal 4 2 2 4 7 2 2" xfId="8523" xr:uid="{00000000-0005-0000-0000-0000DD120000}"/>
    <cellStyle name="Normal 4 2 2 4 7 2 2 2" xfId="16965" xr:uid="{0BA4AD73-ABC8-473E-ACC5-103FA41A6AB5}"/>
    <cellStyle name="Normal 4 2 2 4 7 2 2 3" xfId="25400" xr:uid="{141BF0FC-C2F7-45B7-AA84-72486EA1F4A9}"/>
    <cellStyle name="Normal 4 2 2 4 7 2 3" xfId="12747" xr:uid="{FEB1D928-57E6-442E-8DCB-C8F8CEC57672}"/>
    <cellStyle name="Normal 4 2 2 4 7 2 4" xfId="21183" xr:uid="{3741E8E2-9253-4728-B534-E8F66B823A17}"/>
    <cellStyle name="Normal 4 2 2 4 7 3" xfId="6378" xr:uid="{00000000-0005-0000-0000-0000DE120000}"/>
    <cellStyle name="Normal 4 2 2 4 7 3 2" xfId="14820" xr:uid="{33F7F995-8571-4E1C-9506-C0655852B693}"/>
    <cellStyle name="Normal 4 2 2 4 7 3 3" xfId="23255" xr:uid="{EEA67C80-0573-4505-8167-2FAD1E7D1198}"/>
    <cellStyle name="Normal 4 2 2 4 7 4" xfId="10602" xr:uid="{A03DD072-F9D8-47D2-9AD3-097D1548BE72}"/>
    <cellStyle name="Normal 4 2 2 4 7 5" xfId="19038" xr:uid="{558E8B07-D682-4B48-B1A0-F221A8F67ADE}"/>
    <cellStyle name="Normal 4 2 2 4 8" xfId="2507" xr:uid="{00000000-0005-0000-0000-0000DF120000}"/>
    <cellStyle name="Normal 4 2 2 4 8 2" xfId="6791" xr:uid="{00000000-0005-0000-0000-0000E0120000}"/>
    <cellStyle name="Normal 4 2 2 4 8 2 2" xfId="15233" xr:uid="{160E9196-385C-4BE3-AFBF-75B8FA8744EE}"/>
    <cellStyle name="Normal 4 2 2 4 8 2 3" xfId="23668" xr:uid="{B8F3AAAE-162F-4108-87A0-23CEF3DE084C}"/>
    <cellStyle name="Normal 4 2 2 4 8 3" xfId="11015" xr:uid="{2BA92648-0DC6-456C-95B6-C8A8ED9CC259}"/>
    <cellStyle name="Normal 4 2 2 4 8 4" xfId="19451" xr:uid="{4191C75D-F3AB-4856-BCC9-FFC9529FDD6B}"/>
    <cellStyle name="Normal 4 2 2 4 9" xfId="4726" xr:uid="{00000000-0005-0000-0000-0000E1120000}"/>
    <cellStyle name="Normal 4 2 2 4 9 2" xfId="13168" xr:uid="{CEB840B5-0E0F-4FB6-A716-A08C40D52B51}"/>
    <cellStyle name="Normal 4 2 2 4 9 3" xfId="21603" xr:uid="{2873F916-27AD-4289-9700-0E4AB5C5218D}"/>
    <cellStyle name="Normal 4 2 2 5" xfId="351" xr:uid="{00000000-0005-0000-0000-0000E2120000}"/>
    <cellStyle name="Normal 4 2 2 5 10" xfId="17390" xr:uid="{3F68DCB7-0710-413C-B783-58E1D167AD75}"/>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2 2 2" xfId="15731" xr:uid="{BBABDBCC-DE15-4837-950B-1D5B709BD491}"/>
    <cellStyle name="Normal 4 2 2 5 2 2 2 2 3" xfId="24166" xr:uid="{F5E889BE-DC90-4FE2-807E-A6337D3DFCB0}"/>
    <cellStyle name="Normal 4 2 2 5 2 2 2 3" xfId="11513" xr:uid="{27699BCB-8592-4763-B15F-73EF01C238BB}"/>
    <cellStyle name="Normal 4 2 2 5 2 2 2 4" xfId="19949" xr:uid="{00E1B867-96FA-4250-ABBA-DBFA25BD1697}"/>
    <cellStyle name="Normal 4 2 2 5 2 2 3" xfId="5144" xr:uid="{00000000-0005-0000-0000-0000E7120000}"/>
    <cellStyle name="Normal 4 2 2 5 2 2 3 2" xfId="13586" xr:uid="{1D2A2917-54D3-4F47-A9A0-C49350564E2F}"/>
    <cellStyle name="Normal 4 2 2 5 2 2 3 3" xfId="22021" xr:uid="{4B1BAAC1-738B-46F3-85BA-333BDC6E68A0}"/>
    <cellStyle name="Normal 4 2 2 5 2 2 4" xfId="9368" xr:uid="{928CBA05-81D2-4081-8FA9-2AA162383DED}"/>
    <cellStyle name="Normal 4 2 2 5 2 2 5" xfId="17804" xr:uid="{C677CF04-C181-44A1-962C-30CC64AAAC93}"/>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2 2 2" xfId="16144" xr:uid="{867A2422-1C8E-4645-AC7A-D3BBB469D67E}"/>
    <cellStyle name="Normal 4 2 2 5 2 3 2 2 3" xfId="24579" xr:uid="{6DBDDE21-3A2D-42B5-9D0E-0E33CD34EBA1}"/>
    <cellStyle name="Normal 4 2 2 5 2 3 2 3" xfId="11926" xr:uid="{E52D997F-AC51-4CC5-B200-4CDF0F3FE400}"/>
    <cellStyle name="Normal 4 2 2 5 2 3 2 4" xfId="20362" xr:uid="{09BD5D0D-9176-4CD4-A6CB-5E0FA3D11F0D}"/>
    <cellStyle name="Normal 4 2 2 5 2 3 3" xfId="5557" xr:uid="{00000000-0005-0000-0000-0000EB120000}"/>
    <cellStyle name="Normal 4 2 2 5 2 3 3 2" xfId="13999" xr:uid="{8CFB4CF6-9A52-4217-881C-AA51B36FC471}"/>
    <cellStyle name="Normal 4 2 2 5 2 3 3 3" xfId="22434" xr:uid="{57A050F6-DC6B-42AD-B9D1-A2C691E1D2E1}"/>
    <cellStyle name="Normal 4 2 2 5 2 3 4" xfId="9781" xr:uid="{37774538-A108-4202-98C0-9D5ABD39925C}"/>
    <cellStyle name="Normal 4 2 2 5 2 3 5" xfId="18217" xr:uid="{A5D18652-2D4A-4C43-87B5-8C270E168F78}"/>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2 2 2" xfId="16557" xr:uid="{398E6494-D653-4684-AB2F-2DB545EF0BB5}"/>
    <cellStyle name="Normal 4 2 2 5 2 4 2 2 3" xfId="24992" xr:uid="{85727259-818C-4E84-AB13-86EF5175712B}"/>
    <cellStyle name="Normal 4 2 2 5 2 4 2 3" xfId="12339" xr:uid="{0E5F1D54-8A2A-4913-9A5F-3464C6260E4E}"/>
    <cellStyle name="Normal 4 2 2 5 2 4 2 4" xfId="20775" xr:uid="{0BE30B3C-7DE2-45ED-B190-C2DDF6096F31}"/>
    <cellStyle name="Normal 4 2 2 5 2 4 3" xfId="5970" xr:uid="{00000000-0005-0000-0000-0000EF120000}"/>
    <cellStyle name="Normal 4 2 2 5 2 4 3 2" xfId="14412" xr:uid="{3C1EA754-380E-4E69-BB09-300E29F039E6}"/>
    <cellStyle name="Normal 4 2 2 5 2 4 3 3" xfId="22847" xr:uid="{E1368D3D-E671-46BB-B9AC-9FBEAFC6B5A4}"/>
    <cellStyle name="Normal 4 2 2 5 2 4 4" xfId="10194" xr:uid="{7CD4B320-09B9-419F-A735-E6E17F7FB163}"/>
    <cellStyle name="Normal 4 2 2 5 2 4 5" xfId="18630" xr:uid="{383694AC-8AF4-449C-B882-9496E9E7692E}"/>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2 2 2" xfId="16970" xr:uid="{B96CB453-D3BD-410D-B895-95D25A8E6ABA}"/>
    <cellStyle name="Normal 4 2 2 5 2 5 2 2 3" xfId="25405" xr:uid="{ED5318E3-CE28-4C25-97E8-BDDAD1827BA9}"/>
    <cellStyle name="Normal 4 2 2 5 2 5 2 3" xfId="12752" xr:uid="{282B7814-9F58-4352-BAFF-983E9F0C6AC3}"/>
    <cellStyle name="Normal 4 2 2 5 2 5 2 4" xfId="21188" xr:uid="{93EE41F5-9AA9-49F8-ADB4-60FF3611309D}"/>
    <cellStyle name="Normal 4 2 2 5 2 5 3" xfId="6383" xr:uid="{00000000-0005-0000-0000-0000F3120000}"/>
    <cellStyle name="Normal 4 2 2 5 2 5 3 2" xfId="14825" xr:uid="{E3985796-6F86-4209-8EB7-63834FC229DD}"/>
    <cellStyle name="Normal 4 2 2 5 2 5 3 3" xfId="23260" xr:uid="{C631183D-54A0-4ECF-9E51-2AF2A377F792}"/>
    <cellStyle name="Normal 4 2 2 5 2 5 4" xfId="10607" xr:uid="{48D80D7D-4497-4B5A-9D14-E8C866797EF6}"/>
    <cellStyle name="Normal 4 2 2 5 2 5 5" xfId="19043" xr:uid="{A8D367C7-345A-4986-96EB-F384C2E67AA3}"/>
    <cellStyle name="Normal 4 2 2 5 2 6" xfId="2512" xr:uid="{00000000-0005-0000-0000-0000F4120000}"/>
    <cellStyle name="Normal 4 2 2 5 2 6 2" xfId="6796" xr:uid="{00000000-0005-0000-0000-0000F5120000}"/>
    <cellStyle name="Normal 4 2 2 5 2 6 2 2" xfId="15238" xr:uid="{2B96D3D2-44A1-4978-A2AF-6335F72817B0}"/>
    <cellStyle name="Normal 4 2 2 5 2 6 2 3" xfId="23673" xr:uid="{D801DEA2-CF6D-44A3-AB6C-578D8A7A224D}"/>
    <cellStyle name="Normal 4 2 2 5 2 6 3" xfId="11020" xr:uid="{9ECA4416-925F-4450-88E5-649C0B498411}"/>
    <cellStyle name="Normal 4 2 2 5 2 6 4" xfId="19456" xr:uid="{0C3DE61D-6FBE-4C91-B0FA-F86307272646}"/>
    <cellStyle name="Normal 4 2 2 5 2 7" xfId="4731" xr:uid="{00000000-0005-0000-0000-0000F6120000}"/>
    <cellStyle name="Normal 4 2 2 5 2 7 2" xfId="13173" xr:uid="{0B0A7094-23FD-4B55-BDD6-199DD25DAC17}"/>
    <cellStyle name="Normal 4 2 2 5 2 7 3" xfId="21608" xr:uid="{EF110029-D86E-431A-8E63-19A77EA56242}"/>
    <cellStyle name="Normal 4 2 2 5 2 8" xfId="8955" xr:uid="{3327DD76-A40C-4CD4-B6D4-70C39EF275A4}"/>
    <cellStyle name="Normal 4 2 2 5 2 9" xfId="17391" xr:uid="{FD0EC363-C25F-4B49-B65C-DB8C04640C26}"/>
    <cellStyle name="Normal 4 2 2 5 3" xfId="828" xr:uid="{00000000-0005-0000-0000-0000F7120000}"/>
    <cellStyle name="Normal 4 2 2 5 3 2" xfId="3065" xr:uid="{00000000-0005-0000-0000-0000F8120000}"/>
    <cellStyle name="Normal 4 2 2 5 3 2 2" xfId="7288" xr:uid="{00000000-0005-0000-0000-0000F9120000}"/>
    <cellStyle name="Normal 4 2 2 5 3 2 2 2" xfId="15730" xr:uid="{CCF9514F-51FF-40E5-A12F-BB637803A029}"/>
    <cellStyle name="Normal 4 2 2 5 3 2 2 3" xfId="24165" xr:uid="{7775DB8F-D662-4C96-A437-5E16B094BF05}"/>
    <cellStyle name="Normal 4 2 2 5 3 2 3" xfId="11512" xr:uid="{67946D31-A2A6-4B54-A27A-0DD1AD12163E}"/>
    <cellStyle name="Normal 4 2 2 5 3 2 4" xfId="19948" xr:uid="{0EA8963E-5486-4894-8BE8-38536A2CD9D8}"/>
    <cellStyle name="Normal 4 2 2 5 3 3" xfId="5143" xr:uid="{00000000-0005-0000-0000-0000FA120000}"/>
    <cellStyle name="Normal 4 2 2 5 3 3 2" xfId="13585" xr:uid="{4636F25E-352D-4389-8C39-3CCBCFE4C9D5}"/>
    <cellStyle name="Normal 4 2 2 5 3 3 3" xfId="22020" xr:uid="{74784354-66B3-40B9-9CD8-0295E962F10C}"/>
    <cellStyle name="Normal 4 2 2 5 3 4" xfId="9367" xr:uid="{9BD37042-1EAB-46C5-8EF7-E4D1DDA9C2B6}"/>
    <cellStyle name="Normal 4 2 2 5 3 5" xfId="17803" xr:uid="{5B1B5E55-D035-4699-8673-FF3D4924A4B5}"/>
    <cellStyle name="Normal 4 2 2 5 4" xfId="1248" xr:uid="{00000000-0005-0000-0000-0000FB120000}"/>
    <cellStyle name="Normal 4 2 2 5 4 2" xfId="3478" xr:uid="{00000000-0005-0000-0000-0000FC120000}"/>
    <cellStyle name="Normal 4 2 2 5 4 2 2" xfId="7701" xr:uid="{00000000-0005-0000-0000-0000FD120000}"/>
    <cellStyle name="Normal 4 2 2 5 4 2 2 2" xfId="16143" xr:uid="{961917B0-3D9B-48C9-BD8D-6DEB54B1A2B8}"/>
    <cellStyle name="Normal 4 2 2 5 4 2 2 3" xfId="24578" xr:uid="{07A9314F-6BAE-44B7-9EE5-23C9C670B957}"/>
    <cellStyle name="Normal 4 2 2 5 4 2 3" xfId="11925" xr:uid="{B0846C6F-4E08-4DF5-B6E5-74B24C928261}"/>
    <cellStyle name="Normal 4 2 2 5 4 2 4" xfId="20361" xr:uid="{65F53A7E-81E8-443A-BEA5-8BC030F6F374}"/>
    <cellStyle name="Normal 4 2 2 5 4 3" xfId="5556" xr:uid="{00000000-0005-0000-0000-0000FE120000}"/>
    <cellStyle name="Normal 4 2 2 5 4 3 2" xfId="13998" xr:uid="{3D4B6EE5-A947-47E4-870B-732FD8FD2686}"/>
    <cellStyle name="Normal 4 2 2 5 4 3 3" xfId="22433" xr:uid="{C4572F8D-A995-4A30-A357-A3723BD66A2E}"/>
    <cellStyle name="Normal 4 2 2 5 4 4" xfId="9780" xr:uid="{437740CF-A1EB-4EE3-BC00-FA02ADB678D2}"/>
    <cellStyle name="Normal 4 2 2 5 4 5" xfId="18216" xr:uid="{4957A075-F2EC-4C00-8D50-AABB5997923C}"/>
    <cellStyle name="Normal 4 2 2 5 5" xfId="1661" xr:uid="{00000000-0005-0000-0000-0000FF120000}"/>
    <cellStyle name="Normal 4 2 2 5 5 2" xfId="3891" xr:uid="{00000000-0005-0000-0000-000000130000}"/>
    <cellStyle name="Normal 4 2 2 5 5 2 2" xfId="8114" xr:uid="{00000000-0005-0000-0000-000001130000}"/>
    <cellStyle name="Normal 4 2 2 5 5 2 2 2" xfId="16556" xr:uid="{4F173D99-3677-4516-B18E-49815DC5D233}"/>
    <cellStyle name="Normal 4 2 2 5 5 2 2 3" xfId="24991" xr:uid="{D31A0B3A-E6CA-404A-9BA5-3EAAB8777650}"/>
    <cellStyle name="Normal 4 2 2 5 5 2 3" xfId="12338" xr:uid="{94AE7FDA-D6C2-4E5C-BCEE-D90503BFA83E}"/>
    <cellStyle name="Normal 4 2 2 5 5 2 4" xfId="20774" xr:uid="{548148F9-D6E4-4B6D-AD59-AD453810F2CC}"/>
    <cellStyle name="Normal 4 2 2 5 5 3" xfId="5969" xr:uid="{00000000-0005-0000-0000-000002130000}"/>
    <cellStyle name="Normal 4 2 2 5 5 3 2" xfId="14411" xr:uid="{48D037B9-9250-4341-A232-E6FDF0CA9004}"/>
    <cellStyle name="Normal 4 2 2 5 5 3 3" xfId="22846" xr:uid="{DE7B901F-A319-4958-BF11-71E43844C4E5}"/>
    <cellStyle name="Normal 4 2 2 5 5 4" xfId="10193" xr:uid="{D321B2A0-102F-4ACC-9877-B7AAB5CCECD2}"/>
    <cellStyle name="Normal 4 2 2 5 5 5" xfId="18629" xr:uid="{392FBC26-05C2-4240-BA73-11864BE02DCD}"/>
    <cellStyle name="Normal 4 2 2 5 6" xfId="2075" xr:uid="{00000000-0005-0000-0000-000003130000}"/>
    <cellStyle name="Normal 4 2 2 5 6 2" xfId="4304" xr:uid="{00000000-0005-0000-0000-000004130000}"/>
    <cellStyle name="Normal 4 2 2 5 6 2 2" xfId="8527" xr:uid="{00000000-0005-0000-0000-000005130000}"/>
    <cellStyle name="Normal 4 2 2 5 6 2 2 2" xfId="16969" xr:uid="{B5B632DF-5FE5-4EA1-A02C-98B2DC5B9F03}"/>
    <cellStyle name="Normal 4 2 2 5 6 2 2 3" xfId="25404" xr:uid="{68EB10A2-8B32-44B7-A2E5-C3B0D1D05D15}"/>
    <cellStyle name="Normal 4 2 2 5 6 2 3" xfId="12751" xr:uid="{5C94013B-BE80-489B-916D-B7EB713F256B}"/>
    <cellStyle name="Normal 4 2 2 5 6 2 4" xfId="21187" xr:uid="{AEA51DA6-8660-4C3D-8CBB-A29EE1EA0F16}"/>
    <cellStyle name="Normal 4 2 2 5 6 3" xfId="6382" xr:uid="{00000000-0005-0000-0000-000006130000}"/>
    <cellStyle name="Normal 4 2 2 5 6 3 2" xfId="14824" xr:uid="{5B37DE48-D91B-45C8-A58C-9BEFB83FACC6}"/>
    <cellStyle name="Normal 4 2 2 5 6 3 3" xfId="23259" xr:uid="{46EF2BBC-91DE-41D1-A9DC-6EB9154C21C7}"/>
    <cellStyle name="Normal 4 2 2 5 6 4" xfId="10606" xr:uid="{3E62FBD9-E559-4657-94AB-431A8EB8BCB4}"/>
    <cellStyle name="Normal 4 2 2 5 6 5" xfId="19042" xr:uid="{C010F681-0AD7-4CE0-82B0-1195F5EECAB6}"/>
    <cellStyle name="Normal 4 2 2 5 7" xfId="2511" xr:uid="{00000000-0005-0000-0000-000007130000}"/>
    <cellStyle name="Normal 4 2 2 5 7 2" xfId="6795" xr:uid="{00000000-0005-0000-0000-000008130000}"/>
    <cellStyle name="Normal 4 2 2 5 7 2 2" xfId="15237" xr:uid="{90220921-8722-45CC-9B8E-60571F54CDFF}"/>
    <cellStyle name="Normal 4 2 2 5 7 2 3" xfId="23672" xr:uid="{BDAD9F30-2FC9-4769-8837-ECFC1F6F5A95}"/>
    <cellStyle name="Normal 4 2 2 5 7 3" xfId="11019" xr:uid="{3681ECD2-4B71-46E9-98D4-5CC48F68EB71}"/>
    <cellStyle name="Normal 4 2 2 5 7 4" xfId="19455" xr:uid="{460CA67C-E9D4-4F6F-AADE-63E5EDDD3D94}"/>
    <cellStyle name="Normal 4 2 2 5 8" xfId="4730" xr:uid="{00000000-0005-0000-0000-000009130000}"/>
    <cellStyle name="Normal 4 2 2 5 8 2" xfId="13172" xr:uid="{5E059F5F-CB3E-46D2-934A-57CBA1B552DF}"/>
    <cellStyle name="Normal 4 2 2 5 8 3" xfId="21607" xr:uid="{1A633308-13D0-43F0-984B-C24BD6F6A4C3}"/>
    <cellStyle name="Normal 4 2 2 5 9" xfId="8954" xr:uid="{D2BB9A10-6E8F-49C0-89EA-13F6EBD60FD9}"/>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2 2 2" xfId="15732" xr:uid="{E8207D5F-E40A-4B1C-980F-AC61E78184CC}"/>
    <cellStyle name="Normal 4 2 2 6 2 2 2 3" xfId="24167" xr:uid="{F9174007-4CD8-4511-96FF-97BD34BDBF8F}"/>
    <cellStyle name="Normal 4 2 2 6 2 2 3" xfId="11514" xr:uid="{FFD63EA0-4963-498D-9FAE-EF2491393702}"/>
    <cellStyle name="Normal 4 2 2 6 2 2 4" xfId="19950" xr:uid="{E34F4C3C-2890-4E61-A70E-C4CF5E32C479}"/>
    <cellStyle name="Normal 4 2 2 6 2 3" xfId="5145" xr:uid="{00000000-0005-0000-0000-00000E130000}"/>
    <cellStyle name="Normal 4 2 2 6 2 3 2" xfId="13587" xr:uid="{6D5EAAAF-BDB8-494E-AFA4-A52F2760608A}"/>
    <cellStyle name="Normal 4 2 2 6 2 3 3" xfId="22022" xr:uid="{B70B97D3-CDC5-4719-843E-C94C9620B67F}"/>
    <cellStyle name="Normal 4 2 2 6 2 4" xfId="9369" xr:uid="{417D47D5-53CF-466C-BD51-9145012F1BD2}"/>
    <cellStyle name="Normal 4 2 2 6 2 5" xfId="17805" xr:uid="{C1CB4799-FF0F-4BBE-8A10-F19D55BE8E34}"/>
    <cellStyle name="Normal 4 2 2 6 3" xfId="1250" xr:uid="{00000000-0005-0000-0000-00000F130000}"/>
    <cellStyle name="Normal 4 2 2 6 3 2" xfId="3480" xr:uid="{00000000-0005-0000-0000-000010130000}"/>
    <cellStyle name="Normal 4 2 2 6 3 2 2" xfId="7703" xr:uid="{00000000-0005-0000-0000-000011130000}"/>
    <cellStyle name="Normal 4 2 2 6 3 2 2 2" xfId="16145" xr:uid="{DB8BA6FE-63E1-4743-B7AC-CC50298117DE}"/>
    <cellStyle name="Normal 4 2 2 6 3 2 2 3" xfId="24580" xr:uid="{06526EE9-56A8-410D-AF1C-28A1E75C2930}"/>
    <cellStyle name="Normal 4 2 2 6 3 2 3" xfId="11927" xr:uid="{B904EE97-0F9F-4C26-B073-473EFD8B4984}"/>
    <cellStyle name="Normal 4 2 2 6 3 2 4" xfId="20363" xr:uid="{6A146EF7-825C-4555-81EE-3FF446239F39}"/>
    <cellStyle name="Normal 4 2 2 6 3 3" xfId="5558" xr:uid="{00000000-0005-0000-0000-000012130000}"/>
    <cellStyle name="Normal 4 2 2 6 3 3 2" xfId="14000" xr:uid="{50CF11F3-1A83-414E-9EC3-E9A7647505C1}"/>
    <cellStyle name="Normal 4 2 2 6 3 3 3" xfId="22435" xr:uid="{82EF9112-C7EE-4878-AF93-541CCD28A265}"/>
    <cellStyle name="Normal 4 2 2 6 3 4" xfId="9782" xr:uid="{9EF74360-A3CC-469E-A9EE-CC6A79FF5E2D}"/>
    <cellStyle name="Normal 4 2 2 6 3 5" xfId="18218" xr:uid="{2C5A539F-FCB6-495E-9FA3-8843B9B42CC1}"/>
    <cellStyle name="Normal 4 2 2 6 4" xfId="1663" xr:uid="{00000000-0005-0000-0000-000013130000}"/>
    <cellStyle name="Normal 4 2 2 6 4 2" xfId="3893" xr:uid="{00000000-0005-0000-0000-000014130000}"/>
    <cellStyle name="Normal 4 2 2 6 4 2 2" xfId="8116" xr:uid="{00000000-0005-0000-0000-000015130000}"/>
    <cellStyle name="Normal 4 2 2 6 4 2 2 2" xfId="16558" xr:uid="{00C45D49-1FD2-4C41-A111-74181A16B9CC}"/>
    <cellStyle name="Normal 4 2 2 6 4 2 2 3" xfId="24993" xr:uid="{D78CED69-9213-4FCF-9F5A-197C6982FF51}"/>
    <cellStyle name="Normal 4 2 2 6 4 2 3" xfId="12340" xr:uid="{15C971D2-E61F-4801-B7ED-C8D172AF040B}"/>
    <cellStyle name="Normal 4 2 2 6 4 2 4" xfId="20776" xr:uid="{C77F2EEC-F505-4FF3-820C-983789202BFA}"/>
    <cellStyle name="Normal 4 2 2 6 4 3" xfId="5971" xr:uid="{00000000-0005-0000-0000-000016130000}"/>
    <cellStyle name="Normal 4 2 2 6 4 3 2" xfId="14413" xr:uid="{632B9AF9-B9C2-4192-98CC-DFE8A91EF991}"/>
    <cellStyle name="Normal 4 2 2 6 4 3 3" xfId="22848" xr:uid="{DE84F176-1A94-4A1C-9979-BC8115FF7880}"/>
    <cellStyle name="Normal 4 2 2 6 4 4" xfId="10195" xr:uid="{6A83F036-53C9-47E6-9859-30B669019743}"/>
    <cellStyle name="Normal 4 2 2 6 4 5" xfId="18631" xr:uid="{0EBE8328-553D-4E37-B70A-7DAFCA468A9E}"/>
    <cellStyle name="Normal 4 2 2 6 5" xfId="2077" xr:uid="{00000000-0005-0000-0000-000017130000}"/>
    <cellStyle name="Normal 4 2 2 6 5 2" xfId="4306" xr:uid="{00000000-0005-0000-0000-000018130000}"/>
    <cellStyle name="Normal 4 2 2 6 5 2 2" xfId="8529" xr:uid="{00000000-0005-0000-0000-000019130000}"/>
    <cellStyle name="Normal 4 2 2 6 5 2 2 2" xfId="16971" xr:uid="{A87B052F-BCAD-4E10-A73F-E2FCDAB6D41F}"/>
    <cellStyle name="Normal 4 2 2 6 5 2 2 3" xfId="25406" xr:uid="{E6969318-5A6B-42F6-AE45-085923BC1CF9}"/>
    <cellStyle name="Normal 4 2 2 6 5 2 3" xfId="12753" xr:uid="{0CB9235D-FBF6-4E4F-80D8-93AFC115BF44}"/>
    <cellStyle name="Normal 4 2 2 6 5 2 4" xfId="21189" xr:uid="{F3459F4E-3688-4BB8-9F9B-E0DDAE730FDE}"/>
    <cellStyle name="Normal 4 2 2 6 5 3" xfId="6384" xr:uid="{00000000-0005-0000-0000-00001A130000}"/>
    <cellStyle name="Normal 4 2 2 6 5 3 2" xfId="14826" xr:uid="{C40DBF7B-991F-4196-B2A8-8D4F35E86EAF}"/>
    <cellStyle name="Normal 4 2 2 6 5 3 3" xfId="23261" xr:uid="{335AAD79-C750-4857-9957-4480C8A8F37E}"/>
    <cellStyle name="Normal 4 2 2 6 5 4" xfId="10608" xr:uid="{564EFE47-990C-4FC1-B28A-BD74433E7BB5}"/>
    <cellStyle name="Normal 4 2 2 6 5 5" xfId="19044" xr:uid="{CF378C6E-1E9D-4814-9059-0CD61E42CA60}"/>
    <cellStyle name="Normal 4 2 2 6 6" xfId="2513" xr:uid="{00000000-0005-0000-0000-00001B130000}"/>
    <cellStyle name="Normal 4 2 2 6 6 2" xfId="6797" xr:uid="{00000000-0005-0000-0000-00001C130000}"/>
    <cellStyle name="Normal 4 2 2 6 6 2 2" xfId="15239" xr:uid="{CF1CB67B-F43B-4855-A801-176B631637ED}"/>
    <cellStyle name="Normal 4 2 2 6 6 2 3" xfId="23674" xr:uid="{574DFCEE-3247-41E5-B554-C4510B87F1AC}"/>
    <cellStyle name="Normal 4 2 2 6 6 3" xfId="11021" xr:uid="{87D63267-36A0-47B7-A94A-AB3783867AA4}"/>
    <cellStyle name="Normal 4 2 2 6 6 4" xfId="19457" xr:uid="{745FC3EB-531D-4B5D-8B03-03B1275C44E3}"/>
    <cellStyle name="Normal 4 2 2 6 7" xfId="4732" xr:uid="{00000000-0005-0000-0000-00001D130000}"/>
    <cellStyle name="Normal 4 2 2 6 7 2" xfId="13174" xr:uid="{50245C13-F8B2-4CE5-8141-3B13EA81795E}"/>
    <cellStyle name="Normal 4 2 2 6 7 3" xfId="21609" xr:uid="{E3920D2D-C7DC-4D75-9D58-757C2D5BA8EC}"/>
    <cellStyle name="Normal 4 2 2 6 8" xfId="8956" xr:uid="{03B870E5-83ED-435F-83B1-C159170CA425}"/>
    <cellStyle name="Normal 4 2 2 6 9" xfId="17392" xr:uid="{BFBFA507-CF09-4160-9F7D-1210E44D2DF1}"/>
    <cellStyle name="Normal 4 2 2 7" xfId="815" xr:uid="{00000000-0005-0000-0000-00001E130000}"/>
    <cellStyle name="Normal 4 2 2 7 2" xfId="3052" xr:uid="{00000000-0005-0000-0000-00001F130000}"/>
    <cellStyle name="Normal 4 2 2 7 2 2" xfId="7275" xr:uid="{00000000-0005-0000-0000-000020130000}"/>
    <cellStyle name="Normal 4 2 2 7 2 2 2" xfId="15717" xr:uid="{0E7A66D1-75A7-4118-A6F1-F564D0AC1616}"/>
    <cellStyle name="Normal 4 2 2 7 2 2 3" xfId="24152" xr:uid="{698BD082-5D0A-4E16-8235-267F8F8C9881}"/>
    <cellStyle name="Normal 4 2 2 7 2 3" xfId="11499" xr:uid="{9EEB1A94-F8BE-4006-BF84-FAEAF961E92C}"/>
    <cellStyle name="Normal 4 2 2 7 2 4" xfId="19935" xr:uid="{61AC018C-03F5-4ABC-8607-5725BB9BF3FA}"/>
    <cellStyle name="Normal 4 2 2 7 3" xfId="5130" xr:uid="{00000000-0005-0000-0000-000021130000}"/>
    <cellStyle name="Normal 4 2 2 7 3 2" xfId="13572" xr:uid="{788AB18C-E780-42C3-8E04-3E2D92DD8D1A}"/>
    <cellStyle name="Normal 4 2 2 7 3 3" xfId="22007" xr:uid="{61036853-CD70-4502-81B7-2A7F12654952}"/>
    <cellStyle name="Normal 4 2 2 7 4" xfId="9354" xr:uid="{3AC7FB2F-0BB4-42DA-A8FB-8B62FBF864AD}"/>
    <cellStyle name="Normal 4 2 2 7 5" xfId="17790" xr:uid="{E84FE119-B71E-4A69-AEC1-2635867155A4}"/>
    <cellStyle name="Normal 4 2 2 8" xfId="1235" xr:uid="{00000000-0005-0000-0000-000022130000}"/>
    <cellStyle name="Normal 4 2 2 8 2" xfId="3465" xr:uid="{00000000-0005-0000-0000-000023130000}"/>
    <cellStyle name="Normal 4 2 2 8 2 2" xfId="7688" xr:uid="{00000000-0005-0000-0000-000024130000}"/>
    <cellStyle name="Normal 4 2 2 8 2 2 2" xfId="16130" xr:uid="{B9F0B455-5F47-4134-B01A-27BC7C8BDA63}"/>
    <cellStyle name="Normal 4 2 2 8 2 2 3" xfId="24565" xr:uid="{B0D27093-C5BC-41AF-887A-CE6C2ED43AC3}"/>
    <cellStyle name="Normal 4 2 2 8 2 3" xfId="11912" xr:uid="{7D54189E-880C-4FF5-83BE-8D539583B8B4}"/>
    <cellStyle name="Normal 4 2 2 8 2 4" xfId="20348" xr:uid="{4AEE294C-4A4C-40D0-B742-CCAACCDF428D}"/>
    <cellStyle name="Normal 4 2 2 8 3" xfId="5543" xr:uid="{00000000-0005-0000-0000-000025130000}"/>
    <cellStyle name="Normal 4 2 2 8 3 2" xfId="13985" xr:uid="{91EA08D4-186F-4E52-813F-604D3FA54C58}"/>
    <cellStyle name="Normal 4 2 2 8 3 3" xfId="22420" xr:uid="{357372F3-4A10-4856-9573-2379BAB97573}"/>
    <cellStyle name="Normal 4 2 2 8 4" xfId="9767" xr:uid="{8B6BB9EB-FE93-49CC-ADBC-E0ECC1025240}"/>
    <cellStyle name="Normal 4 2 2 8 5" xfId="18203" xr:uid="{6EA6831E-12F6-4EA8-B2CE-402DF2F6CC19}"/>
    <cellStyle name="Normal 4 2 2 9" xfId="1648" xr:uid="{00000000-0005-0000-0000-000026130000}"/>
    <cellStyle name="Normal 4 2 2 9 2" xfId="3878" xr:uid="{00000000-0005-0000-0000-000027130000}"/>
    <cellStyle name="Normal 4 2 2 9 2 2" xfId="8101" xr:uid="{00000000-0005-0000-0000-000028130000}"/>
    <cellStyle name="Normal 4 2 2 9 2 2 2" xfId="16543" xr:uid="{F1198613-F3B0-4297-8E01-E669B7F2F77E}"/>
    <cellStyle name="Normal 4 2 2 9 2 2 3" xfId="24978" xr:uid="{9892A664-23DA-4FDE-84CE-66AD6DDEFFF0}"/>
    <cellStyle name="Normal 4 2 2 9 2 3" xfId="12325" xr:uid="{B0393A53-EA07-47CD-A8DC-884C350DC3E7}"/>
    <cellStyle name="Normal 4 2 2 9 2 4" xfId="20761" xr:uid="{4AB33205-ECE4-4BA0-8AA6-CEDD036C242E}"/>
    <cellStyle name="Normal 4 2 2 9 3" xfId="5956" xr:uid="{00000000-0005-0000-0000-000029130000}"/>
    <cellStyle name="Normal 4 2 2 9 3 2" xfId="14398" xr:uid="{D13C2411-5B6C-4EA6-A632-6BCB4A2068DF}"/>
    <cellStyle name="Normal 4 2 2 9 3 3" xfId="22833" xr:uid="{674E07EF-7688-4A4A-95CE-B0DD79FBC994}"/>
    <cellStyle name="Normal 4 2 2 9 4" xfId="10180" xr:uid="{89ECF5DF-C2F3-4AF8-AD45-F22B44F4808F}"/>
    <cellStyle name="Normal 4 2 2 9 5" xfId="18616" xr:uid="{3FC58573-A10D-4DE2-96CA-B163468E718A}"/>
    <cellStyle name="Normal 4 2 3" xfId="354" xr:uid="{00000000-0005-0000-0000-00002A130000}"/>
    <cellStyle name="Normal 4 2 4" xfId="355" xr:uid="{00000000-0005-0000-0000-00002B130000}"/>
    <cellStyle name="Normal 4 2 4 10" xfId="4733" xr:uid="{00000000-0005-0000-0000-00002C130000}"/>
    <cellStyle name="Normal 4 2 4 10 2" xfId="13175" xr:uid="{0D70F799-2D2C-4F51-83EE-C21A8A6D0BD2}"/>
    <cellStyle name="Normal 4 2 4 10 3" xfId="21610" xr:uid="{4635269F-FDE6-427A-9808-04605EF0D3D9}"/>
    <cellStyle name="Normal 4 2 4 11" xfId="8957" xr:uid="{1ACB204C-B22B-4B00-80C7-7AB661CECEAF}"/>
    <cellStyle name="Normal 4 2 4 12" xfId="17393" xr:uid="{D3AAC2A6-6321-4E98-BF2C-2F3202D49B0D}"/>
    <cellStyle name="Normal 4 2 4 2" xfId="356" xr:uid="{00000000-0005-0000-0000-00002D130000}"/>
    <cellStyle name="Normal 4 2 4 2 10" xfId="8958" xr:uid="{992D4E00-83AB-4C54-A725-C66CEF07D9E8}"/>
    <cellStyle name="Normal 4 2 4 2 11" xfId="17394" xr:uid="{C4A65375-9688-422D-AE8C-E8699FDC0788}"/>
    <cellStyle name="Normal 4 2 4 2 2" xfId="357" xr:uid="{00000000-0005-0000-0000-00002E130000}"/>
    <cellStyle name="Normal 4 2 4 2 2 10" xfId="17395" xr:uid="{01E9CD0F-BFFC-4C08-9F87-AAEBD1582DF1}"/>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2 2 2" xfId="15736" xr:uid="{2A38B556-7950-494E-8D98-719218877D88}"/>
    <cellStyle name="Normal 4 2 4 2 2 2 2 2 2 3" xfId="24171" xr:uid="{0E307EA7-C099-4279-8BFD-D109970D92EE}"/>
    <cellStyle name="Normal 4 2 4 2 2 2 2 2 3" xfId="11518" xr:uid="{40606B9E-4779-48B4-BB6F-AA6F9F1D84F3}"/>
    <cellStyle name="Normal 4 2 4 2 2 2 2 2 4" xfId="19954" xr:uid="{31644C8D-F80A-422E-8444-B4DD384EBF15}"/>
    <cellStyle name="Normal 4 2 4 2 2 2 2 3" xfId="5149" xr:uid="{00000000-0005-0000-0000-000033130000}"/>
    <cellStyle name="Normal 4 2 4 2 2 2 2 3 2" xfId="13591" xr:uid="{7F3C77E8-EB92-4BA9-A650-1C2D290905A3}"/>
    <cellStyle name="Normal 4 2 4 2 2 2 2 3 3" xfId="22026" xr:uid="{95F79A89-CA06-45DD-BBE8-870B7A0560A0}"/>
    <cellStyle name="Normal 4 2 4 2 2 2 2 4" xfId="9373" xr:uid="{D8F56FFD-B7A8-4BD1-BC3A-B61E9764812F}"/>
    <cellStyle name="Normal 4 2 4 2 2 2 2 5" xfId="17809" xr:uid="{1DA709F7-57A7-4487-9855-BB83EFDA65B8}"/>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2 2 2" xfId="16149" xr:uid="{B84951D0-F365-47B7-8A5B-B4582C389457}"/>
    <cellStyle name="Normal 4 2 4 2 2 2 3 2 2 3" xfId="24584" xr:uid="{4B5D4B1B-CC11-498F-8A83-EA8755F2613D}"/>
    <cellStyle name="Normal 4 2 4 2 2 2 3 2 3" xfId="11931" xr:uid="{A342FA0D-0008-486D-882C-C9C3464F6E0F}"/>
    <cellStyle name="Normal 4 2 4 2 2 2 3 2 4" xfId="20367" xr:uid="{5592078C-1A6E-4148-83F0-B65B67B1DD70}"/>
    <cellStyle name="Normal 4 2 4 2 2 2 3 3" xfId="5562" xr:uid="{00000000-0005-0000-0000-000037130000}"/>
    <cellStyle name="Normal 4 2 4 2 2 2 3 3 2" xfId="14004" xr:uid="{99675969-BB58-4E06-9CD5-4502D0E43917}"/>
    <cellStyle name="Normal 4 2 4 2 2 2 3 3 3" xfId="22439" xr:uid="{BF9CD9CF-6393-439F-B046-3482095F1920}"/>
    <cellStyle name="Normal 4 2 4 2 2 2 3 4" xfId="9786" xr:uid="{1CB1B15C-686E-4BB8-B78F-047D8311B301}"/>
    <cellStyle name="Normal 4 2 4 2 2 2 3 5" xfId="18222" xr:uid="{19E53F1F-7285-4A6F-85D1-E70D35DF8348}"/>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2 2 2" xfId="16562" xr:uid="{739F7CFE-9531-4C8C-9224-F87ACA19A481}"/>
    <cellStyle name="Normal 4 2 4 2 2 2 4 2 2 3" xfId="24997" xr:uid="{05B8D0E4-D04D-45F9-AD3D-6B09C960726A}"/>
    <cellStyle name="Normal 4 2 4 2 2 2 4 2 3" xfId="12344" xr:uid="{623FC296-D32B-4ABA-B279-EE126BCFBDCE}"/>
    <cellStyle name="Normal 4 2 4 2 2 2 4 2 4" xfId="20780" xr:uid="{01FB2C55-CE66-4960-9114-2BCE27AEFB21}"/>
    <cellStyle name="Normal 4 2 4 2 2 2 4 3" xfId="5975" xr:uid="{00000000-0005-0000-0000-00003B130000}"/>
    <cellStyle name="Normal 4 2 4 2 2 2 4 3 2" xfId="14417" xr:uid="{B01214D3-5CED-497F-B905-9EDBABD27547}"/>
    <cellStyle name="Normal 4 2 4 2 2 2 4 3 3" xfId="22852" xr:uid="{750E3317-9E36-46BE-AC0A-0706705AC2E6}"/>
    <cellStyle name="Normal 4 2 4 2 2 2 4 4" xfId="10199" xr:uid="{F7DBFCAF-B721-41F0-9596-12DC75662718}"/>
    <cellStyle name="Normal 4 2 4 2 2 2 4 5" xfId="18635" xr:uid="{750D855D-B709-4CB0-9D9D-899BEA564A7B}"/>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2 2 2" xfId="16975" xr:uid="{7676EC7E-360D-4075-BD27-7CF6C077F1FF}"/>
    <cellStyle name="Normal 4 2 4 2 2 2 5 2 2 3" xfId="25410" xr:uid="{BF018CBB-6370-4642-B02D-A2C8E7F59E51}"/>
    <cellStyle name="Normal 4 2 4 2 2 2 5 2 3" xfId="12757" xr:uid="{B2603467-07C6-4CFE-B22C-267FEBD0B615}"/>
    <cellStyle name="Normal 4 2 4 2 2 2 5 2 4" xfId="21193" xr:uid="{7F8D2A85-9BAF-4E6C-B638-C521734A27CD}"/>
    <cellStyle name="Normal 4 2 4 2 2 2 5 3" xfId="6388" xr:uid="{00000000-0005-0000-0000-00003F130000}"/>
    <cellStyle name="Normal 4 2 4 2 2 2 5 3 2" xfId="14830" xr:uid="{CD4FF59F-CA5C-4860-8AE5-CED7A72C951F}"/>
    <cellStyle name="Normal 4 2 4 2 2 2 5 3 3" xfId="23265" xr:uid="{FEBCCFCB-D131-40E0-9A64-248ADE0993D9}"/>
    <cellStyle name="Normal 4 2 4 2 2 2 5 4" xfId="10612" xr:uid="{E1341D85-0764-4D51-AC33-460E1AB2D0C0}"/>
    <cellStyle name="Normal 4 2 4 2 2 2 5 5" xfId="19048" xr:uid="{0D73D08A-6D09-40C8-8363-1A7310C2C04B}"/>
    <cellStyle name="Normal 4 2 4 2 2 2 6" xfId="2517" xr:uid="{00000000-0005-0000-0000-000040130000}"/>
    <cellStyle name="Normal 4 2 4 2 2 2 6 2" xfId="6801" xr:uid="{00000000-0005-0000-0000-000041130000}"/>
    <cellStyle name="Normal 4 2 4 2 2 2 6 2 2" xfId="15243" xr:uid="{0DC0BBB3-A3CD-4E2E-9738-23EDD863C8AB}"/>
    <cellStyle name="Normal 4 2 4 2 2 2 6 2 3" xfId="23678" xr:uid="{DBD63B28-C498-4D9F-AC18-8C6F5735C591}"/>
    <cellStyle name="Normal 4 2 4 2 2 2 6 3" xfId="11025" xr:uid="{26A881E1-3202-4DBA-AC17-C2BF425367FE}"/>
    <cellStyle name="Normal 4 2 4 2 2 2 6 4" xfId="19461" xr:uid="{410749EA-186B-4249-A5AF-C0363BB252DC}"/>
    <cellStyle name="Normal 4 2 4 2 2 2 7" xfId="4736" xr:uid="{00000000-0005-0000-0000-000042130000}"/>
    <cellStyle name="Normal 4 2 4 2 2 2 7 2" xfId="13178" xr:uid="{D4C7BB26-011D-471D-B077-7A26148AC5DA}"/>
    <cellStyle name="Normal 4 2 4 2 2 2 7 3" xfId="21613" xr:uid="{04AA9E7B-CC5F-492C-AFA3-CE991AC25FA5}"/>
    <cellStyle name="Normal 4 2 4 2 2 2 8" xfId="8960" xr:uid="{FADEF133-7176-4277-BB18-2DFECB898736}"/>
    <cellStyle name="Normal 4 2 4 2 2 2 9" xfId="17396" xr:uid="{0E22FADD-6DC9-4E33-B90B-2556AA245728}"/>
    <cellStyle name="Normal 4 2 4 2 2 3" xfId="833" xr:uid="{00000000-0005-0000-0000-000043130000}"/>
    <cellStyle name="Normal 4 2 4 2 2 3 2" xfId="3070" xr:uid="{00000000-0005-0000-0000-000044130000}"/>
    <cellStyle name="Normal 4 2 4 2 2 3 2 2" xfId="7293" xr:uid="{00000000-0005-0000-0000-000045130000}"/>
    <cellStyle name="Normal 4 2 4 2 2 3 2 2 2" xfId="15735" xr:uid="{3554B683-E1D6-4F8D-A16C-74315D9F2453}"/>
    <cellStyle name="Normal 4 2 4 2 2 3 2 2 3" xfId="24170" xr:uid="{B504FCA0-0BF8-438E-88FC-F4BC60384545}"/>
    <cellStyle name="Normal 4 2 4 2 2 3 2 3" xfId="11517" xr:uid="{FACF9C0C-8A09-49DB-83B3-CC6B4EF39C4F}"/>
    <cellStyle name="Normal 4 2 4 2 2 3 2 4" xfId="19953" xr:uid="{60D3C8FD-80F3-4E15-9C09-B6941C94189A}"/>
    <cellStyle name="Normal 4 2 4 2 2 3 3" xfId="5148" xr:uid="{00000000-0005-0000-0000-000046130000}"/>
    <cellStyle name="Normal 4 2 4 2 2 3 3 2" xfId="13590" xr:uid="{BB5F956E-6B5C-4F99-A8F4-A382D5F9A2A0}"/>
    <cellStyle name="Normal 4 2 4 2 2 3 3 3" xfId="22025" xr:uid="{E5C05D69-341F-418C-96C2-49A0916BF32B}"/>
    <cellStyle name="Normal 4 2 4 2 2 3 4" xfId="9372" xr:uid="{4DB3A438-0BE6-48BB-A769-5F09B9218802}"/>
    <cellStyle name="Normal 4 2 4 2 2 3 5" xfId="17808" xr:uid="{B00C3FB1-320D-4B59-95BA-8A782183C097}"/>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2 2 2" xfId="16148" xr:uid="{B0F50AC1-B88D-430E-A83A-62CEAACDE88D}"/>
    <cellStyle name="Normal 4 2 4 2 2 4 2 2 3" xfId="24583" xr:uid="{5927EA96-1F7C-41BB-822A-395946F5B811}"/>
    <cellStyle name="Normal 4 2 4 2 2 4 2 3" xfId="11930" xr:uid="{C59693A5-526F-4C66-B747-3C38F5B9FFA4}"/>
    <cellStyle name="Normal 4 2 4 2 2 4 2 4" xfId="20366" xr:uid="{0B6A1F6F-5792-4FE9-9822-9CBE9346A83B}"/>
    <cellStyle name="Normal 4 2 4 2 2 4 3" xfId="5561" xr:uid="{00000000-0005-0000-0000-00004A130000}"/>
    <cellStyle name="Normal 4 2 4 2 2 4 3 2" xfId="14003" xr:uid="{5CE31F30-6742-4ED0-B3C9-076452973800}"/>
    <cellStyle name="Normal 4 2 4 2 2 4 3 3" xfId="22438" xr:uid="{A60CDD3D-B022-4049-B4A4-634DAEDBD5C2}"/>
    <cellStyle name="Normal 4 2 4 2 2 4 4" xfId="9785" xr:uid="{A64DA408-C38E-4835-B24A-587FEA6D49F8}"/>
    <cellStyle name="Normal 4 2 4 2 2 4 5" xfId="18221" xr:uid="{FA9ECB38-409A-455B-94DB-73CF29AB0A5D}"/>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2 2 2" xfId="16561" xr:uid="{81CCC21D-9BEB-4226-BFDD-A4C95CF41B30}"/>
    <cellStyle name="Normal 4 2 4 2 2 5 2 2 3" xfId="24996" xr:uid="{7B4E6752-B0BB-40FE-9EA3-0F179FAB6F4B}"/>
    <cellStyle name="Normal 4 2 4 2 2 5 2 3" xfId="12343" xr:uid="{65BCBBD0-3BAA-4314-BF97-B264BAC45B43}"/>
    <cellStyle name="Normal 4 2 4 2 2 5 2 4" xfId="20779" xr:uid="{15EAF3BE-DE6A-45A7-96D6-90DB43EBAEE3}"/>
    <cellStyle name="Normal 4 2 4 2 2 5 3" xfId="5974" xr:uid="{00000000-0005-0000-0000-00004E130000}"/>
    <cellStyle name="Normal 4 2 4 2 2 5 3 2" xfId="14416" xr:uid="{CFFD07D4-71A1-4256-9106-CC5C1C6FAF90}"/>
    <cellStyle name="Normal 4 2 4 2 2 5 3 3" xfId="22851" xr:uid="{B179EDEA-D93F-4A9C-8D90-42E66CB6DAF2}"/>
    <cellStyle name="Normal 4 2 4 2 2 5 4" xfId="10198" xr:uid="{5A2F2B22-C1DC-4534-85E0-6E2804BB4835}"/>
    <cellStyle name="Normal 4 2 4 2 2 5 5" xfId="18634" xr:uid="{26362500-6778-4D99-A1D3-A12208A7B304}"/>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2 2 2" xfId="16974" xr:uid="{B59741FA-7E8E-4588-9417-6074D9DAC1F0}"/>
    <cellStyle name="Normal 4 2 4 2 2 6 2 2 3" xfId="25409" xr:uid="{213C1ED4-2F68-4011-B49E-F1C459007E97}"/>
    <cellStyle name="Normal 4 2 4 2 2 6 2 3" xfId="12756" xr:uid="{CB86CFCC-8E5F-4BBF-9815-940417ADE4AB}"/>
    <cellStyle name="Normal 4 2 4 2 2 6 2 4" xfId="21192" xr:uid="{D0F4076F-E3AF-4A1E-9E74-44682AC17005}"/>
    <cellStyle name="Normal 4 2 4 2 2 6 3" xfId="6387" xr:uid="{00000000-0005-0000-0000-000052130000}"/>
    <cellStyle name="Normal 4 2 4 2 2 6 3 2" xfId="14829" xr:uid="{BDAF3606-98C0-4741-9741-E5DA9C1CB5A8}"/>
    <cellStyle name="Normal 4 2 4 2 2 6 3 3" xfId="23264" xr:uid="{8E605EE9-668B-4B31-9B43-19F3760CFE49}"/>
    <cellStyle name="Normal 4 2 4 2 2 6 4" xfId="10611" xr:uid="{9A1BD875-C9F5-4114-BCCD-F46A5DC7C190}"/>
    <cellStyle name="Normal 4 2 4 2 2 6 5" xfId="19047" xr:uid="{0D23B864-CB9E-4D9D-9784-44FB83111CCF}"/>
    <cellStyle name="Normal 4 2 4 2 2 7" xfId="2516" xr:uid="{00000000-0005-0000-0000-000053130000}"/>
    <cellStyle name="Normal 4 2 4 2 2 7 2" xfId="6800" xr:uid="{00000000-0005-0000-0000-000054130000}"/>
    <cellStyle name="Normal 4 2 4 2 2 7 2 2" xfId="15242" xr:uid="{531209AF-848B-4BC7-86BA-E628C7D528D2}"/>
    <cellStyle name="Normal 4 2 4 2 2 7 2 3" xfId="23677" xr:uid="{338A161F-CA60-4300-A913-64F51A90EE75}"/>
    <cellStyle name="Normal 4 2 4 2 2 7 3" xfId="11024" xr:uid="{84C322BC-0428-4CB3-81DF-254ECB85F7B1}"/>
    <cellStyle name="Normal 4 2 4 2 2 7 4" xfId="19460" xr:uid="{09DDBECD-3254-48D1-B2FD-61BC0CD6482E}"/>
    <cellStyle name="Normal 4 2 4 2 2 8" xfId="4735" xr:uid="{00000000-0005-0000-0000-000055130000}"/>
    <cellStyle name="Normal 4 2 4 2 2 8 2" xfId="13177" xr:uid="{52C5FA76-0204-4BCC-89E4-EC3F30379CB9}"/>
    <cellStyle name="Normal 4 2 4 2 2 8 3" xfId="21612" xr:uid="{3A5EA37D-98DF-42F8-96EA-7391CFEF196A}"/>
    <cellStyle name="Normal 4 2 4 2 2 9" xfId="8959" xr:uid="{2EAC1B5B-67A8-4236-85FD-5AAAD4103A15}"/>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2 2 2" xfId="15737" xr:uid="{94BCDB9D-6CD8-42D6-88EA-7228741F3CBB}"/>
    <cellStyle name="Normal 4 2 4 2 3 2 2 2 3" xfId="24172" xr:uid="{EDE1C9E8-5232-4BB9-93F0-4F48A8D7B0EE}"/>
    <cellStyle name="Normal 4 2 4 2 3 2 2 3" xfId="11519" xr:uid="{E628C330-3C99-44AE-96A2-E47DF5906C78}"/>
    <cellStyle name="Normal 4 2 4 2 3 2 2 4" xfId="19955" xr:uid="{93DFC7A1-DF7B-472B-9350-330F4B169C8C}"/>
    <cellStyle name="Normal 4 2 4 2 3 2 3" xfId="5150" xr:uid="{00000000-0005-0000-0000-00005A130000}"/>
    <cellStyle name="Normal 4 2 4 2 3 2 3 2" xfId="13592" xr:uid="{CBA5B5E7-D749-436B-A10D-B010CFDB88EF}"/>
    <cellStyle name="Normal 4 2 4 2 3 2 3 3" xfId="22027" xr:uid="{046BF7D3-538D-4A95-90F0-84890CF4B10D}"/>
    <cellStyle name="Normal 4 2 4 2 3 2 4" xfId="9374" xr:uid="{AE694316-A2D3-48D5-92B4-16F925E367A0}"/>
    <cellStyle name="Normal 4 2 4 2 3 2 5" xfId="17810" xr:uid="{61461113-2DDB-410B-ADA5-D6C27DA58709}"/>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2 2 2" xfId="16150" xr:uid="{06BE089B-097A-4C41-A523-BCC58EF02E4E}"/>
    <cellStyle name="Normal 4 2 4 2 3 3 2 2 3" xfId="24585" xr:uid="{E8E7CD5C-2674-4519-9486-43046074C69A}"/>
    <cellStyle name="Normal 4 2 4 2 3 3 2 3" xfId="11932" xr:uid="{F60C137B-8F59-4674-B453-2B2F7C0EBF98}"/>
    <cellStyle name="Normal 4 2 4 2 3 3 2 4" xfId="20368" xr:uid="{1CF2AC54-6855-41F1-8F6F-E23BAC60268A}"/>
    <cellStyle name="Normal 4 2 4 2 3 3 3" xfId="5563" xr:uid="{00000000-0005-0000-0000-00005E130000}"/>
    <cellStyle name="Normal 4 2 4 2 3 3 3 2" xfId="14005" xr:uid="{EE6A1D60-3DDA-4B25-85B8-1031E193DBDA}"/>
    <cellStyle name="Normal 4 2 4 2 3 3 3 3" xfId="22440" xr:uid="{BCF9BCE1-B63A-4407-A2D0-F31610FCEFC5}"/>
    <cellStyle name="Normal 4 2 4 2 3 3 4" xfId="9787" xr:uid="{21DF4320-A0EF-4023-84F6-4A07249B8E5E}"/>
    <cellStyle name="Normal 4 2 4 2 3 3 5" xfId="18223" xr:uid="{75283288-6C5A-4FD4-8447-590E675C9B26}"/>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2 2 2" xfId="16563" xr:uid="{813276AB-5604-47C1-81B7-D0466F597CCF}"/>
    <cellStyle name="Normal 4 2 4 2 3 4 2 2 3" xfId="24998" xr:uid="{D7E70400-7172-4A1B-8D61-99711BBF6CC7}"/>
    <cellStyle name="Normal 4 2 4 2 3 4 2 3" xfId="12345" xr:uid="{90DC0D14-AB99-4DF5-823F-D7133D69C747}"/>
    <cellStyle name="Normal 4 2 4 2 3 4 2 4" xfId="20781" xr:uid="{4B2F1709-B2A7-49CF-8E46-904C4E79B7E5}"/>
    <cellStyle name="Normal 4 2 4 2 3 4 3" xfId="5976" xr:uid="{00000000-0005-0000-0000-000062130000}"/>
    <cellStyle name="Normal 4 2 4 2 3 4 3 2" xfId="14418" xr:uid="{B9C56894-3BB8-42A2-A6D2-474D8908A7AE}"/>
    <cellStyle name="Normal 4 2 4 2 3 4 3 3" xfId="22853" xr:uid="{E0A48FB9-8B66-4C96-9931-A8018614B838}"/>
    <cellStyle name="Normal 4 2 4 2 3 4 4" xfId="10200" xr:uid="{1CD7B9C8-AE4B-4B04-ADDF-EDD0A6AB11BC}"/>
    <cellStyle name="Normal 4 2 4 2 3 4 5" xfId="18636" xr:uid="{AD9995C7-D1E4-462C-BFF6-697E28E6803A}"/>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2 2 2" xfId="16976" xr:uid="{30760868-6D86-4AC5-BE50-4C0444D4D6B0}"/>
    <cellStyle name="Normal 4 2 4 2 3 5 2 2 3" xfId="25411" xr:uid="{08852075-E42A-4015-A057-BB51A64E9E7A}"/>
    <cellStyle name="Normal 4 2 4 2 3 5 2 3" xfId="12758" xr:uid="{17153049-FD54-4585-AAED-5C636C3B252D}"/>
    <cellStyle name="Normal 4 2 4 2 3 5 2 4" xfId="21194" xr:uid="{6A015734-D180-41A9-92E1-1485CDFD626A}"/>
    <cellStyle name="Normal 4 2 4 2 3 5 3" xfId="6389" xr:uid="{00000000-0005-0000-0000-000066130000}"/>
    <cellStyle name="Normal 4 2 4 2 3 5 3 2" xfId="14831" xr:uid="{805D11C9-02BF-404A-955B-5F09226680B5}"/>
    <cellStyle name="Normal 4 2 4 2 3 5 3 3" xfId="23266" xr:uid="{EE634994-33AC-4FBB-9C09-FBB5C542AB30}"/>
    <cellStyle name="Normal 4 2 4 2 3 5 4" xfId="10613" xr:uid="{67CBAAD5-F2B3-4A1B-9C0E-FA59F18385FD}"/>
    <cellStyle name="Normal 4 2 4 2 3 5 5" xfId="19049" xr:uid="{5D00B126-52CE-4058-BA94-B9D165A8FEB1}"/>
    <cellStyle name="Normal 4 2 4 2 3 6" xfId="2518" xr:uid="{00000000-0005-0000-0000-000067130000}"/>
    <cellStyle name="Normal 4 2 4 2 3 6 2" xfId="6802" xr:uid="{00000000-0005-0000-0000-000068130000}"/>
    <cellStyle name="Normal 4 2 4 2 3 6 2 2" xfId="15244" xr:uid="{295801CF-B488-4B8A-A077-B3C4498FD846}"/>
    <cellStyle name="Normal 4 2 4 2 3 6 2 3" xfId="23679" xr:uid="{8CF50211-0FB2-4FEB-924D-E46D1D1C88CD}"/>
    <cellStyle name="Normal 4 2 4 2 3 6 3" xfId="11026" xr:uid="{F0A1C35A-1CFD-4751-92DA-8D8F97B42B30}"/>
    <cellStyle name="Normal 4 2 4 2 3 6 4" xfId="19462" xr:uid="{10A93B43-ACBC-4DAC-BDBC-7EE7682A42E3}"/>
    <cellStyle name="Normal 4 2 4 2 3 7" xfId="4737" xr:uid="{00000000-0005-0000-0000-000069130000}"/>
    <cellStyle name="Normal 4 2 4 2 3 7 2" xfId="13179" xr:uid="{80F3BBE7-CBE3-4F73-84BE-6F499ADDE9B3}"/>
    <cellStyle name="Normal 4 2 4 2 3 7 3" xfId="21614" xr:uid="{1B60B2B7-2695-4BA3-8D72-1B14882857DF}"/>
    <cellStyle name="Normal 4 2 4 2 3 8" xfId="8961" xr:uid="{16E73282-2C30-40D2-97C7-A22E1CF17BB2}"/>
    <cellStyle name="Normal 4 2 4 2 3 9" xfId="17397" xr:uid="{653CDF26-71BE-4DFE-84CA-F4906B6E4469}"/>
    <cellStyle name="Normal 4 2 4 2 4" xfId="832" xr:uid="{00000000-0005-0000-0000-00006A130000}"/>
    <cellStyle name="Normal 4 2 4 2 4 2" xfId="3069" xr:uid="{00000000-0005-0000-0000-00006B130000}"/>
    <cellStyle name="Normal 4 2 4 2 4 2 2" xfId="7292" xr:uid="{00000000-0005-0000-0000-00006C130000}"/>
    <cellStyle name="Normal 4 2 4 2 4 2 2 2" xfId="15734" xr:uid="{A1F2E495-ABD3-4311-A0BF-77E846F11207}"/>
    <cellStyle name="Normal 4 2 4 2 4 2 2 3" xfId="24169" xr:uid="{1B6EB7E6-3C90-4B4C-942A-CD3A87708299}"/>
    <cellStyle name="Normal 4 2 4 2 4 2 3" xfId="11516" xr:uid="{DF84D794-5274-478F-B6ED-D7652D240CBB}"/>
    <cellStyle name="Normal 4 2 4 2 4 2 4" xfId="19952" xr:uid="{8D63BCE6-6F0F-4FCD-BABF-258493AA909D}"/>
    <cellStyle name="Normal 4 2 4 2 4 3" xfId="5147" xr:uid="{00000000-0005-0000-0000-00006D130000}"/>
    <cellStyle name="Normal 4 2 4 2 4 3 2" xfId="13589" xr:uid="{3FB552C5-E84E-4078-B30B-180DCCD4F431}"/>
    <cellStyle name="Normal 4 2 4 2 4 3 3" xfId="22024" xr:uid="{422C089F-A9AB-437A-AA53-D6721407F4E1}"/>
    <cellStyle name="Normal 4 2 4 2 4 4" xfId="9371" xr:uid="{AFC4CCFA-8825-4AF4-8DEC-7382E03FFF62}"/>
    <cellStyle name="Normal 4 2 4 2 4 5" xfId="17807" xr:uid="{85B801B6-78DE-42CD-B198-95B57A6E7D7D}"/>
    <cellStyle name="Normal 4 2 4 2 5" xfId="1252" xr:uid="{00000000-0005-0000-0000-00006E130000}"/>
    <cellStyle name="Normal 4 2 4 2 5 2" xfId="3482" xr:uid="{00000000-0005-0000-0000-00006F130000}"/>
    <cellStyle name="Normal 4 2 4 2 5 2 2" xfId="7705" xr:uid="{00000000-0005-0000-0000-000070130000}"/>
    <cellStyle name="Normal 4 2 4 2 5 2 2 2" xfId="16147" xr:uid="{E2FE47E6-8123-4E43-9637-4FFD30C8F522}"/>
    <cellStyle name="Normal 4 2 4 2 5 2 2 3" xfId="24582" xr:uid="{2C70D085-5C9D-41D8-855C-7A2074908DFC}"/>
    <cellStyle name="Normal 4 2 4 2 5 2 3" xfId="11929" xr:uid="{5977DC53-B4F9-4C8A-BBE5-C93D9F1B3620}"/>
    <cellStyle name="Normal 4 2 4 2 5 2 4" xfId="20365" xr:uid="{D58476AD-12C5-456E-8DC2-03398E9C9EA4}"/>
    <cellStyle name="Normal 4 2 4 2 5 3" xfId="5560" xr:uid="{00000000-0005-0000-0000-000071130000}"/>
    <cellStyle name="Normal 4 2 4 2 5 3 2" xfId="14002" xr:uid="{381678A1-2ECF-4234-9CF6-75C93946AB0A}"/>
    <cellStyle name="Normal 4 2 4 2 5 3 3" xfId="22437" xr:uid="{06E1C3D5-456F-444A-A911-DB2D84832C51}"/>
    <cellStyle name="Normal 4 2 4 2 5 4" xfId="9784" xr:uid="{7F43B9FF-2F7C-4ABC-9CD1-BC4515DD984E}"/>
    <cellStyle name="Normal 4 2 4 2 5 5" xfId="18220" xr:uid="{73450B21-02D3-4956-961E-82D6F4765F79}"/>
    <cellStyle name="Normal 4 2 4 2 6" xfId="1665" xr:uid="{00000000-0005-0000-0000-000072130000}"/>
    <cellStyle name="Normal 4 2 4 2 6 2" xfId="3895" xr:uid="{00000000-0005-0000-0000-000073130000}"/>
    <cellStyle name="Normal 4 2 4 2 6 2 2" xfId="8118" xr:uid="{00000000-0005-0000-0000-000074130000}"/>
    <cellStyle name="Normal 4 2 4 2 6 2 2 2" xfId="16560" xr:uid="{DF46FCC3-604B-4933-9CD6-1B4B5F3D05AA}"/>
    <cellStyle name="Normal 4 2 4 2 6 2 2 3" xfId="24995" xr:uid="{3AA89D28-70BC-47F1-8C94-705ED26E3890}"/>
    <cellStyle name="Normal 4 2 4 2 6 2 3" xfId="12342" xr:uid="{D71B76CB-3825-40F8-8BC3-154199E02945}"/>
    <cellStyle name="Normal 4 2 4 2 6 2 4" xfId="20778" xr:uid="{3522800F-8A56-4CC6-ADBD-4C4FCD5559BC}"/>
    <cellStyle name="Normal 4 2 4 2 6 3" xfId="5973" xr:uid="{00000000-0005-0000-0000-000075130000}"/>
    <cellStyle name="Normal 4 2 4 2 6 3 2" xfId="14415" xr:uid="{19DF4C33-9687-4AA5-A0C1-A42B932A92C9}"/>
    <cellStyle name="Normal 4 2 4 2 6 3 3" xfId="22850" xr:uid="{A385CFD9-2B53-4B94-B4F3-20E623B2B473}"/>
    <cellStyle name="Normal 4 2 4 2 6 4" xfId="10197" xr:uid="{5A1599E5-ED08-44B7-A942-391DB97582A5}"/>
    <cellStyle name="Normal 4 2 4 2 6 5" xfId="18633" xr:uid="{7ED3DDB1-3021-41BE-BB17-46DECB17CA98}"/>
    <cellStyle name="Normal 4 2 4 2 7" xfId="2079" xr:uid="{00000000-0005-0000-0000-000076130000}"/>
    <cellStyle name="Normal 4 2 4 2 7 2" xfId="4308" xr:uid="{00000000-0005-0000-0000-000077130000}"/>
    <cellStyle name="Normal 4 2 4 2 7 2 2" xfId="8531" xr:uid="{00000000-0005-0000-0000-000078130000}"/>
    <cellStyle name="Normal 4 2 4 2 7 2 2 2" xfId="16973" xr:uid="{2347D95A-A1F0-4A46-BCF5-788F4BD582AB}"/>
    <cellStyle name="Normal 4 2 4 2 7 2 2 3" xfId="25408" xr:uid="{ED7CEC1A-16D0-4862-A15B-3BB316A17603}"/>
    <cellStyle name="Normal 4 2 4 2 7 2 3" xfId="12755" xr:uid="{6D295817-973D-4A5E-9105-AC6FF13A0947}"/>
    <cellStyle name="Normal 4 2 4 2 7 2 4" xfId="21191" xr:uid="{953BC95C-9688-4884-BDBD-429876C32189}"/>
    <cellStyle name="Normal 4 2 4 2 7 3" xfId="6386" xr:uid="{00000000-0005-0000-0000-000079130000}"/>
    <cellStyle name="Normal 4 2 4 2 7 3 2" xfId="14828" xr:uid="{E4575440-3D54-47F1-B898-67F3FCD8DF39}"/>
    <cellStyle name="Normal 4 2 4 2 7 3 3" xfId="23263" xr:uid="{5AABCD0F-358E-418B-9039-FE4C89403DEB}"/>
    <cellStyle name="Normal 4 2 4 2 7 4" xfId="10610" xr:uid="{D988CECB-EC56-407E-8D3B-C3C27023EAE2}"/>
    <cellStyle name="Normal 4 2 4 2 7 5" xfId="19046" xr:uid="{F0838E67-69B6-4685-B6A2-F03A2DD63F93}"/>
    <cellStyle name="Normal 4 2 4 2 8" xfId="2515" xr:uid="{00000000-0005-0000-0000-00007A130000}"/>
    <cellStyle name="Normal 4 2 4 2 8 2" xfId="6799" xr:uid="{00000000-0005-0000-0000-00007B130000}"/>
    <cellStyle name="Normal 4 2 4 2 8 2 2" xfId="15241" xr:uid="{E2587D44-17A0-4E2F-AAC0-F08BFBF3089C}"/>
    <cellStyle name="Normal 4 2 4 2 8 2 3" xfId="23676" xr:uid="{3EF15D75-D06A-4800-9AE5-1D82CA651C02}"/>
    <cellStyle name="Normal 4 2 4 2 8 3" xfId="11023" xr:uid="{4B08C3CB-C714-457E-8F47-E6AC8E59437E}"/>
    <cellStyle name="Normal 4 2 4 2 8 4" xfId="19459" xr:uid="{473B38D4-BEB0-45B6-A1FD-93E47F16BF25}"/>
    <cellStyle name="Normal 4 2 4 2 9" xfId="4734" xr:uid="{00000000-0005-0000-0000-00007C130000}"/>
    <cellStyle name="Normal 4 2 4 2 9 2" xfId="13176" xr:uid="{F1EB31EA-D3B6-4C63-ADB1-F16BD2642E91}"/>
    <cellStyle name="Normal 4 2 4 2 9 3" xfId="21611" xr:uid="{F8705636-3DFB-4303-BDA0-ADDB982074F5}"/>
    <cellStyle name="Normal 4 2 4 3" xfId="360" xr:uid="{00000000-0005-0000-0000-00007D130000}"/>
    <cellStyle name="Normal 4 2 4 3 10" xfId="17398" xr:uid="{F74D8C7F-1B41-4AD8-97AF-4BD243B62587}"/>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2 2 2" xfId="15739" xr:uid="{329EFA62-C5C8-4C32-936E-27D303EFD1EE}"/>
    <cellStyle name="Normal 4 2 4 3 2 2 2 2 3" xfId="24174" xr:uid="{6D4FFA32-A7C7-4CA9-A884-0D8B3EC2F117}"/>
    <cellStyle name="Normal 4 2 4 3 2 2 2 3" xfId="11521" xr:uid="{3A4860F9-B6C6-4426-8633-F7612D341ED6}"/>
    <cellStyle name="Normal 4 2 4 3 2 2 2 4" xfId="19957" xr:uid="{AB196F72-253F-4337-AB35-0DE7ED8D8340}"/>
    <cellStyle name="Normal 4 2 4 3 2 2 3" xfId="5152" xr:uid="{00000000-0005-0000-0000-000082130000}"/>
    <cellStyle name="Normal 4 2 4 3 2 2 3 2" xfId="13594" xr:uid="{91FD3D43-F19C-490D-84DF-F559B7D85966}"/>
    <cellStyle name="Normal 4 2 4 3 2 2 3 3" xfId="22029" xr:uid="{BF82E87F-CD50-44F7-AE9B-49820BAA9DC3}"/>
    <cellStyle name="Normal 4 2 4 3 2 2 4" xfId="9376" xr:uid="{EAA4C3D0-3534-47F3-9CAD-70AD6D0DEDB7}"/>
    <cellStyle name="Normal 4 2 4 3 2 2 5" xfId="17812" xr:uid="{55E45F98-5858-43FF-9FB6-EB62C2AA89DD}"/>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2 2 2" xfId="16152" xr:uid="{FD9EF1F6-1645-4693-AA19-01F70230FEC7}"/>
    <cellStyle name="Normal 4 2 4 3 2 3 2 2 3" xfId="24587" xr:uid="{501497B0-A04C-415B-BA7D-AD176A777843}"/>
    <cellStyle name="Normal 4 2 4 3 2 3 2 3" xfId="11934" xr:uid="{78645E49-42D6-4F7C-873E-1916A3B4C3C4}"/>
    <cellStyle name="Normal 4 2 4 3 2 3 2 4" xfId="20370" xr:uid="{A4CBB9A0-CDB9-4A45-BCD7-EA17FD535342}"/>
    <cellStyle name="Normal 4 2 4 3 2 3 3" xfId="5565" xr:uid="{00000000-0005-0000-0000-000086130000}"/>
    <cellStyle name="Normal 4 2 4 3 2 3 3 2" xfId="14007" xr:uid="{9E5F578F-4F05-4A02-8DE1-51AFB86FBEC0}"/>
    <cellStyle name="Normal 4 2 4 3 2 3 3 3" xfId="22442" xr:uid="{928D893A-FFB6-4CA9-BBD5-806E2AB23BCF}"/>
    <cellStyle name="Normal 4 2 4 3 2 3 4" xfId="9789" xr:uid="{0DBBC462-4021-4F47-B160-B840E07DE873}"/>
    <cellStyle name="Normal 4 2 4 3 2 3 5" xfId="18225" xr:uid="{4BCC6209-636C-4451-969A-A8FDF30A68BF}"/>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2 2 2" xfId="16565" xr:uid="{92F760AA-5DC9-4D33-AD8E-98EDD42AD02F}"/>
    <cellStyle name="Normal 4 2 4 3 2 4 2 2 3" xfId="25000" xr:uid="{054DFE58-8EA4-4421-BE73-EF5EEB614916}"/>
    <cellStyle name="Normal 4 2 4 3 2 4 2 3" xfId="12347" xr:uid="{7F348D2E-9F12-4A4C-B69A-047792C04837}"/>
    <cellStyle name="Normal 4 2 4 3 2 4 2 4" xfId="20783" xr:uid="{3B0836C4-87B9-4399-9C51-568F6F75860A}"/>
    <cellStyle name="Normal 4 2 4 3 2 4 3" xfId="5978" xr:uid="{00000000-0005-0000-0000-00008A130000}"/>
    <cellStyle name="Normal 4 2 4 3 2 4 3 2" xfId="14420" xr:uid="{EE8C1AE6-9FE1-44E5-9E80-53412FF999B9}"/>
    <cellStyle name="Normal 4 2 4 3 2 4 3 3" xfId="22855" xr:uid="{F0A31C82-2BE4-467F-A7B0-AABD915CE4D8}"/>
    <cellStyle name="Normal 4 2 4 3 2 4 4" xfId="10202" xr:uid="{6998B69F-56BE-47DC-9749-A0BB41FE1376}"/>
    <cellStyle name="Normal 4 2 4 3 2 4 5" xfId="18638" xr:uid="{F5EA2182-1CFE-4966-BF8E-65B3947D9F77}"/>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2 2 2" xfId="16978" xr:uid="{51F28C80-CD66-4B2D-9464-2B34A3CAD32C}"/>
    <cellStyle name="Normal 4 2 4 3 2 5 2 2 3" xfId="25413" xr:uid="{4837C165-D37B-435E-A339-C8DC161DEAF1}"/>
    <cellStyle name="Normal 4 2 4 3 2 5 2 3" xfId="12760" xr:uid="{25BC7E1A-0049-43C1-BF89-DE00D9FB5FEE}"/>
    <cellStyle name="Normal 4 2 4 3 2 5 2 4" xfId="21196" xr:uid="{CA60983F-75FA-4A1F-AA64-043DF229A6EF}"/>
    <cellStyle name="Normal 4 2 4 3 2 5 3" xfId="6391" xr:uid="{00000000-0005-0000-0000-00008E130000}"/>
    <cellStyle name="Normal 4 2 4 3 2 5 3 2" xfId="14833" xr:uid="{877ED196-945B-4953-912B-CF5C34DDBDF8}"/>
    <cellStyle name="Normal 4 2 4 3 2 5 3 3" xfId="23268" xr:uid="{A846D94D-3156-4BD5-934B-1FA725F73E0D}"/>
    <cellStyle name="Normal 4 2 4 3 2 5 4" xfId="10615" xr:uid="{F27FFC9F-B262-4ED3-A20A-F3189EA408A9}"/>
    <cellStyle name="Normal 4 2 4 3 2 5 5" xfId="19051" xr:uid="{90167B3C-2641-4382-B9E3-B1FA8B7C7315}"/>
    <cellStyle name="Normal 4 2 4 3 2 6" xfId="2520" xr:uid="{00000000-0005-0000-0000-00008F130000}"/>
    <cellStyle name="Normal 4 2 4 3 2 6 2" xfId="6804" xr:uid="{00000000-0005-0000-0000-000090130000}"/>
    <cellStyle name="Normal 4 2 4 3 2 6 2 2" xfId="15246" xr:uid="{35EB735E-DA17-490F-862E-67ACA0339C53}"/>
    <cellStyle name="Normal 4 2 4 3 2 6 2 3" xfId="23681" xr:uid="{E033E11C-9C93-43B0-B885-CB9FF9B107C5}"/>
    <cellStyle name="Normal 4 2 4 3 2 6 3" xfId="11028" xr:uid="{E8BAA95B-8268-426D-B223-D80F2E49254D}"/>
    <cellStyle name="Normal 4 2 4 3 2 6 4" xfId="19464" xr:uid="{17F4409A-323B-4ACA-B818-084FC26E0389}"/>
    <cellStyle name="Normal 4 2 4 3 2 7" xfId="4739" xr:uid="{00000000-0005-0000-0000-000091130000}"/>
    <cellStyle name="Normal 4 2 4 3 2 7 2" xfId="13181" xr:uid="{3F78D1EC-FE30-4CCC-B4AF-A0B17BF4BA47}"/>
    <cellStyle name="Normal 4 2 4 3 2 7 3" xfId="21616" xr:uid="{890AD4A4-E823-41F1-AB8E-BFCA4CCD8296}"/>
    <cellStyle name="Normal 4 2 4 3 2 8" xfId="8963" xr:uid="{6C071060-EDB7-48A8-B729-5464579AF99C}"/>
    <cellStyle name="Normal 4 2 4 3 2 9" xfId="17399" xr:uid="{37F8B40A-ECC3-4DD1-ADAF-ADE092495035}"/>
    <cellStyle name="Normal 4 2 4 3 3" xfId="836" xr:uid="{00000000-0005-0000-0000-000092130000}"/>
    <cellStyle name="Normal 4 2 4 3 3 2" xfId="3073" xr:uid="{00000000-0005-0000-0000-000093130000}"/>
    <cellStyle name="Normal 4 2 4 3 3 2 2" xfId="7296" xr:uid="{00000000-0005-0000-0000-000094130000}"/>
    <cellStyle name="Normal 4 2 4 3 3 2 2 2" xfId="15738" xr:uid="{03E8BECF-702B-42EC-88DD-27C646734005}"/>
    <cellStyle name="Normal 4 2 4 3 3 2 2 3" xfId="24173" xr:uid="{7C89F1DD-880C-47A3-A76B-F3F93F08B2E4}"/>
    <cellStyle name="Normal 4 2 4 3 3 2 3" xfId="11520" xr:uid="{34DA53EA-4B3E-4374-91D3-7D31DDFC02B0}"/>
    <cellStyle name="Normal 4 2 4 3 3 2 4" xfId="19956" xr:uid="{5935B08B-7768-4A6D-B865-5FF05DD6D875}"/>
    <cellStyle name="Normal 4 2 4 3 3 3" xfId="5151" xr:uid="{00000000-0005-0000-0000-000095130000}"/>
    <cellStyle name="Normal 4 2 4 3 3 3 2" xfId="13593" xr:uid="{6284CAF9-77C8-4169-986A-C3A576F859AE}"/>
    <cellStyle name="Normal 4 2 4 3 3 3 3" xfId="22028" xr:uid="{F9BD82AE-AE0B-4960-AB07-16B24539B7DB}"/>
    <cellStyle name="Normal 4 2 4 3 3 4" xfId="9375" xr:uid="{C10225BF-7CDE-46CF-BCA7-DD40CC269F3B}"/>
    <cellStyle name="Normal 4 2 4 3 3 5" xfId="17811" xr:uid="{330EFC4B-86DA-4868-BC80-CBE050273E42}"/>
    <cellStyle name="Normal 4 2 4 3 4" xfId="1256" xr:uid="{00000000-0005-0000-0000-000096130000}"/>
    <cellStyle name="Normal 4 2 4 3 4 2" xfId="3486" xr:uid="{00000000-0005-0000-0000-000097130000}"/>
    <cellStyle name="Normal 4 2 4 3 4 2 2" xfId="7709" xr:uid="{00000000-0005-0000-0000-000098130000}"/>
    <cellStyle name="Normal 4 2 4 3 4 2 2 2" xfId="16151" xr:uid="{FB299381-C239-4E81-89F7-7682858097C6}"/>
    <cellStyle name="Normal 4 2 4 3 4 2 2 3" xfId="24586" xr:uid="{62561C91-52D7-480E-80A6-99E7759DB489}"/>
    <cellStyle name="Normal 4 2 4 3 4 2 3" xfId="11933" xr:uid="{E321DD79-79AB-4024-9AFD-22C21907B79B}"/>
    <cellStyle name="Normal 4 2 4 3 4 2 4" xfId="20369" xr:uid="{C6C27664-EA96-4779-ADE9-D264B1756E2A}"/>
    <cellStyle name="Normal 4 2 4 3 4 3" xfId="5564" xr:uid="{00000000-0005-0000-0000-000099130000}"/>
    <cellStyle name="Normal 4 2 4 3 4 3 2" xfId="14006" xr:uid="{C7684F7B-FEB9-442A-8E2E-3F3F3F131D0F}"/>
    <cellStyle name="Normal 4 2 4 3 4 3 3" xfId="22441" xr:uid="{4F8FA147-94E0-4487-A472-46ED714A9F92}"/>
    <cellStyle name="Normal 4 2 4 3 4 4" xfId="9788" xr:uid="{F31512E1-A532-46AA-BDCC-693700F42E87}"/>
    <cellStyle name="Normal 4 2 4 3 4 5" xfId="18224" xr:uid="{C3C47BDE-B61E-4B61-AEDA-BE1FD2FBC4CF}"/>
    <cellStyle name="Normal 4 2 4 3 5" xfId="1669" xr:uid="{00000000-0005-0000-0000-00009A130000}"/>
    <cellStyle name="Normal 4 2 4 3 5 2" xfId="3899" xr:uid="{00000000-0005-0000-0000-00009B130000}"/>
    <cellStyle name="Normal 4 2 4 3 5 2 2" xfId="8122" xr:uid="{00000000-0005-0000-0000-00009C130000}"/>
    <cellStyle name="Normal 4 2 4 3 5 2 2 2" xfId="16564" xr:uid="{E152A2FA-1E17-40F3-A87B-8BE20511EDA0}"/>
    <cellStyle name="Normal 4 2 4 3 5 2 2 3" xfId="24999" xr:uid="{799F3023-1A4D-4D7D-8AA0-A044EF9C63D6}"/>
    <cellStyle name="Normal 4 2 4 3 5 2 3" xfId="12346" xr:uid="{A218CFE7-E52F-4CDE-AD22-FAFB1EB8E713}"/>
    <cellStyle name="Normal 4 2 4 3 5 2 4" xfId="20782" xr:uid="{DE51204D-4B51-48AD-B972-F1D924816945}"/>
    <cellStyle name="Normal 4 2 4 3 5 3" xfId="5977" xr:uid="{00000000-0005-0000-0000-00009D130000}"/>
    <cellStyle name="Normal 4 2 4 3 5 3 2" xfId="14419" xr:uid="{6F3AD719-FD2D-4CDB-AC8B-C5D0A65B5DBF}"/>
    <cellStyle name="Normal 4 2 4 3 5 3 3" xfId="22854" xr:uid="{9B09264C-FD79-4958-AC3E-A2B1B10BEA33}"/>
    <cellStyle name="Normal 4 2 4 3 5 4" xfId="10201" xr:uid="{182FDD26-EE05-4EA7-B2F1-705B1669DDA0}"/>
    <cellStyle name="Normal 4 2 4 3 5 5" xfId="18637" xr:uid="{ADDE9DD7-F0BF-4424-A1F9-F21805E6711F}"/>
    <cellStyle name="Normal 4 2 4 3 6" xfId="2083" xr:uid="{00000000-0005-0000-0000-00009E130000}"/>
    <cellStyle name="Normal 4 2 4 3 6 2" xfId="4312" xr:uid="{00000000-0005-0000-0000-00009F130000}"/>
    <cellStyle name="Normal 4 2 4 3 6 2 2" xfId="8535" xr:uid="{00000000-0005-0000-0000-0000A0130000}"/>
    <cellStyle name="Normal 4 2 4 3 6 2 2 2" xfId="16977" xr:uid="{204F1F43-0941-46C7-BF64-F951474AD114}"/>
    <cellStyle name="Normal 4 2 4 3 6 2 2 3" xfId="25412" xr:uid="{42EE1862-0728-49EE-A766-94289538C863}"/>
    <cellStyle name="Normal 4 2 4 3 6 2 3" xfId="12759" xr:uid="{E7DDA09E-E2C3-428E-ACF9-22CD31638E49}"/>
    <cellStyle name="Normal 4 2 4 3 6 2 4" xfId="21195" xr:uid="{D12F52C2-B75D-46CB-8B0C-9BC4A71D09F8}"/>
    <cellStyle name="Normal 4 2 4 3 6 3" xfId="6390" xr:uid="{00000000-0005-0000-0000-0000A1130000}"/>
    <cellStyle name="Normal 4 2 4 3 6 3 2" xfId="14832" xr:uid="{3A13B665-3FCF-4192-B6C8-80349D35BCC1}"/>
    <cellStyle name="Normal 4 2 4 3 6 3 3" xfId="23267" xr:uid="{42BD3298-4BE8-45E5-8F23-E4D3221FD3F9}"/>
    <cellStyle name="Normal 4 2 4 3 6 4" xfId="10614" xr:uid="{B1226B97-9CF2-41FC-8B24-F6B6B7F93938}"/>
    <cellStyle name="Normal 4 2 4 3 6 5" xfId="19050" xr:uid="{5DB084EA-FBF8-49F1-9243-6919263570BD}"/>
    <cellStyle name="Normal 4 2 4 3 7" xfId="2519" xr:uid="{00000000-0005-0000-0000-0000A2130000}"/>
    <cellStyle name="Normal 4 2 4 3 7 2" xfId="6803" xr:uid="{00000000-0005-0000-0000-0000A3130000}"/>
    <cellStyle name="Normal 4 2 4 3 7 2 2" xfId="15245" xr:uid="{41789531-34C4-49F1-8A49-163D2784F8FF}"/>
    <cellStyle name="Normal 4 2 4 3 7 2 3" xfId="23680" xr:uid="{872755F0-F365-4A3D-BFA9-F89189CF463F}"/>
    <cellStyle name="Normal 4 2 4 3 7 3" xfId="11027" xr:uid="{EE59874B-65FA-4D37-A3B3-AF1C41A2911E}"/>
    <cellStyle name="Normal 4 2 4 3 7 4" xfId="19463" xr:uid="{D0495619-056F-4FE0-88E5-21F3F16185F9}"/>
    <cellStyle name="Normal 4 2 4 3 8" xfId="4738" xr:uid="{00000000-0005-0000-0000-0000A4130000}"/>
    <cellStyle name="Normal 4 2 4 3 8 2" xfId="13180" xr:uid="{80A0830E-C2DE-46DE-B889-DE72A422783A}"/>
    <cellStyle name="Normal 4 2 4 3 8 3" xfId="21615" xr:uid="{EB420E24-8435-4B60-9D20-92830A452191}"/>
    <cellStyle name="Normal 4 2 4 3 9" xfId="8962" xr:uid="{FD650FB4-20FF-457B-AFFF-1919DCC44D06}"/>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2 2 2" xfId="15740" xr:uid="{C42A2D75-9ACE-47C9-B085-14D5C2844C3A}"/>
    <cellStyle name="Normal 4 2 4 4 2 2 2 3" xfId="24175" xr:uid="{2BF023A4-406C-40A1-956F-ACE9AAE8D8E4}"/>
    <cellStyle name="Normal 4 2 4 4 2 2 3" xfId="11522" xr:uid="{5EFA3ACF-031C-4077-89A4-641D706809B2}"/>
    <cellStyle name="Normal 4 2 4 4 2 2 4" xfId="19958" xr:uid="{74B16A65-9089-4AF1-85E6-DCFFE8682945}"/>
    <cellStyle name="Normal 4 2 4 4 2 3" xfId="5153" xr:uid="{00000000-0005-0000-0000-0000A9130000}"/>
    <cellStyle name="Normal 4 2 4 4 2 3 2" xfId="13595" xr:uid="{C5583154-8BB2-4CF0-95C1-B7ED99DBDB02}"/>
    <cellStyle name="Normal 4 2 4 4 2 3 3" xfId="22030" xr:uid="{0A3211B6-7D28-4224-A586-B6A94DECEA84}"/>
    <cellStyle name="Normal 4 2 4 4 2 4" xfId="9377" xr:uid="{9DDEA2BB-8E87-4412-9AD0-84495A35BE4D}"/>
    <cellStyle name="Normal 4 2 4 4 2 5" xfId="17813" xr:uid="{148338FC-E733-4706-883D-C4E68420F40A}"/>
    <cellStyle name="Normal 4 2 4 4 3" xfId="1258" xr:uid="{00000000-0005-0000-0000-0000AA130000}"/>
    <cellStyle name="Normal 4 2 4 4 3 2" xfId="3488" xr:uid="{00000000-0005-0000-0000-0000AB130000}"/>
    <cellStyle name="Normal 4 2 4 4 3 2 2" xfId="7711" xr:uid="{00000000-0005-0000-0000-0000AC130000}"/>
    <cellStyle name="Normal 4 2 4 4 3 2 2 2" xfId="16153" xr:uid="{7172B3A5-A837-4DAF-B168-6AF6E23AE122}"/>
    <cellStyle name="Normal 4 2 4 4 3 2 2 3" xfId="24588" xr:uid="{15B78831-8C82-46F2-8425-215669944D29}"/>
    <cellStyle name="Normal 4 2 4 4 3 2 3" xfId="11935" xr:uid="{1195D780-3644-447D-84A9-B344BB85DD52}"/>
    <cellStyle name="Normal 4 2 4 4 3 2 4" xfId="20371" xr:uid="{C9E172B9-F439-4598-8B6E-9AA97BFC09CE}"/>
    <cellStyle name="Normal 4 2 4 4 3 3" xfId="5566" xr:uid="{00000000-0005-0000-0000-0000AD130000}"/>
    <cellStyle name="Normal 4 2 4 4 3 3 2" xfId="14008" xr:uid="{DEB8FF20-C35A-42E1-AA9F-5530FC276CCA}"/>
    <cellStyle name="Normal 4 2 4 4 3 3 3" xfId="22443" xr:uid="{34E62192-AFCA-4454-A07A-08E3ADB6762F}"/>
    <cellStyle name="Normal 4 2 4 4 3 4" xfId="9790" xr:uid="{2703EE59-F37D-4575-9458-E31E3CF7C36A}"/>
    <cellStyle name="Normal 4 2 4 4 3 5" xfId="18226" xr:uid="{AB7FC722-E1B5-4520-981C-69415319CFD8}"/>
    <cellStyle name="Normal 4 2 4 4 4" xfId="1671" xr:uid="{00000000-0005-0000-0000-0000AE130000}"/>
    <cellStyle name="Normal 4 2 4 4 4 2" xfId="3901" xr:uid="{00000000-0005-0000-0000-0000AF130000}"/>
    <cellStyle name="Normal 4 2 4 4 4 2 2" xfId="8124" xr:uid="{00000000-0005-0000-0000-0000B0130000}"/>
    <cellStyle name="Normal 4 2 4 4 4 2 2 2" xfId="16566" xr:uid="{88712310-F753-4399-BD3B-2C7D7DA0506D}"/>
    <cellStyle name="Normal 4 2 4 4 4 2 2 3" xfId="25001" xr:uid="{2A2EA100-B903-42CF-94AF-5661D956D3C3}"/>
    <cellStyle name="Normal 4 2 4 4 4 2 3" xfId="12348" xr:uid="{E7715C35-C395-47A5-90BE-0B3CAFCDBB17}"/>
    <cellStyle name="Normal 4 2 4 4 4 2 4" xfId="20784" xr:uid="{9414DBF9-EBB5-4B66-BFF0-0141CAADD83B}"/>
    <cellStyle name="Normal 4 2 4 4 4 3" xfId="5979" xr:uid="{00000000-0005-0000-0000-0000B1130000}"/>
    <cellStyle name="Normal 4 2 4 4 4 3 2" xfId="14421" xr:uid="{E4305AE9-6474-4EEE-BEC8-FDBC26B8FEB8}"/>
    <cellStyle name="Normal 4 2 4 4 4 3 3" xfId="22856" xr:uid="{50749284-FFBB-464F-B93A-D672C48ACB6C}"/>
    <cellStyle name="Normal 4 2 4 4 4 4" xfId="10203" xr:uid="{83A22F63-5B02-417A-B705-6C317E8B9F23}"/>
    <cellStyle name="Normal 4 2 4 4 4 5" xfId="18639" xr:uid="{CF34D79B-1268-46F3-A1DF-55393E8C1911}"/>
    <cellStyle name="Normal 4 2 4 4 5" xfId="2085" xr:uid="{00000000-0005-0000-0000-0000B2130000}"/>
    <cellStyle name="Normal 4 2 4 4 5 2" xfId="4314" xr:uid="{00000000-0005-0000-0000-0000B3130000}"/>
    <cellStyle name="Normal 4 2 4 4 5 2 2" xfId="8537" xr:uid="{00000000-0005-0000-0000-0000B4130000}"/>
    <cellStyle name="Normal 4 2 4 4 5 2 2 2" xfId="16979" xr:uid="{CF432D96-7EBD-4E6F-9554-5E4C00030583}"/>
    <cellStyle name="Normal 4 2 4 4 5 2 2 3" xfId="25414" xr:uid="{0A7FDAA4-992F-4647-B67C-F3281A6DD80B}"/>
    <cellStyle name="Normal 4 2 4 4 5 2 3" xfId="12761" xr:uid="{5519F491-0EC8-4B33-9EBF-BD8F3F5C8204}"/>
    <cellStyle name="Normal 4 2 4 4 5 2 4" xfId="21197" xr:uid="{C95EA7BC-E775-4D26-8B22-96A6E3E34A75}"/>
    <cellStyle name="Normal 4 2 4 4 5 3" xfId="6392" xr:uid="{00000000-0005-0000-0000-0000B5130000}"/>
    <cellStyle name="Normal 4 2 4 4 5 3 2" xfId="14834" xr:uid="{6A3F50E4-ECEC-4AD7-BB88-B686FAC369F1}"/>
    <cellStyle name="Normal 4 2 4 4 5 3 3" xfId="23269" xr:uid="{B1FF2A60-5C79-4D13-8B9C-AAA6F8EC87D0}"/>
    <cellStyle name="Normal 4 2 4 4 5 4" xfId="10616" xr:uid="{437EC5FF-0C44-4983-869A-631B2303575F}"/>
    <cellStyle name="Normal 4 2 4 4 5 5" xfId="19052" xr:uid="{6EA8AB06-858B-4988-B4FE-A29D4F424891}"/>
    <cellStyle name="Normal 4 2 4 4 6" xfId="2521" xr:uid="{00000000-0005-0000-0000-0000B6130000}"/>
    <cellStyle name="Normal 4 2 4 4 6 2" xfId="6805" xr:uid="{00000000-0005-0000-0000-0000B7130000}"/>
    <cellStyle name="Normal 4 2 4 4 6 2 2" xfId="15247" xr:uid="{4A86B21C-B98A-49F6-AE1C-2A0C6253563F}"/>
    <cellStyle name="Normal 4 2 4 4 6 2 3" xfId="23682" xr:uid="{BE01F2DA-EA0F-4576-BD02-DB45A313A2D6}"/>
    <cellStyle name="Normal 4 2 4 4 6 3" xfId="11029" xr:uid="{F2D193AD-272E-45ED-9FE1-844359F9580A}"/>
    <cellStyle name="Normal 4 2 4 4 6 4" xfId="19465" xr:uid="{4E35A60F-5B42-461F-8D9C-7556DFA5BB39}"/>
    <cellStyle name="Normal 4 2 4 4 7" xfId="4740" xr:uid="{00000000-0005-0000-0000-0000B8130000}"/>
    <cellStyle name="Normal 4 2 4 4 7 2" xfId="13182" xr:uid="{61C26845-5E5A-4CBE-8B21-CB8EF325F2D6}"/>
    <cellStyle name="Normal 4 2 4 4 7 3" xfId="21617" xr:uid="{48F799A4-CDE3-4E2E-9C65-11B0C4130703}"/>
    <cellStyle name="Normal 4 2 4 4 8" xfId="8964" xr:uid="{243CEF16-BE3B-4349-A508-461759A3BC32}"/>
    <cellStyle name="Normal 4 2 4 4 9" xfId="17400" xr:uid="{DA6AF021-81BA-4D35-9217-29AD23B67433}"/>
    <cellStyle name="Normal 4 2 4 5" xfId="831" xr:uid="{00000000-0005-0000-0000-0000B9130000}"/>
    <cellStyle name="Normal 4 2 4 5 2" xfId="3068" xr:uid="{00000000-0005-0000-0000-0000BA130000}"/>
    <cellStyle name="Normal 4 2 4 5 2 2" xfId="7291" xr:uid="{00000000-0005-0000-0000-0000BB130000}"/>
    <cellStyle name="Normal 4 2 4 5 2 2 2" xfId="15733" xr:uid="{777999C6-8800-4954-B2F7-9358557DB15E}"/>
    <cellStyle name="Normal 4 2 4 5 2 2 3" xfId="24168" xr:uid="{E526A74D-9CCA-4CE0-8CF6-E6D290CAECF4}"/>
    <cellStyle name="Normal 4 2 4 5 2 3" xfId="11515" xr:uid="{ED0D76EE-7544-486C-BAF6-349BD67898E9}"/>
    <cellStyle name="Normal 4 2 4 5 2 4" xfId="19951" xr:uid="{0AF6D343-F495-451C-A027-4F59F3FD5780}"/>
    <cellStyle name="Normal 4 2 4 5 3" xfId="5146" xr:uid="{00000000-0005-0000-0000-0000BC130000}"/>
    <cellStyle name="Normal 4 2 4 5 3 2" xfId="13588" xr:uid="{4AB5FF54-FE01-4503-A9AC-B2B703B0FEAC}"/>
    <cellStyle name="Normal 4 2 4 5 3 3" xfId="22023" xr:uid="{EEC3299C-1EB5-41F1-876D-DCC8B75B8DB2}"/>
    <cellStyle name="Normal 4 2 4 5 4" xfId="9370" xr:uid="{C1C48762-EF9C-4896-B9FB-6D206331E69A}"/>
    <cellStyle name="Normal 4 2 4 5 5" xfId="17806" xr:uid="{77059581-A46F-465A-A886-34A8A5F1C879}"/>
    <cellStyle name="Normal 4 2 4 6" xfId="1251" xr:uid="{00000000-0005-0000-0000-0000BD130000}"/>
    <cellStyle name="Normal 4 2 4 6 2" xfId="3481" xr:uid="{00000000-0005-0000-0000-0000BE130000}"/>
    <cellStyle name="Normal 4 2 4 6 2 2" xfId="7704" xr:uid="{00000000-0005-0000-0000-0000BF130000}"/>
    <cellStyle name="Normal 4 2 4 6 2 2 2" xfId="16146" xr:uid="{377CE62F-FA3D-470B-BBF0-D3FF81594488}"/>
    <cellStyle name="Normal 4 2 4 6 2 2 3" xfId="24581" xr:uid="{DF7DA394-FD27-4AE0-84F6-D36B912397D3}"/>
    <cellStyle name="Normal 4 2 4 6 2 3" xfId="11928" xr:uid="{71E29875-0589-4CA8-876E-DC5D52F8D743}"/>
    <cellStyle name="Normal 4 2 4 6 2 4" xfId="20364" xr:uid="{16399A74-CEBA-41EA-A7AC-AFD0A3532C7F}"/>
    <cellStyle name="Normal 4 2 4 6 3" xfId="5559" xr:uid="{00000000-0005-0000-0000-0000C0130000}"/>
    <cellStyle name="Normal 4 2 4 6 3 2" xfId="14001" xr:uid="{EC5F35FB-7DF8-460A-95EF-99D8222AE022}"/>
    <cellStyle name="Normal 4 2 4 6 3 3" xfId="22436" xr:uid="{43EA6AA5-632E-4716-9F26-0CF5E95B8F53}"/>
    <cellStyle name="Normal 4 2 4 6 4" xfId="9783" xr:uid="{A9849320-E5A6-4374-8FE8-560198F82D8F}"/>
    <cellStyle name="Normal 4 2 4 6 5" xfId="18219" xr:uid="{C71AFB78-8E87-465A-BDBA-313CCC2A1D2A}"/>
    <cellStyle name="Normal 4 2 4 7" xfId="1664" xr:uid="{00000000-0005-0000-0000-0000C1130000}"/>
    <cellStyle name="Normal 4 2 4 7 2" xfId="3894" xr:uid="{00000000-0005-0000-0000-0000C2130000}"/>
    <cellStyle name="Normal 4 2 4 7 2 2" xfId="8117" xr:uid="{00000000-0005-0000-0000-0000C3130000}"/>
    <cellStyle name="Normal 4 2 4 7 2 2 2" xfId="16559" xr:uid="{B6398D58-81DF-47AB-8AD5-332BD5BBEA92}"/>
    <cellStyle name="Normal 4 2 4 7 2 2 3" xfId="24994" xr:uid="{B1A2B40F-8E45-4A65-9723-F7B04E01931A}"/>
    <cellStyle name="Normal 4 2 4 7 2 3" xfId="12341" xr:uid="{B9ABC23C-EB85-4D42-973B-C1773493D9F7}"/>
    <cellStyle name="Normal 4 2 4 7 2 4" xfId="20777" xr:uid="{DDF2B12C-2BAA-4A9E-B40D-C24EA465CC01}"/>
    <cellStyle name="Normal 4 2 4 7 3" xfId="5972" xr:uid="{00000000-0005-0000-0000-0000C4130000}"/>
    <cellStyle name="Normal 4 2 4 7 3 2" xfId="14414" xr:uid="{193AE241-9F18-404E-991E-A2B9A97D6EDD}"/>
    <cellStyle name="Normal 4 2 4 7 3 3" xfId="22849" xr:uid="{323D0141-C631-41B1-B93B-135DA28061F4}"/>
    <cellStyle name="Normal 4 2 4 7 4" xfId="10196" xr:uid="{9C6BA73E-DEC2-4853-AC6F-CF9751432B27}"/>
    <cellStyle name="Normal 4 2 4 7 5" xfId="18632" xr:uid="{3311979F-3C74-4E1F-ACAD-157089831B91}"/>
    <cellStyle name="Normal 4 2 4 8" xfId="2078" xr:uid="{00000000-0005-0000-0000-0000C5130000}"/>
    <cellStyle name="Normal 4 2 4 8 2" xfId="4307" xr:uid="{00000000-0005-0000-0000-0000C6130000}"/>
    <cellStyle name="Normal 4 2 4 8 2 2" xfId="8530" xr:uid="{00000000-0005-0000-0000-0000C7130000}"/>
    <cellStyle name="Normal 4 2 4 8 2 2 2" xfId="16972" xr:uid="{EE192FD4-3F60-405F-AB63-73DED6D13512}"/>
    <cellStyle name="Normal 4 2 4 8 2 2 3" xfId="25407" xr:uid="{85336EEA-BD88-4807-A96E-29FA40ECEB1A}"/>
    <cellStyle name="Normal 4 2 4 8 2 3" xfId="12754" xr:uid="{1E4214BA-5AD7-44BA-B2E4-CC29DD84BC27}"/>
    <cellStyle name="Normal 4 2 4 8 2 4" xfId="21190" xr:uid="{12B42C9F-A94C-41FB-A685-D932C2A8D691}"/>
    <cellStyle name="Normal 4 2 4 8 3" xfId="6385" xr:uid="{00000000-0005-0000-0000-0000C8130000}"/>
    <cellStyle name="Normal 4 2 4 8 3 2" xfId="14827" xr:uid="{48AE99FF-3FC4-47BD-8067-357D3B88607F}"/>
    <cellStyle name="Normal 4 2 4 8 3 3" xfId="23262" xr:uid="{21F99C70-31A8-48E8-BD6E-66480BB423E5}"/>
    <cellStyle name="Normal 4 2 4 8 4" xfId="10609" xr:uid="{33180C78-76F0-4B4C-99C8-998B37B90458}"/>
    <cellStyle name="Normal 4 2 4 8 5" xfId="19045" xr:uid="{DA287CBD-679C-4911-986D-EBAAD6387C70}"/>
    <cellStyle name="Normal 4 2 4 9" xfId="2514" xr:uid="{00000000-0005-0000-0000-0000C9130000}"/>
    <cellStyle name="Normal 4 2 4 9 2" xfId="6798" xr:uid="{00000000-0005-0000-0000-0000CA130000}"/>
    <cellStyle name="Normal 4 2 4 9 2 2" xfId="15240" xr:uid="{4A6E1762-73D3-4CDD-A8B3-EEADABB52032}"/>
    <cellStyle name="Normal 4 2 4 9 2 3" xfId="23675" xr:uid="{EDE5CA28-D5AA-4F99-8688-A5F6BC0EF234}"/>
    <cellStyle name="Normal 4 2 4 9 3" xfId="11022" xr:uid="{4541E293-7D6E-462E-88D2-149D3013A4D4}"/>
    <cellStyle name="Normal 4 2 4 9 4" xfId="19458" xr:uid="{6012F41F-4830-4C6A-BE90-63BD0A76459C}"/>
    <cellStyle name="Normal 4 2 5" xfId="363" xr:uid="{00000000-0005-0000-0000-0000CB130000}"/>
    <cellStyle name="Normal 4 2 5 10" xfId="17401" xr:uid="{F4E3655E-B62D-4CA1-9176-E4109A58CEE6}"/>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2 2 2" xfId="15742" xr:uid="{ED3E2BED-1721-4D5B-8F48-312E9160E31B}"/>
    <cellStyle name="Normal 4 2 5 2 2 2 2 3" xfId="24177" xr:uid="{1E41CBE7-8C70-419D-9C04-8F9A7DB21B9B}"/>
    <cellStyle name="Normal 4 2 5 2 2 2 3" xfId="11524" xr:uid="{763ADEB9-5CE4-4A1F-B4B1-AEAE9455A1B3}"/>
    <cellStyle name="Normal 4 2 5 2 2 2 4" xfId="19960" xr:uid="{EE5C7FD4-7A90-4861-AD5D-AF85F1DE1F39}"/>
    <cellStyle name="Normal 4 2 5 2 2 3" xfId="5155" xr:uid="{00000000-0005-0000-0000-0000D0130000}"/>
    <cellStyle name="Normal 4 2 5 2 2 3 2" xfId="13597" xr:uid="{CDC8361C-0929-4CB7-94B4-1A9312B6C35A}"/>
    <cellStyle name="Normal 4 2 5 2 2 3 3" xfId="22032" xr:uid="{16781A95-6A88-4DAA-BBB8-8D47038B763C}"/>
    <cellStyle name="Normal 4 2 5 2 2 4" xfId="9379" xr:uid="{AA78BE2F-45B5-4D68-B854-438385DC7680}"/>
    <cellStyle name="Normal 4 2 5 2 2 5" xfId="17815" xr:uid="{CAFAEBA1-16EC-4E78-B670-1DABECB0A263}"/>
    <cellStyle name="Normal 4 2 5 2 3" xfId="1260" xr:uid="{00000000-0005-0000-0000-0000D1130000}"/>
    <cellStyle name="Normal 4 2 5 2 3 2" xfId="3490" xr:uid="{00000000-0005-0000-0000-0000D2130000}"/>
    <cellStyle name="Normal 4 2 5 2 3 2 2" xfId="7713" xr:uid="{00000000-0005-0000-0000-0000D3130000}"/>
    <cellStyle name="Normal 4 2 5 2 3 2 2 2" xfId="16155" xr:uid="{C8AF8D46-805B-4047-ABA1-D50DC137EF3E}"/>
    <cellStyle name="Normal 4 2 5 2 3 2 2 3" xfId="24590" xr:uid="{BA9436EE-BA52-425E-A82C-84A17286E4E9}"/>
    <cellStyle name="Normal 4 2 5 2 3 2 3" xfId="11937" xr:uid="{2BF471FD-ACB3-4D6E-A1DF-08E42A196491}"/>
    <cellStyle name="Normal 4 2 5 2 3 2 4" xfId="20373" xr:uid="{7A04AAC7-E87A-49A0-BD24-0FF9DF19712D}"/>
    <cellStyle name="Normal 4 2 5 2 3 3" xfId="5568" xr:uid="{00000000-0005-0000-0000-0000D4130000}"/>
    <cellStyle name="Normal 4 2 5 2 3 3 2" xfId="14010" xr:uid="{AA40FB93-4B45-4466-8A8B-B845094E17F3}"/>
    <cellStyle name="Normal 4 2 5 2 3 3 3" xfId="22445" xr:uid="{11B1A34B-0719-4163-A6F9-80DA764EB837}"/>
    <cellStyle name="Normal 4 2 5 2 3 4" xfId="9792" xr:uid="{A539AFB6-6831-450C-AE5E-0E3D1424E94E}"/>
    <cellStyle name="Normal 4 2 5 2 3 5" xfId="18228" xr:uid="{B7354B83-B442-48C1-8D4A-7F9D5CC1467C}"/>
    <cellStyle name="Normal 4 2 5 2 4" xfId="1673" xr:uid="{00000000-0005-0000-0000-0000D5130000}"/>
    <cellStyle name="Normal 4 2 5 2 4 2" xfId="3903" xr:uid="{00000000-0005-0000-0000-0000D6130000}"/>
    <cellStyle name="Normal 4 2 5 2 4 2 2" xfId="8126" xr:uid="{00000000-0005-0000-0000-0000D7130000}"/>
    <cellStyle name="Normal 4 2 5 2 4 2 2 2" xfId="16568" xr:uid="{87FE1940-43E1-4B23-B9F0-89125B98B3EF}"/>
    <cellStyle name="Normal 4 2 5 2 4 2 2 3" xfId="25003" xr:uid="{C6E31554-2351-4392-BE4D-26F87724E4CE}"/>
    <cellStyle name="Normal 4 2 5 2 4 2 3" xfId="12350" xr:uid="{240FCA66-8B26-4C5A-82FF-195EEE7ACF92}"/>
    <cellStyle name="Normal 4 2 5 2 4 2 4" xfId="20786" xr:uid="{E0D1DE9D-A772-488B-BE56-399990B22256}"/>
    <cellStyle name="Normal 4 2 5 2 4 3" xfId="5981" xr:uid="{00000000-0005-0000-0000-0000D8130000}"/>
    <cellStyle name="Normal 4 2 5 2 4 3 2" xfId="14423" xr:uid="{BDFD5347-579B-47E5-BF43-815F1521E3C0}"/>
    <cellStyle name="Normal 4 2 5 2 4 3 3" xfId="22858" xr:uid="{84EC60EE-9DA0-40D4-93A7-7A675C3809DD}"/>
    <cellStyle name="Normal 4 2 5 2 4 4" xfId="10205" xr:uid="{F479793A-D55D-4878-A0BF-9DEFE228A2EB}"/>
    <cellStyle name="Normal 4 2 5 2 4 5" xfId="18641" xr:uid="{84DDB79A-96D6-4073-87E0-F0F1302D20BF}"/>
    <cellStyle name="Normal 4 2 5 2 5" xfId="2087" xr:uid="{00000000-0005-0000-0000-0000D9130000}"/>
    <cellStyle name="Normal 4 2 5 2 5 2" xfId="4316" xr:uid="{00000000-0005-0000-0000-0000DA130000}"/>
    <cellStyle name="Normal 4 2 5 2 5 2 2" xfId="8539" xr:uid="{00000000-0005-0000-0000-0000DB130000}"/>
    <cellStyle name="Normal 4 2 5 2 5 2 2 2" xfId="16981" xr:uid="{59173452-61D3-40BD-868C-264805F239B3}"/>
    <cellStyle name="Normal 4 2 5 2 5 2 2 3" xfId="25416" xr:uid="{A3E81098-3B75-48EC-A9C1-15131AF1C60E}"/>
    <cellStyle name="Normal 4 2 5 2 5 2 3" xfId="12763" xr:uid="{7E054EDA-7848-4EFF-9F91-73DA63556F40}"/>
    <cellStyle name="Normal 4 2 5 2 5 2 4" xfId="21199" xr:uid="{5E3A5F91-6FF3-4CC8-8F02-D7ECAB3BDA56}"/>
    <cellStyle name="Normal 4 2 5 2 5 3" xfId="6394" xr:uid="{00000000-0005-0000-0000-0000DC130000}"/>
    <cellStyle name="Normal 4 2 5 2 5 3 2" xfId="14836" xr:uid="{F2CCF031-E03D-4497-8182-3A53F0609283}"/>
    <cellStyle name="Normal 4 2 5 2 5 3 3" xfId="23271" xr:uid="{703395EC-84B5-4846-86AE-27057F0659DB}"/>
    <cellStyle name="Normal 4 2 5 2 5 4" xfId="10618" xr:uid="{E433EC59-58CB-4489-88BB-AEC782A830F6}"/>
    <cellStyle name="Normal 4 2 5 2 5 5" xfId="19054" xr:uid="{97880019-F747-4ED6-8D88-D690CE9BF66E}"/>
    <cellStyle name="Normal 4 2 5 2 6" xfId="2523" xr:uid="{00000000-0005-0000-0000-0000DD130000}"/>
    <cellStyle name="Normal 4 2 5 2 6 2" xfId="6807" xr:uid="{00000000-0005-0000-0000-0000DE130000}"/>
    <cellStyle name="Normal 4 2 5 2 6 2 2" xfId="15249" xr:uid="{8993384A-991E-41AD-9F0C-A0071D82FEF7}"/>
    <cellStyle name="Normal 4 2 5 2 6 2 3" xfId="23684" xr:uid="{57AF686D-A76C-464E-963A-79732D52ED85}"/>
    <cellStyle name="Normal 4 2 5 2 6 3" xfId="11031" xr:uid="{38EAF9B5-0EF2-4E9E-89CD-1FF51D0FC90B}"/>
    <cellStyle name="Normal 4 2 5 2 6 4" xfId="19467" xr:uid="{9D4BE9BD-DBCE-49C2-9588-1D23D107D5C8}"/>
    <cellStyle name="Normal 4 2 5 2 7" xfId="4742" xr:uid="{00000000-0005-0000-0000-0000DF130000}"/>
    <cellStyle name="Normal 4 2 5 2 7 2" xfId="13184" xr:uid="{74FD9664-E3D3-4C1D-90E7-FEB4770D5B2C}"/>
    <cellStyle name="Normal 4 2 5 2 7 3" xfId="21619" xr:uid="{2935FF35-2B47-4A74-96D7-59C0C842D94C}"/>
    <cellStyle name="Normal 4 2 5 2 8" xfId="8966" xr:uid="{6E44FE48-8967-44DA-9F64-18E63BBD92D7}"/>
    <cellStyle name="Normal 4 2 5 2 9" xfId="17402" xr:uid="{15C35F29-56B5-44F6-BDC2-7E346D97E910}"/>
    <cellStyle name="Normal 4 2 5 3" xfId="839" xr:uid="{00000000-0005-0000-0000-0000E0130000}"/>
    <cellStyle name="Normal 4 2 5 3 2" xfId="3076" xr:uid="{00000000-0005-0000-0000-0000E1130000}"/>
    <cellStyle name="Normal 4 2 5 3 2 2" xfId="7299" xr:uid="{00000000-0005-0000-0000-0000E2130000}"/>
    <cellStyle name="Normal 4 2 5 3 2 2 2" xfId="15741" xr:uid="{6500C0D2-72F4-425F-A062-429867618C62}"/>
    <cellStyle name="Normal 4 2 5 3 2 2 3" xfId="24176" xr:uid="{88C36839-FEE6-42C2-9A79-ED464B7EB753}"/>
    <cellStyle name="Normal 4 2 5 3 2 3" xfId="11523" xr:uid="{6A220153-4802-4311-9E90-102FF0C97079}"/>
    <cellStyle name="Normal 4 2 5 3 2 4" xfId="19959" xr:uid="{38A57446-63C9-4DDE-8AC5-DE2D4371E739}"/>
    <cellStyle name="Normal 4 2 5 3 3" xfId="5154" xr:uid="{00000000-0005-0000-0000-0000E3130000}"/>
    <cellStyle name="Normal 4 2 5 3 3 2" xfId="13596" xr:uid="{4F2237C0-6F6C-475B-9F66-98D73962BDAC}"/>
    <cellStyle name="Normal 4 2 5 3 3 3" xfId="22031" xr:uid="{46661FB9-EC7A-45E0-9B17-46F5084F6190}"/>
    <cellStyle name="Normal 4 2 5 3 4" xfId="9378" xr:uid="{21CE7BE4-AA6E-4E0F-A1B2-02796391790F}"/>
    <cellStyle name="Normal 4 2 5 3 5" xfId="17814" xr:uid="{677D37DA-2833-4027-BFAA-6FAF6D10B6DC}"/>
    <cellStyle name="Normal 4 2 5 4" xfId="1259" xr:uid="{00000000-0005-0000-0000-0000E4130000}"/>
    <cellStyle name="Normal 4 2 5 4 2" xfId="3489" xr:uid="{00000000-0005-0000-0000-0000E5130000}"/>
    <cellStyle name="Normal 4 2 5 4 2 2" xfId="7712" xr:uid="{00000000-0005-0000-0000-0000E6130000}"/>
    <cellStyle name="Normal 4 2 5 4 2 2 2" xfId="16154" xr:uid="{6F155C92-9C55-461D-B51E-FC3FEE4886DB}"/>
    <cellStyle name="Normal 4 2 5 4 2 2 3" xfId="24589" xr:uid="{4A95037E-A00C-4173-9C8C-8CFF80AD607A}"/>
    <cellStyle name="Normal 4 2 5 4 2 3" xfId="11936" xr:uid="{B2440415-9B8D-4DEC-9F66-2BE498EC0678}"/>
    <cellStyle name="Normal 4 2 5 4 2 4" xfId="20372" xr:uid="{E08DD3D1-84D2-4B87-867A-8F81E3C66923}"/>
    <cellStyle name="Normal 4 2 5 4 3" xfId="5567" xr:uid="{00000000-0005-0000-0000-0000E7130000}"/>
    <cellStyle name="Normal 4 2 5 4 3 2" xfId="14009" xr:uid="{8AA68E24-820E-45B8-9FF5-E2AB304C12BC}"/>
    <cellStyle name="Normal 4 2 5 4 3 3" xfId="22444" xr:uid="{B4B491F6-B5BC-4444-8DB1-E3A8A430E8DE}"/>
    <cellStyle name="Normal 4 2 5 4 4" xfId="9791" xr:uid="{F23E2E79-F7EC-4DDF-B7E6-941AAF29BE32}"/>
    <cellStyle name="Normal 4 2 5 4 5" xfId="18227" xr:uid="{ED4BE837-9761-4071-99AF-AA28D0C60B61}"/>
    <cellStyle name="Normal 4 2 5 5" xfId="1672" xr:uid="{00000000-0005-0000-0000-0000E8130000}"/>
    <cellStyle name="Normal 4 2 5 5 2" xfId="3902" xr:uid="{00000000-0005-0000-0000-0000E9130000}"/>
    <cellStyle name="Normal 4 2 5 5 2 2" xfId="8125" xr:uid="{00000000-0005-0000-0000-0000EA130000}"/>
    <cellStyle name="Normal 4 2 5 5 2 2 2" xfId="16567" xr:uid="{1A99A6BF-DA06-4123-A940-A248166E3BE9}"/>
    <cellStyle name="Normal 4 2 5 5 2 2 3" xfId="25002" xr:uid="{1F852354-8EFA-4076-84E7-09AF47A6DE7B}"/>
    <cellStyle name="Normal 4 2 5 5 2 3" xfId="12349" xr:uid="{2707C222-037A-4A6C-90FD-F6D06C30484B}"/>
    <cellStyle name="Normal 4 2 5 5 2 4" xfId="20785" xr:uid="{DDE339C8-57D2-4D9D-BFE7-A818FB064C0B}"/>
    <cellStyle name="Normal 4 2 5 5 3" xfId="5980" xr:uid="{00000000-0005-0000-0000-0000EB130000}"/>
    <cellStyle name="Normal 4 2 5 5 3 2" xfId="14422" xr:uid="{0D54F9D9-E9BE-4F48-B9A5-7DC57D9378A3}"/>
    <cellStyle name="Normal 4 2 5 5 3 3" xfId="22857" xr:uid="{ADC3999F-4DA2-471A-AE72-39346CDA44DC}"/>
    <cellStyle name="Normal 4 2 5 5 4" xfId="10204" xr:uid="{B420609D-2969-4F1B-827B-A75C853D3598}"/>
    <cellStyle name="Normal 4 2 5 5 5" xfId="18640" xr:uid="{DC8CF3BE-97EE-4101-B518-B35E13660555}"/>
    <cellStyle name="Normal 4 2 5 6" xfId="2086" xr:uid="{00000000-0005-0000-0000-0000EC130000}"/>
    <cellStyle name="Normal 4 2 5 6 2" xfId="4315" xr:uid="{00000000-0005-0000-0000-0000ED130000}"/>
    <cellStyle name="Normal 4 2 5 6 2 2" xfId="8538" xr:uid="{00000000-0005-0000-0000-0000EE130000}"/>
    <cellStyle name="Normal 4 2 5 6 2 2 2" xfId="16980" xr:uid="{FECE248A-D0A7-418E-8883-8FA0334D188B}"/>
    <cellStyle name="Normal 4 2 5 6 2 2 3" xfId="25415" xr:uid="{61FE023B-EF55-4AEE-995D-BD030235931C}"/>
    <cellStyle name="Normal 4 2 5 6 2 3" xfId="12762" xr:uid="{6B9FEAE3-5E64-42B0-B018-C703FA8E549E}"/>
    <cellStyle name="Normal 4 2 5 6 2 4" xfId="21198" xr:uid="{22A2F858-AD3F-47A5-AE95-AEAEB9040BEB}"/>
    <cellStyle name="Normal 4 2 5 6 3" xfId="6393" xr:uid="{00000000-0005-0000-0000-0000EF130000}"/>
    <cellStyle name="Normal 4 2 5 6 3 2" xfId="14835" xr:uid="{8BD02C10-3F76-4E0D-B7B3-59CA6C2FBCA3}"/>
    <cellStyle name="Normal 4 2 5 6 3 3" xfId="23270" xr:uid="{71BC7672-1FF2-4DE7-ACD7-043561548FEA}"/>
    <cellStyle name="Normal 4 2 5 6 4" xfId="10617" xr:uid="{F9469AC6-BD97-427F-86ED-76186FC53C0B}"/>
    <cellStyle name="Normal 4 2 5 6 5" xfId="19053" xr:uid="{021A0A1B-9F1F-4FD1-B623-DAB67FB6E3F4}"/>
    <cellStyle name="Normal 4 2 5 7" xfId="2522" xr:uid="{00000000-0005-0000-0000-0000F0130000}"/>
    <cellStyle name="Normal 4 2 5 7 2" xfId="6806" xr:uid="{00000000-0005-0000-0000-0000F1130000}"/>
    <cellStyle name="Normal 4 2 5 7 2 2" xfId="15248" xr:uid="{4FAD61E5-B202-49C7-9D62-30E323026821}"/>
    <cellStyle name="Normal 4 2 5 7 2 3" xfId="23683" xr:uid="{A0CE81BE-17A8-4EA4-B980-9C82994A66A5}"/>
    <cellStyle name="Normal 4 2 5 7 3" xfId="11030" xr:uid="{8B755CF0-2DA6-4C56-BA11-FC319A9A8EF1}"/>
    <cellStyle name="Normal 4 2 5 7 4" xfId="19466" xr:uid="{8BB2A2BB-E31D-4F91-8332-5626A62185B3}"/>
    <cellStyle name="Normal 4 2 5 8" xfId="4741" xr:uid="{00000000-0005-0000-0000-0000F2130000}"/>
    <cellStyle name="Normal 4 2 5 8 2" xfId="13183" xr:uid="{C48423A3-B14E-4C0E-84CB-AC51A6D17B87}"/>
    <cellStyle name="Normal 4 2 5 8 3" xfId="21618" xr:uid="{5D39B77D-6C73-405E-BCD7-644A2DC0F19F}"/>
    <cellStyle name="Normal 4 2 5 9" xfId="8965" xr:uid="{63AEE8C0-13F7-446A-A957-353B963AEBB5}"/>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2 2 2" xfId="15743" xr:uid="{E4E6CA25-AEBC-4789-8246-C6AC022191FE}"/>
    <cellStyle name="Normal 4 2 6 2 2 2 3" xfId="24178" xr:uid="{85A95B9B-0607-41D4-B46B-135F00E3A3A8}"/>
    <cellStyle name="Normal 4 2 6 2 2 3" xfId="11525" xr:uid="{60ABECC0-375D-472B-8B3D-21BD83DB2DD2}"/>
    <cellStyle name="Normal 4 2 6 2 2 4" xfId="19961" xr:uid="{6FE8B1BA-7239-4888-B60D-1C3E4F334FE8}"/>
    <cellStyle name="Normal 4 2 6 2 3" xfId="5156" xr:uid="{00000000-0005-0000-0000-0000F7130000}"/>
    <cellStyle name="Normal 4 2 6 2 3 2" xfId="13598" xr:uid="{473747B3-E243-444D-B05F-30E7B951C0DE}"/>
    <cellStyle name="Normal 4 2 6 2 3 3" xfId="22033" xr:uid="{18934CE5-EDF5-41A6-AAA0-C063692A2CFA}"/>
    <cellStyle name="Normal 4 2 6 2 4" xfId="9380" xr:uid="{58BC8A76-90D1-4F72-A79B-E12F00A60649}"/>
    <cellStyle name="Normal 4 2 6 2 5" xfId="17816" xr:uid="{E3D6E4EE-594C-4BA0-A21D-CF0B4222E972}"/>
    <cellStyle name="Normal 4 2 6 3" xfId="1261" xr:uid="{00000000-0005-0000-0000-0000F8130000}"/>
    <cellStyle name="Normal 4 2 6 3 2" xfId="3491" xr:uid="{00000000-0005-0000-0000-0000F9130000}"/>
    <cellStyle name="Normal 4 2 6 3 2 2" xfId="7714" xr:uid="{00000000-0005-0000-0000-0000FA130000}"/>
    <cellStyle name="Normal 4 2 6 3 2 2 2" xfId="16156" xr:uid="{FB9B0881-384C-44CB-9898-C0B804F24679}"/>
    <cellStyle name="Normal 4 2 6 3 2 2 3" xfId="24591" xr:uid="{BFC606F1-EFD6-4747-9363-285DD4D17E7D}"/>
    <cellStyle name="Normal 4 2 6 3 2 3" xfId="11938" xr:uid="{EB76058D-F6FE-408B-B54B-6A6203A6C17C}"/>
    <cellStyle name="Normal 4 2 6 3 2 4" xfId="20374" xr:uid="{AE1C6D89-2824-48E5-BF37-DF9D3B5D3CED}"/>
    <cellStyle name="Normal 4 2 6 3 3" xfId="5569" xr:uid="{00000000-0005-0000-0000-0000FB130000}"/>
    <cellStyle name="Normal 4 2 6 3 3 2" xfId="14011" xr:uid="{97A9E5E5-80B5-4D49-861A-5776E426E613}"/>
    <cellStyle name="Normal 4 2 6 3 3 3" xfId="22446" xr:uid="{747BA816-F6F1-4CCC-A7C8-A5C3653C9DF0}"/>
    <cellStyle name="Normal 4 2 6 3 4" xfId="9793" xr:uid="{97500A29-AE9D-4A22-9EBC-FC2DF73EA18B}"/>
    <cellStyle name="Normal 4 2 6 3 5" xfId="18229" xr:uid="{E2D45A4B-892F-40AB-8DD3-5089BF43B3A4}"/>
    <cellStyle name="Normal 4 2 6 4" xfId="1674" xr:uid="{00000000-0005-0000-0000-0000FC130000}"/>
    <cellStyle name="Normal 4 2 6 4 2" xfId="3904" xr:uid="{00000000-0005-0000-0000-0000FD130000}"/>
    <cellStyle name="Normal 4 2 6 4 2 2" xfId="8127" xr:uid="{00000000-0005-0000-0000-0000FE130000}"/>
    <cellStyle name="Normal 4 2 6 4 2 2 2" xfId="16569" xr:uid="{609B7827-C4FF-4BE9-BA25-B80A5193C008}"/>
    <cellStyle name="Normal 4 2 6 4 2 2 3" xfId="25004" xr:uid="{09F3467A-3B8B-40EF-9F4A-DB092E7F8FF6}"/>
    <cellStyle name="Normal 4 2 6 4 2 3" xfId="12351" xr:uid="{07C8BD2A-1A62-4DB3-9213-27EEB73A5BE2}"/>
    <cellStyle name="Normal 4 2 6 4 2 4" xfId="20787" xr:uid="{90B7322B-9BFD-4026-AE08-C52D837740B5}"/>
    <cellStyle name="Normal 4 2 6 4 3" xfId="5982" xr:uid="{00000000-0005-0000-0000-0000FF130000}"/>
    <cellStyle name="Normal 4 2 6 4 3 2" xfId="14424" xr:uid="{F11596CF-16FD-43FE-8E1D-BD458F4739FB}"/>
    <cellStyle name="Normal 4 2 6 4 3 3" xfId="22859" xr:uid="{688A1621-E84B-48E4-9EFC-48F9EC055BDE}"/>
    <cellStyle name="Normal 4 2 6 4 4" xfId="10206" xr:uid="{8D0FCA57-4324-44FD-8072-C5336575A6B4}"/>
    <cellStyle name="Normal 4 2 6 4 5" xfId="18642" xr:uid="{57E731EF-BFAD-486D-B98A-588948232D57}"/>
    <cellStyle name="Normal 4 2 6 5" xfId="2088" xr:uid="{00000000-0005-0000-0000-000000140000}"/>
    <cellStyle name="Normal 4 2 6 5 2" xfId="4317" xr:uid="{00000000-0005-0000-0000-000001140000}"/>
    <cellStyle name="Normal 4 2 6 5 2 2" xfId="8540" xr:uid="{00000000-0005-0000-0000-000002140000}"/>
    <cellStyle name="Normal 4 2 6 5 2 2 2" xfId="16982" xr:uid="{49C0FAA5-EA61-49E9-BED2-1D6801B18064}"/>
    <cellStyle name="Normal 4 2 6 5 2 2 3" xfId="25417" xr:uid="{60BDA57E-67B8-4EA3-BBE6-652B25AAF032}"/>
    <cellStyle name="Normal 4 2 6 5 2 3" xfId="12764" xr:uid="{13D6DDCA-2CCF-4316-9D84-945614DA46D7}"/>
    <cellStyle name="Normal 4 2 6 5 2 4" xfId="21200" xr:uid="{ADFC9950-476E-45B7-9FF5-7C30BAE31FFA}"/>
    <cellStyle name="Normal 4 2 6 5 3" xfId="6395" xr:uid="{00000000-0005-0000-0000-000003140000}"/>
    <cellStyle name="Normal 4 2 6 5 3 2" xfId="14837" xr:uid="{66A083BE-C952-4FF8-8684-C79D8C53B3CF}"/>
    <cellStyle name="Normal 4 2 6 5 3 3" xfId="23272" xr:uid="{2764EC39-74F4-409E-8703-FFD181A5DCB6}"/>
    <cellStyle name="Normal 4 2 6 5 4" xfId="10619" xr:uid="{085D9DCA-3DB8-4CFD-9DD4-27A6484E10F9}"/>
    <cellStyle name="Normal 4 2 6 5 5" xfId="19055" xr:uid="{10B980B8-EF90-4B91-A937-24B44EC9EACE}"/>
    <cellStyle name="Normal 4 2 6 6" xfId="2524" xr:uid="{00000000-0005-0000-0000-000004140000}"/>
    <cellStyle name="Normal 4 2 6 6 2" xfId="6808" xr:uid="{00000000-0005-0000-0000-000005140000}"/>
    <cellStyle name="Normal 4 2 6 6 2 2" xfId="15250" xr:uid="{DAF5C013-0EA8-4B61-AE79-A7C2C871259F}"/>
    <cellStyle name="Normal 4 2 6 6 2 3" xfId="23685" xr:uid="{035AECDA-F05D-4943-AA95-9109640863F0}"/>
    <cellStyle name="Normal 4 2 6 6 3" xfId="11032" xr:uid="{5CC94F18-01C3-4E06-893F-9362F644DC14}"/>
    <cellStyle name="Normal 4 2 6 6 4" xfId="19468" xr:uid="{6255B9D3-ADED-4CF2-B924-66F9F1C63AA7}"/>
    <cellStyle name="Normal 4 2 6 7" xfId="4743" xr:uid="{00000000-0005-0000-0000-000006140000}"/>
    <cellStyle name="Normal 4 2 6 7 2" xfId="13185" xr:uid="{25F7B3E2-1318-4C93-A8F0-5AEE89117338}"/>
    <cellStyle name="Normal 4 2 6 7 3" xfId="21620" xr:uid="{94CD7A09-6146-441F-AE85-5AC15FA6DFE2}"/>
    <cellStyle name="Normal 4 2 6 8" xfId="8967" xr:uid="{1431F88D-BC9B-4840-8976-76FC2EAF7C2E}"/>
    <cellStyle name="Normal 4 2 6 9" xfId="17403" xr:uid="{3FA45FD0-D8DD-48A7-A9D9-ED0ECB8B558C}"/>
    <cellStyle name="Normal 4 3" xfId="366" xr:uid="{00000000-0005-0000-0000-000007140000}"/>
    <cellStyle name="Normal 4 3 10" xfId="8968" xr:uid="{E1617C02-3A64-4D28-A728-FE0835C002B6}"/>
    <cellStyle name="Normal 4 3 11" xfId="17404" xr:uid="{CD3FB803-14F5-4CA9-AD1F-2EB1D106836E}"/>
    <cellStyle name="Normal 4 3 2" xfId="367" xr:uid="{00000000-0005-0000-0000-000008140000}"/>
    <cellStyle name="Normal 4 3 2 2" xfId="368" xr:uid="{00000000-0005-0000-0000-000009140000}"/>
    <cellStyle name="Normal 4 3 2 2 2" xfId="369" xr:uid="{00000000-0005-0000-0000-00000A140000}"/>
    <cellStyle name="Normal 4 3 2 2 2 10" xfId="8969" xr:uid="{310ED8F4-1BD6-478B-9C53-055F97FA2447}"/>
    <cellStyle name="Normal 4 3 2 2 2 11" xfId="17405" xr:uid="{FBADAD7A-E004-4775-9507-095E1DBEB9D3}"/>
    <cellStyle name="Normal 4 3 2 2 2 2" xfId="370" xr:uid="{00000000-0005-0000-0000-00000B140000}"/>
    <cellStyle name="Normal 4 3 2 2 2 2 10" xfId="17406" xr:uid="{1EE1AE3A-FC37-4CC3-BDFA-A8B78F84E143}"/>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2 2 2" xfId="15747" xr:uid="{1FA5837D-B2ED-4FFA-86FB-7A070F5F85CF}"/>
    <cellStyle name="Normal 4 3 2 2 2 2 2 2 2 2 3" xfId="24182" xr:uid="{AD4B13AC-3B23-4EF5-8F4E-95D9A6D3BF91}"/>
    <cellStyle name="Normal 4 3 2 2 2 2 2 2 2 3" xfId="11529" xr:uid="{23587D35-9FA6-4764-8D9A-553F6B4B6C4C}"/>
    <cellStyle name="Normal 4 3 2 2 2 2 2 2 2 4" xfId="19965" xr:uid="{CC75A323-C8CD-4707-9927-616E1DF18434}"/>
    <cellStyle name="Normal 4 3 2 2 2 2 2 2 3" xfId="5160" xr:uid="{00000000-0005-0000-0000-000010140000}"/>
    <cellStyle name="Normal 4 3 2 2 2 2 2 2 3 2" xfId="13602" xr:uid="{0B777550-3428-434B-B629-86930F6C9479}"/>
    <cellStyle name="Normal 4 3 2 2 2 2 2 2 3 3" xfId="22037" xr:uid="{E9168380-AAB6-494D-8892-C5644BF81CB8}"/>
    <cellStyle name="Normal 4 3 2 2 2 2 2 2 4" xfId="9384" xr:uid="{3D087E52-6282-47F9-A7F2-8304E7033CAF}"/>
    <cellStyle name="Normal 4 3 2 2 2 2 2 2 5" xfId="17820" xr:uid="{AE64A8E9-8A9B-4536-AB0D-4E77E99D0946}"/>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2 2 2" xfId="16160" xr:uid="{1A5E7A7F-2EBD-4145-AFB3-52F747C14C85}"/>
    <cellStyle name="Normal 4 3 2 2 2 2 2 3 2 2 3" xfId="24595" xr:uid="{F734188E-BCB7-4552-A99C-3CE11FEB1178}"/>
    <cellStyle name="Normal 4 3 2 2 2 2 2 3 2 3" xfId="11942" xr:uid="{9C5F6D75-F2D1-4CBA-B9E9-DE91DEFE7857}"/>
    <cellStyle name="Normal 4 3 2 2 2 2 2 3 2 4" xfId="20378" xr:uid="{B1DD5FEA-A711-4658-9976-044CC2B4D8B4}"/>
    <cellStyle name="Normal 4 3 2 2 2 2 2 3 3" xfId="5573" xr:uid="{00000000-0005-0000-0000-000014140000}"/>
    <cellStyle name="Normal 4 3 2 2 2 2 2 3 3 2" xfId="14015" xr:uid="{F73C0494-B15C-43C8-B3CC-4F9C583AF739}"/>
    <cellStyle name="Normal 4 3 2 2 2 2 2 3 3 3" xfId="22450" xr:uid="{4CCB5855-81CD-4639-BB95-263626A2055F}"/>
    <cellStyle name="Normal 4 3 2 2 2 2 2 3 4" xfId="9797" xr:uid="{9B003196-B4B0-4FE5-B8EB-927133B60A64}"/>
    <cellStyle name="Normal 4 3 2 2 2 2 2 3 5" xfId="18233" xr:uid="{E93F4251-2201-49E8-AAC3-26643245CD63}"/>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2 2 2" xfId="16573" xr:uid="{AE39E922-75FB-4CB3-8A67-0FD80C8A608C}"/>
    <cellStyle name="Normal 4 3 2 2 2 2 2 4 2 2 3" xfId="25008" xr:uid="{D7355B57-D89B-434F-A189-9B30716593B2}"/>
    <cellStyle name="Normal 4 3 2 2 2 2 2 4 2 3" xfId="12355" xr:uid="{5F1FB82C-A1BB-4152-B7E7-1576D9116083}"/>
    <cellStyle name="Normal 4 3 2 2 2 2 2 4 2 4" xfId="20791" xr:uid="{19E2C66D-654B-48F4-AA59-4FF798D702BE}"/>
    <cellStyle name="Normal 4 3 2 2 2 2 2 4 3" xfId="5986" xr:uid="{00000000-0005-0000-0000-000018140000}"/>
    <cellStyle name="Normal 4 3 2 2 2 2 2 4 3 2" xfId="14428" xr:uid="{CECFBB33-0DE0-4093-B19F-2ADCED05DE70}"/>
    <cellStyle name="Normal 4 3 2 2 2 2 2 4 3 3" xfId="22863" xr:uid="{4A7E63A6-6901-4213-AF80-0A53211F1DEB}"/>
    <cellStyle name="Normal 4 3 2 2 2 2 2 4 4" xfId="10210" xr:uid="{40492C82-CDD7-49C6-AE1D-7913D8A21107}"/>
    <cellStyle name="Normal 4 3 2 2 2 2 2 4 5" xfId="18646" xr:uid="{A3A1B577-97D9-48AC-8D79-0876C270BB42}"/>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2 2 2" xfId="16986" xr:uid="{8A6F7B1A-AE65-41A9-BD23-E6D6F2CA4E5C}"/>
    <cellStyle name="Normal 4 3 2 2 2 2 2 5 2 2 3" xfId="25421" xr:uid="{9E1ECBFD-CF39-41B3-A346-5661EADAA4D3}"/>
    <cellStyle name="Normal 4 3 2 2 2 2 2 5 2 3" xfId="12768" xr:uid="{F2F05AC7-09AB-49AE-BA59-E5CD5ED0ADF6}"/>
    <cellStyle name="Normal 4 3 2 2 2 2 2 5 2 4" xfId="21204" xr:uid="{E4C194CF-66D3-4EF3-BA2A-892D600BF95F}"/>
    <cellStyle name="Normal 4 3 2 2 2 2 2 5 3" xfId="6399" xr:uid="{00000000-0005-0000-0000-00001C140000}"/>
    <cellStyle name="Normal 4 3 2 2 2 2 2 5 3 2" xfId="14841" xr:uid="{D5151578-8CF7-48BF-B570-CF3ADB572E76}"/>
    <cellStyle name="Normal 4 3 2 2 2 2 2 5 3 3" xfId="23276" xr:uid="{19DAFF2A-5D3B-41C6-8355-939FAD380E9E}"/>
    <cellStyle name="Normal 4 3 2 2 2 2 2 5 4" xfId="10623" xr:uid="{91F3A504-8035-419D-A97E-23C4C25CD148}"/>
    <cellStyle name="Normal 4 3 2 2 2 2 2 5 5" xfId="19059" xr:uid="{816FD299-88F5-4E00-B46A-C3D099D4C87D}"/>
    <cellStyle name="Normal 4 3 2 2 2 2 2 6" xfId="2528" xr:uid="{00000000-0005-0000-0000-00001D140000}"/>
    <cellStyle name="Normal 4 3 2 2 2 2 2 6 2" xfId="6812" xr:uid="{00000000-0005-0000-0000-00001E140000}"/>
    <cellStyle name="Normal 4 3 2 2 2 2 2 6 2 2" xfId="15254" xr:uid="{6816D068-63F9-4ADE-8E25-8F33FF63E0F8}"/>
    <cellStyle name="Normal 4 3 2 2 2 2 2 6 2 3" xfId="23689" xr:uid="{272A1904-7F80-41FA-A16F-2824ACDB3E69}"/>
    <cellStyle name="Normal 4 3 2 2 2 2 2 6 3" xfId="11036" xr:uid="{59C3D691-37AD-40E8-9203-C8104A85DD0F}"/>
    <cellStyle name="Normal 4 3 2 2 2 2 2 6 4" xfId="19472" xr:uid="{29490A03-0979-4CBD-8D73-0B06D3540A86}"/>
    <cellStyle name="Normal 4 3 2 2 2 2 2 7" xfId="4747" xr:uid="{00000000-0005-0000-0000-00001F140000}"/>
    <cellStyle name="Normal 4 3 2 2 2 2 2 7 2" xfId="13189" xr:uid="{2FF51BE6-B4F3-41DA-BC77-6AFC311F5650}"/>
    <cellStyle name="Normal 4 3 2 2 2 2 2 7 3" xfId="21624" xr:uid="{492B8CCD-5C4A-4674-925D-87A704B05B2E}"/>
    <cellStyle name="Normal 4 3 2 2 2 2 2 8" xfId="8971" xr:uid="{88764193-6F01-44E8-A7E0-B0B1D56E60F1}"/>
    <cellStyle name="Normal 4 3 2 2 2 2 2 9" xfId="17407" xr:uid="{EDB19338-1F2A-42C1-A2EF-F179751BD7B7}"/>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2 2 2" xfId="15746" xr:uid="{F5E2280E-BF8B-4AFE-A081-8434F5DA918B}"/>
    <cellStyle name="Normal 4 3 2 2 2 2 3 2 2 3" xfId="24181" xr:uid="{CC91242F-D698-4810-B5D1-347332C14951}"/>
    <cellStyle name="Normal 4 3 2 2 2 2 3 2 3" xfId="11528" xr:uid="{095FE584-0993-486B-A1F9-C7DF97E6633B}"/>
    <cellStyle name="Normal 4 3 2 2 2 2 3 2 4" xfId="19964" xr:uid="{E5F43373-8E0B-45DA-BF24-3EFF5BE137E7}"/>
    <cellStyle name="Normal 4 3 2 2 2 2 3 3" xfId="5159" xr:uid="{00000000-0005-0000-0000-000023140000}"/>
    <cellStyle name="Normal 4 3 2 2 2 2 3 3 2" xfId="13601" xr:uid="{8FFB4BB6-4BA8-41EA-A533-A1046664876F}"/>
    <cellStyle name="Normal 4 3 2 2 2 2 3 3 3" xfId="22036" xr:uid="{164A1280-0261-4CD0-8F0A-84FF80880975}"/>
    <cellStyle name="Normal 4 3 2 2 2 2 3 4" xfId="9383" xr:uid="{754D8941-C08E-40FB-A741-85F44B62618D}"/>
    <cellStyle name="Normal 4 3 2 2 2 2 3 5" xfId="17819" xr:uid="{DCB355BD-4779-4BC2-B1EF-197917B85BEA}"/>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2 2 2" xfId="16159" xr:uid="{A4504E36-05E7-48ED-BE38-E02743AC2926}"/>
    <cellStyle name="Normal 4 3 2 2 2 2 4 2 2 3" xfId="24594" xr:uid="{C9E93F9E-5B1B-4597-9D0A-3077D8B57E87}"/>
    <cellStyle name="Normal 4 3 2 2 2 2 4 2 3" xfId="11941" xr:uid="{F4E4D907-B008-44C1-B5DB-C756FE1D50AE}"/>
    <cellStyle name="Normal 4 3 2 2 2 2 4 2 4" xfId="20377" xr:uid="{F1750C4E-D7A4-4730-A07F-0C189F838A21}"/>
    <cellStyle name="Normal 4 3 2 2 2 2 4 3" xfId="5572" xr:uid="{00000000-0005-0000-0000-000027140000}"/>
    <cellStyle name="Normal 4 3 2 2 2 2 4 3 2" xfId="14014" xr:uid="{50D47D09-B5EC-4772-B9E1-44CCA9D5B362}"/>
    <cellStyle name="Normal 4 3 2 2 2 2 4 3 3" xfId="22449" xr:uid="{12B97A3D-0E66-470C-90FE-5B307A8572E8}"/>
    <cellStyle name="Normal 4 3 2 2 2 2 4 4" xfId="9796" xr:uid="{1D92CEF8-BB2D-4B38-A60F-BCFD42F1C8BC}"/>
    <cellStyle name="Normal 4 3 2 2 2 2 4 5" xfId="18232" xr:uid="{937C8221-0B53-426B-AA7B-792505715C0A}"/>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2 2 2" xfId="16572" xr:uid="{AEA4BCA8-A3F7-4B11-A238-19273EFA2CF0}"/>
    <cellStyle name="Normal 4 3 2 2 2 2 5 2 2 3" xfId="25007" xr:uid="{069328E5-A0E4-4893-9299-7FE93B11B7C9}"/>
    <cellStyle name="Normal 4 3 2 2 2 2 5 2 3" xfId="12354" xr:uid="{E72C0BCE-97DD-4B78-BEF3-CEFAB6063B0D}"/>
    <cellStyle name="Normal 4 3 2 2 2 2 5 2 4" xfId="20790" xr:uid="{1D55E348-85D3-4019-959A-DCF91BF83671}"/>
    <cellStyle name="Normal 4 3 2 2 2 2 5 3" xfId="5985" xr:uid="{00000000-0005-0000-0000-00002B140000}"/>
    <cellStyle name="Normal 4 3 2 2 2 2 5 3 2" xfId="14427" xr:uid="{155D3C25-FF45-4A46-8037-55D0645EDD5C}"/>
    <cellStyle name="Normal 4 3 2 2 2 2 5 3 3" xfId="22862" xr:uid="{3C2047B3-0467-4C44-AB9B-29194EF6DB96}"/>
    <cellStyle name="Normal 4 3 2 2 2 2 5 4" xfId="10209" xr:uid="{57BC1EB2-A9CD-4641-8170-0F57933287C0}"/>
    <cellStyle name="Normal 4 3 2 2 2 2 5 5" xfId="18645" xr:uid="{4FEF81FA-9602-44B3-95AC-ED1CB267CD55}"/>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2 2 2" xfId="16985" xr:uid="{4ACD4CD6-A3E8-4ABC-B635-415422033080}"/>
    <cellStyle name="Normal 4 3 2 2 2 2 6 2 2 3" xfId="25420" xr:uid="{4033B8E7-D357-41E2-8517-A81B47F54B86}"/>
    <cellStyle name="Normal 4 3 2 2 2 2 6 2 3" xfId="12767" xr:uid="{EF1EC231-8422-4BD3-8A0B-940D0F971892}"/>
    <cellStyle name="Normal 4 3 2 2 2 2 6 2 4" xfId="21203" xr:uid="{DD89668F-E9EA-4733-B0D7-52011A93E3B4}"/>
    <cellStyle name="Normal 4 3 2 2 2 2 6 3" xfId="6398" xr:uid="{00000000-0005-0000-0000-00002F140000}"/>
    <cellStyle name="Normal 4 3 2 2 2 2 6 3 2" xfId="14840" xr:uid="{AA29B5AE-93F9-4537-A556-54A1D41DE667}"/>
    <cellStyle name="Normal 4 3 2 2 2 2 6 3 3" xfId="23275" xr:uid="{A0E85888-AC74-4EE3-A2A2-83FC5F3F8F93}"/>
    <cellStyle name="Normal 4 3 2 2 2 2 6 4" xfId="10622" xr:uid="{457C6B4C-EEDE-434C-AC26-BAC51755FDEE}"/>
    <cellStyle name="Normal 4 3 2 2 2 2 6 5" xfId="19058" xr:uid="{674EB2F4-B8C3-4AEC-9AAB-D8FB9AB86D95}"/>
    <cellStyle name="Normal 4 3 2 2 2 2 7" xfId="2527" xr:uid="{00000000-0005-0000-0000-000030140000}"/>
    <cellStyle name="Normal 4 3 2 2 2 2 7 2" xfId="6811" xr:uid="{00000000-0005-0000-0000-000031140000}"/>
    <cellStyle name="Normal 4 3 2 2 2 2 7 2 2" xfId="15253" xr:uid="{6CCFEE99-5024-4CDC-87F5-2A55539B9419}"/>
    <cellStyle name="Normal 4 3 2 2 2 2 7 2 3" xfId="23688" xr:uid="{1932D596-6E3E-4653-85B7-64B4FEA89585}"/>
    <cellStyle name="Normal 4 3 2 2 2 2 7 3" xfId="11035" xr:uid="{7D11CD84-9214-4F32-B1A6-A69453749A44}"/>
    <cellStyle name="Normal 4 3 2 2 2 2 7 4" xfId="19471" xr:uid="{8613BB12-B0FD-46E2-B55D-9C22658CBDD9}"/>
    <cellStyle name="Normal 4 3 2 2 2 2 8" xfId="4746" xr:uid="{00000000-0005-0000-0000-000032140000}"/>
    <cellStyle name="Normal 4 3 2 2 2 2 8 2" xfId="13188" xr:uid="{8661A119-E301-463A-AABD-5A21CEA7E217}"/>
    <cellStyle name="Normal 4 3 2 2 2 2 8 3" xfId="21623" xr:uid="{956D4294-407F-4056-8CA4-EE30E024EA98}"/>
    <cellStyle name="Normal 4 3 2 2 2 2 9" xfId="8970" xr:uid="{E2241277-A457-4A84-B196-A7B722367EF6}"/>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2 2 2" xfId="15748" xr:uid="{0ED34841-C4C2-4166-B8ED-B0F8DC852FC2}"/>
    <cellStyle name="Normal 4 3 2 2 2 3 2 2 2 3" xfId="24183" xr:uid="{09EA756A-3B82-4F75-9F2C-7EC232F1F990}"/>
    <cellStyle name="Normal 4 3 2 2 2 3 2 2 3" xfId="11530" xr:uid="{39AE0B08-19DA-44A0-8BD4-39F67A8C17E6}"/>
    <cellStyle name="Normal 4 3 2 2 2 3 2 2 4" xfId="19966" xr:uid="{5E8FAA2F-8A22-44E9-B6AD-1407A0DCA445}"/>
    <cellStyle name="Normal 4 3 2 2 2 3 2 3" xfId="5161" xr:uid="{00000000-0005-0000-0000-000037140000}"/>
    <cellStyle name="Normal 4 3 2 2 2 3 2 3 2" xfId="13603" xr:uid="{CA6C2301-B95F-4390-9DB0-F2FFB8A24D7B}"/>
    <cellStyle name="Normal 4 3 2 2 2 3 2 3 3" xfId="22038" xr:uid="{446C6A39-3BFC-484E-A13B-5EEBBED7B94F}"/>
    <cellStyle name="Normal 4 3 2 2 2 3 2 4" xfId="9385" xr:uid="{26D6BF11-F474-4E70-B18C-CB04B3C43259}"/>
    <cellStyle name="Normal 4 3 2 2 2 3 2 5" xfId="17821" xr:uid="{D20333D1-44CF-4D30-9582-1EF07A6E1804}"/>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2 2 2" xfId="16161" xr:uid="{4D401BFB-8E34-42C5-9442-D240C2709A49}"/>
    <cellStyle name="Normal 4 3 2 2 2 3 3 2 2 3" xfId="24596" xr:uid="{4745A206-82FC-4038-BCA7-E6903EBCCAC8}"/>
    <cellStyle name="Normal 4 3 2 2 2 3 3 2 3" xfId="11943" xr:uid="{D8F7CAC4-A27B-4E0A-B432-945B005B4293}"/>
    <cellStyle name="Normal 4 3 2 2 2 3 3 2 4" xfId="20379" xr:uid="{6AF3FFFB-0954-428B-93E3-77304E1DFA40}"/>
    <cellStyle name="Normal 4 3 2 2 2 3 3 3" xfId="5574" xr:uid="{00000000-0005-0000-0000-00003B140000}"/>
    <cellStyle name="Normal 4 3 2 2 2 3 3 3 2" xfId="14016" xr:uid="{8590C280-F078-4E95-A709-267D73E47DFD}"/>
    <cellStyle name="Normal 4 3 2 2 2 3 3 3 3" xfId="22451" xr:uid="{F5442CD3-6627-488E-A166-9D6F43F6CCFA}"/>
    <cellStyle name="Normal 4 3 2 2 2 3 3 4" xfId="9798" xr:uid="{6DC46E50-AA00-4A85-9AC0-E00362CF5D3B}"/>
    <cellStyle name="Normal 4 3 2 2 2 3 3 5" xfId="18234" xr:uid="{00467A27-9D80-4667-A9BD-BD10BBD951C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2 2 2" xfId="16574" xr:uid="{65254077-3C3D-4FD4-B225-593474899004}"/>
    <cellStyle name="Normal 4 3 2 2 2 3 4 2 2 3" xfId="25009" xr:uid="{257B6274-08D9-497B-9C6B-7E78FAA74A1A}"/>
    <cellStyle name="Normal 4 3 2 2 2 3 4 2 3" xfId="12356" xr:uid="{67122F2A-5ED7-46E0-BEF6-74452339CEA4}"/>
    <cellStyle name="Normal 4 3 2 2 2 3 4 2 4" xfId="20792" xr:uid="{41D3AF61-DEC3-46E3-B645-C87896AC0748}"/>
    <cellStyle name="Normal 4 3 2 2 2 3 4 3" xfId="5987" xr:uid="{00000000-0005-0000-0000-00003F140000}"/>
    <cellStyle name="Normal 4 3 2 2 2 3 4 3 2" xfId="14429" xr:uid="{78CCE1EE-E6DC-48B8-9CAE-A20DC3618ECC}"/>
    <cellStyle name="Normal 4 3 2 2 2 3 4 3 3" xfId="22864" xr:uid="{6745DE2C-B4D0-4215-A244-A06543F83E52}"/>
    <cellStyle name="Normal 4 3 2 2 2 3 4 4" xfId="10211" xr:uid="{7729C481-F8BA-45B1-AE76-113CA7CD69C2}"/>
    <cellStyle name="Normal 4 3 2 2 2 3 4 5" xfId="18647" xr:uid="{E3177589-21BB-40A6-8EF0-DFFC809A9D91}"/>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2 2 2" xfId="16987" xr:uid="{1F843233-B043-4B3B-A238-D2B405F721C9}"/>
    <cellStyle name="Normal 4 3 2 2 2 3 5 2 2 3" xfId="25422" xr:uid="{CA4F06B4-B8EB-4A17-B785-086AE3BD3490}"/>
    <cellStyle name="Normal 4 3 2 2 2 3 5 2 3" xfId="12769" xr:uid="{DAB270E6-8AAF-4E79-8C70-6BFCC7B6C4C8}"/>
    <cellStyle name="Normal 4 3 2 2 2 3 5 2 4" xfId="21205" xr:uid="{B65E3A14-2EDE-4014-A9BE-996831359772}"/>
    <cellStyle name="Normal 4 3 2 2 2 3 5 3" xfId="6400" xr:uid="{00000000-0005-0000-0000-000043140000}"/>
    <cellStyle name="Normal 4 3 2 2 2 3 5 3 2" xfId="14842" xr:uid="{0587E0C0-2455-4FBF-9836-157A26E2591E}"/>
    <cellStyle name="Normal 4 3 2 2 2 3 5 3 3" xfId="23277" xr:uid="{AB5305FB-FCA4-4B73-A91D-4024E75F400C}"/>
    <cellStyle name="Normal 4 3 2 2 2 3 5 4" xfId="10624" xr:uid="{E37790CE-D8A6-43DA-BDDD-672B31EE4083}"/>
    <cellStyle name="Normal 4 3 2 2 2 3 5 5" xfId="19060" xr:uid="{5448AE1E-3FA3-4968-9B40-4DF7128603E9}"/>
    <cellStyle name="Normal 4 3 2 2 2 3 6" xfId="2529" xr:uid="{00000000-0005-0000-0000-000044140000}"/>
    <cellStyle name="Normal 4 3 2 2 2 3 6 2" xfId="6813" xr:uid="{00000000-0005-0000-0000-000045140000}"/>
    <cellStyle name="Normal 4 3 2 2 2 3 6 2 2" xfId="15255" xr:uid="{9CFCE9C6-2430-48F7-A802-CC226FCE4440}"/>
    <cellStyle name="Normal 4 3 2 2 2 3 6 2 3" xfId="23690" xr:uid="{4D202113-F57C-4C66-87B4-F9DEE9DD4771}"/>
    <cellStyle name="Normal 4 3 2 2 2 3 6 3" xfId="11037" xr:uid="{1BB77CD1-362E-4B60-BF92-004C1E3EC5E4}"/>
    <cellStyle name="Normal 4 3 2 2 2 3 6 4" xfId="19473" xr:uid="{F518976D-F126-46CA-A301-3235EFA236B3}"/>
    <cellStyle name="Normal 4 3 2 2 2 3 7" xfId="4748" xr:uid="{00000000-0005-0000-0000-000046140000}"/>
    <cellStyle name="Normal 4 3 2 2 2 3 7 2" xfId="13190" xr:uid="{5042023F-5444-4174-93C3-595CD749F4EB}"/>
    <cellStyle name="Normal 4 3 2 2 2 3 7 3" xfId="21625" xr:uid="{ADAD2C41-DFB5-4D06-B343-36C5BB89BB29}"/>
    <cellStyle name="Normal 4 3 2 2 2 3 8" xfId="8972" xr:uid="{3B2CEBBF-8216-43AD-ABDF-275377410D44}"/>
    <cellStyle name="Normal 4 3 2 2 2 3 9" xfId="17408" xr:uid="{A167E31B-7BA3-4A69-90D8-37E33A857028}"/>
    <cellStyle name="Normal 4 3 2 2 2 4" xfId="844" xr:uid="{00000000-0005-0000-0000-000047140000}"/>
    <cellStyle name="Normal 4 3 2 2 2 4 2" xfId="3080" xr:uid="{00000000-0005-0000-0000-000048140000}"/>
    <cellStyle name="Normal 4 3 2 2 2 4 2 2" xfId="7303" xr:uid="{00000000-0005-0000-0000-000049140000}"/>
    <cellStyle name="Normal 4 3 2 2 2 4 2 2 2" xfId="15745" xr:uid="{B45877C5-DA9C-46B7-8A60-87C2F9B76D24}"/>
    <cellStyle name="Normal 4 3 2 2 2 4 2 2 3" xfId="24180" xr:uid="{A19ECDBB-AA86-4C53-81B3-033E3A5CD156}"/>
    <cellStyle name="Normal 4 3 2 2 2 4 2 3" xfId="11527" xr:uid="{B64BB940-7EC8-4898-AF6F-20D489DA4261}"/>
    <cellStyle name="Normal 4 3 2 2 2 4 2 4" xfId="19963" xr:uid="{C73A9E30-957F-4A67-A5F1-9A9B546A18E3}"/>
    <cellStyle name="Normal 4 3 2 2 2 4 3" xfId="5158" xr:uid="{00000000-0005-0000-0000-00004A140000}"/>
    <cellStyle name="Normal 4 3 2 2 2 4 3 2" xfId="13600" xr:uid="{3D2D343B-1739-4716-96DB-98FC9D975E39}"/>
    <cellStyle name="Normal 4 3 2 2 2 4 3 3" xfId="22035" xr:uid="{BB4BBEDD-5AD4-44EB-87F3-EDF04DA645D7}"/>
    <cellStyle name="Normal 4 3 2 2 2 4 4" xfId="9382" xr:uid="{2EF55CD1-F50C-4B4A-846E-751B9D179E5B}"/>
    <cellStyle name="Normal 4 3 2 2 2 4 5" xfId="17818" xr:uid="{A4082A49-10F9-4DD5-ADAC-F6D3C3B3988E}"/>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2 2 2" xfId="16158" xr:uid="{4780A14B-35D9-4F7F-9E2C-E3CEC8E8F913}"/>
    <cellStyle name="Normal 4 3 2 2 2 5 2 2 3" xfId="24593" xr:uid="{41F82E13-B714-4D5E-AD11-20D6B1D847AA}"/>
    <cellStyle name="Normal 4 3 2 2 2 5 2 3" xfId="11940" xr:uid="{4453CAA3-F044-406F-BC0C-C76F5DAA64E1}"/>
    <cellStyle name="Normal 4 3 2 2 2 5 2 4" xfId="20376" xr:uid="{452EEE9D-4641-47F9-873A-C640935BDAC4}"/>
    <cellStyle name="Normal 4 3 2 2 2 5 3" xfId="5571" xr:uid="{00000000-0005-0000-0000-00004E140000}"/>
    <cellStyle name="Normal 4 3 2 2 2 5 3 2" xfId="14013" xr:uid="{43A9835B-A939-4BCE-9537-9369EC662A19}"/>
    <cellStyle name="Normal 4 3 2 2 2 5 3 3" xfId="22448" xr:uid="{9A4C52B9-20B0-4615-ACC0-CE0B731E07A8}"/>
    <cellStyle name="Normal 4 3 2 2 2 5 4" xfId="9795" xr:uid="{8EAD858B-1DE3-476D-849E-5F622DCED0A7}"/>
    <cellStyle name="Normal 4 3 2 2 2 5 5" xfId="18231" xr:uid="{E04C6583-5981-4591-A610-0E04A5F356D3}"/>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2 2 2" xfId="16571" xr:uid="{9905ACF6-3DDE-4E81-8FE4-DB60A5A3A7DF}"/>
    <cellStyle name="Normal 4 3 2 2 2 6 2 2 3" xfId="25006" xr:uid="{72360C5B-5631-446D-A0FE-0DE6B8DC0558}"/>
    <cellStyle name="Normal 4 3 2 2 2 6 2 3" xfId="12353" xr:uid="{1A8D8CBF-A980-4337-9C6A-D15DFE7B6D8F}"/>
    <cellStyle name="Normal 4 3 2 2 2 6 2 4" xfId="20789" xr:uid="{79BEA489-D0BF-4A72-B816-10D498E4D0E4}"/>
    <cellStyle name="Normal 4 3 2 2 2 6 3" xfId="5984" xr:uid="{00000000-0005-0000-0000-000052140000}"/>
    <cellStyle name="Normal 4 3 2 2 2 6 3 2" xfId="14426" xr:uid="{731593BA-0965-40BC-9C49-CAEE52F44F81}"/>
    <cellStyle name="Normal 4 3 2 2 2 6 3 3" xfId="22861" xr:uid="{BD24B0CB-CF9B-41EC-9BA5-9F079F6B8C76}"/>
    <cellStyle name="Normal 4 3 2 2 2 6 4" xfId="10208" xr:uid="{EA5C3FFC-9C5D-40A7-965B-4A19916DEC1F}"/>
    <cellStyle name="Normal 4 3 2 2 2 6 5" xfId="18644" xr:uid="{50E5DF11-D16E-4997-BC9D-9BA8A3F75B14}"/>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2 2 2" xfId="16984" xr:uid="{CC3F0CE0-A3ED-4412-A6FC-19F5B1ABCBE0}"/>
    <cellStyle name="Normal 4 3 2 2 2 7 2 2 3" xfId="25419" xr:uid="{B4C70F2D-0C95-43EB-AEBD-4C227E7E6F8E}"/>
    <cellStyle name="Normal 4 3 2 2 2 7 2 3" xfId="12766" xr:uid="{B7BDDF85-E5EE-4216-9EFC-4A2A9D853B7D}"/>
    <cellStyle name="Normal 4 3 2 2 2 7 2 4" xfId="21202" xr:uid="{0DDF36CB-2DB6-4BDF-B4AB-0C1ADB083210}"/>
    <cellStyle name="Normal 4 3 2 2 2 7 3" xfId="6397" xr:uid="{00000000-0005-0000-0000-000056140000}"/>
    <cellStyle name="Normal 4 3 2 2 2 7 3 2" xfId="14839" xr:uid="{811FABAF-998A-446B-AB48-16D81C579DF7}"/>
    <cellStyle name="Normal 4 3 2 2 2 7 3 3" xfId="23274" xr:uid="{E5FE2803-75B8-41D5-97E2-9BC5A12EDDAE}"/>
    <cellStyle name="Normal 4 3 2 2 2 7 4" xfId="10621" xr:uid="{8B326517-83A9-4824-98DB-AF1C12921C12}"/>
    <cellStyle name="Normal 4 3 2 2 2 7 5" xfId="19057" xr:uid="{855BBC94-C748-4F1A-A4BA-98616DFBC70F}"/>
    <cellStyle name="Normal 4 3 2 2 2 8" xfId="2526" xr:uid="{00000000-0005-0000-0000-000057140000}"/>
    <cellStyle name="Normal 4 3 2 2 2 8 2" xfId="6810" xr:uid="{00000000-0005-0000-0000-000058140000}"/>
    <cellStyle name="Normal 4 3 2 2 2 8 2 2" xfId="15252" xr:uid="{198A27C1-73AB-4443-8A96-B43285C8AD36}"/>
    <cellStyle name="Normal 4 3 2 2 2 8 2 3" xfId="23687" xr:uid="{B55E4FCE-3990-4C88-911B-1E7511B75C90}"/>
    <cellStyle name="Normal 4 3 2 2 2 8 3" xfId="11034" xr:uid="{27E6397A-9104-455C-A30E-F9E6C67256B9}"/>
    <cellStyle name="Normal 4 3 2 2 2 8 4" xfId="19470" xr:uid="{68855C19-CC6B-44B1-9406-E68124D1AD8C}"/>
    <cellStyle name="Normal 4 3 2 2 2 9" xfId="4745" xr:uid="{00000000-0005-0000-0000-000059140000}"/>
    <cellStyle name="Normal 4 3 2 2 2 9 2" xfId="13187" xr:uid="{A58AD41E-E075-4261-BA26-E0F3976D9BE1}"/>
    <cellStyle name="Normal 4 3 2 2 2 9 3" xfId="21622" xr:uid="{E4295BB0-8DAA-4B45-97CC-0182902FF5CA}"/>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973" xr:uid="{17A73558-4271-42CE-BEA1-24EB79D2D2B9}"/>
    <cellStyle name="Normal 4 3 3 11" xfId="17409" xr:uid="{2A1719A4-8D67-4597-B23E-92A879C333CF}"/>
    <cellStyle name="Normal 4 3 3 2" xfId="375" xr:uid="{00000000-0005-0000-0000-00005E140000}"/>
    <cellStyle name="Normal 4 3 3 2 10" xfId="17410" xr:uid="{82FA91CC-3BB2-46E5-AF62-959C7FCE279D}"/>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2 2 2" xfId="15751" xr:uid="{67EC8B9E-2829-4CC2-ADF6-7D97B0F5C77A}"/>
    <cellStyle name="Normal 4 3 3 2 2 2 2 2 3" xfId="24186" xr:uid="{92D9D80A-E5C3-4396-801E-89A68D00444E}"/>
    <cellStyle name="Normal 4 3 3 2 2 2 2 3" xfId="11533" xr:uid="{BB884809-2A2A-4B53-9D15-052FB02DA3B5}"/>
    <cellStyle name="Normal 4 3 3 2 2 2 2 4" xfId="19969" xr:uid="{273E88CF-9B66-4647-8590-632F7D01A6CF}"/>
    <cellStyle name="Normal 4 3 3 2 2 2 3" xfId="5164" xr:uid="{00000000-0005-0000-0000-000063140000}"/>
    <cellStyle name="Normal 4 3 3 2 2 2 3 2" xfId="13606" xr:uid="{EEBFB37B-A727-472E-971D-45B639A49182}"/>
    <cellStyle name="Normal 4 3 3 2 2 2 3 3" xfId="22041" xr:uid="{4BB54112-DB24-4BC5-A7F9-1DDC5B009D21}"/>
    <cellStyle name="Normal 4 3 3 2 2 2 4" xfId="9388" xr:uid="{3DD45C04-B77D-4F7B-9265-37DB3F4ECBB2}"/>
    <cellStyle name="Normal 4 3 3 2 2 2 5" xfId="17824" xr:uid="{9AACFDC7-1AA1-4B91-B979-C835F4E7A37A}"/>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2 2 2" xfId="16164" xr:uid="{A01EB562-1403-49D9-BFD1-DF8D85089897}"/>
    <cellStyle name="Normal 4 3 3 2 2 3 2 2 3" xfId="24599" xr:uid="{F69ADF1F-7A07-4166-BB0E-6B584A7189C5}"/>
    <cellStyle name="Normal 4 3 3 2 2 3 2 3" xfId="11946" xr:uid="{B9382BB2-FB04-446C-86ED-BA6A52CE47E2}"/>
    <cellStyle name="Normal 4 3 3 2 2 3 2 4" xfId="20382" xr:uid="{04583BBD-0440-4E35-885F-5F2DF21E408B}"/>
    <cellStyle name="Normal 4 3 3 2 2 3 3" xfId="5577" xr:uid="{00000000-0005-0000-0000-000067140000}"/>
    <cellStyle name="Normal 4 3 3 2 2 3 3 2" xfId="14019" xr:uid="{9B5BCBD6-BFCD-4B7F-8453-F2586C6F5137}"/>
    <cellStyle name="Normal 4 3 3 2 2 3 3 3" xfId="22454" xr:uid="{8C2CB3A3-8FB2-4913-B1E2-16CEC405378C}"/>
    <cellStyle name="Normal 4 3 3 2 2 3 4" xfId="9801" xr:uid="{8AEE3E3C-2744-4B7A-B78F-B50627D79D12}"/>
    <cellStyle name="Normal 4 3 3 2 2 3 5" xfId="18237" xr:uid="{3CC33F55-9660-4D49-9C15-C486CEFBD8F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2 2 2" xfId="16577" xr:uid="{D0D8903E-7CDF-4AB8-B9B7-F30714CD4255}"/>
    <cellStyle name="Normal 4 3 3 2 2 4 2 2 3" xfId="25012" xr:uid="{F7EF58A8-28A0-4549-8EED-6097AEE68F9E}"/>
    <cellStyle name="Normal 4 3 3 2 2 4 2 3" xfId="12359" xr:uid="{8BBA2989-C335-4DB5-92CC-E06990EDADAC}"/>
    <cellStyle name="Normal 4 3 3 2 2 4 2 4" xfId="20795" xr:uid="{8CF804B6-A55F-4C55-AFF0-12B15DF9C1FF}"/>
    <cellStyle name="Normal 4 3 3 2 2 4 3" xfId="5990" xr:uid="{00000000-0005-0000-0000-00006B140000}"/>
    <cellStyle name="Normal 4 3 3 2 2 4 3 2" xfId="14432" xr:uid="{B51C818C-836B-4354-80D3-0EC717B72231}"/>
    <cellStyle name="Normal 4 3 3 2 2 4 3 3" xfId="22867" xr:uid="{A34ECD37-43F9-4C23-92B0-BA0F50E0A9F8}"/>
    <cellStyle name="Normal 4 3 3 2 2 4 4" xfId="10214" xr:uid="{018E770D-9D32-454A-8CDC-02CC1E1F2168}"/>
    <cellStyle name="Normal 4 3 3 2 2 4 5" xfId="18650" xr:uid="{7EA2521A-EC17-40C9-BF2C-D11AF594C6C5}"/>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2 2 2" xfId="16990" xr:uid="{E478F1D7-C445-402D-A1EF-41FB2BFDA5FB}"/>
    <cellStyle name="Normal 4 3 3 2 2 5 2 2 3" xfId="25425" xr:uid="{C831517F-914D-4AEB-B87F-CF05F0B28387}"/>
    <cellStyle name="Normal 4 3 3 2 2 5 2 3" xfId="12772" xr:uid="{7B51EFED-F149-45E0-B4A0-86B1CF77BEC3}"/>
    <cellStyle name="Normal 4 3 3 2 2 5 2 4" xfId="21208" xr:uid="{1C89F842-5560-4D72-A19D-85BF5B8611FA}"/>
    <cellStyle name="Normal 4 3 3 2 2 5 3" xfId="6403" xr:uid="{00000000-0005-0000-0000-00006F140000}"/>
    <cellStyle name="Normal 4 3 3 2 2 5 3 2" xfId="14845" xr:uid="{99457F81-E1DC-4C73-A54C-3F2D67CEA12E}"/>
    <cellStyle name="Normal 4 3 3 2 2 5 3 3" xfId="23280" xr:uid="{CA5E0915-2000-4CA4-8672-B81B0465758A}"/>
    <cellStyle name="Normal 4 3 3 2 2 5 4" xfId="10627" xr:uid="{B2C45E16-3F26-4952-9799-C3335239CA4A}"/>
    <cellStyle name="Normal 4 3 3 2 2 5 5" xfId="19063" xr:uid="{96279658-6410-4367-9568-3E44406A0B6D}"/>
    <cellStyle name="Normal 4 3 3 2 2 6" xfId="2532" xr:uid="{00000000-0005-0000-0000-000070140000}"/>
    <cellStyle name="Normal 4 3 3 2 2 6 2" xfId="6816" xr:uid="{00000000-0005-0000-0000-000071140000}"/>
    <cellStyle name="Normal 4 3 3 2 2 6 2 2" xfId="15258" xr:uid="{3CA26F01-3CC6-4737-8B40-E821418751A1}"/>
    <cellStyle name="Normal 4 3 3 2 2 6 2 3" xfId="23693" xr:uid="{CF0CAF82-99DF-4670-B097-F5FD558C5195}"/>
    <cellStyle name="Normal 4 3 3 2 2 6 3" xfId="11040" xr:uid="{845D9086-180A-4B96-9C44-5641237FBE29}"/>
    <cellStyle name="Normal 4 3 3 2 2 6 4" xfId="19476" xr:uid="{1F4B8B4C-6212-4D6E-9594-5A67584FD9AC}"/>
    <cellStyle name="Normal 4 3 3 2 2 7" xfId="4751" xr:uid="{00000000-0005-0000-0000-000072140000}"/>
    <cellStyle name="Normal 4 3 3 2 2 7 2" xfId="13193" xr:uid="{F1DE8620-3B78-4DC9-BEBB-E8211FE654BC}"/>
    <cellStyle name="Normal 4 3 3 2 2 7 3" xfId="21628" xr:uid="{EEAB5F0F-AD60-4229-A4F0-E1B7539D9ADA}"/>
    <cellStyle name="Normal 4 3 3 2 2 8" xfId="8975" xr:uid="{64EA8E81-AC2A-49C7-A812-3E53B5F594D2}"/>
    <cellStyle name="Normal 4 3 3 2 2 9" xfId="17411" xr:uid="{FD7CD635-0A35-469E-AA6F-D832DAE0C9AC}"/>
    <cellStyle name="Normal 4 3 3 2 3" xfId="850" xr:uid="{00000000-0005-0000-0000-000073140000}"/>
    <cellStyle name="Normal 4 3 3 2 3 2" xfId="3085" xr:uid="{00000000-0005-0000-0000-000074140000}"/>
    <cellStyle name="Normal 4 3 3 2 3 2 2" xfId="7308" xr:uid="{00000000-0005-0000-0000-000075140000}"/>
    <cellStyle name="Normal 4 3 3 2 3 2 2 2" xfId="15750" xr:uid="{E8A0FB17-0DC8-4A70-BAE9-2617F61FF998}"/>
    <cellStyle name="Normal 4 3 3 2 3 2 2 3" xfId="24185" xr:uid="{0553BA97-6C9A-4079-99C5-A5DDD155F557}"/>
    <cellStyle name="Normal 4 3 3 2 3 2 3" xfId="11532" xr:uid="{C17767C5-6B3F-4B64-A89D-43593C113CEF}"/>
    <cellStyle name="Normal 4 3 3 2 3 2 4" xfId="19968" xr:uid="{383DC634-A6E1-48CD-8657-AE25B461C334}"/>
    <cellStyle name="Normal 4 3 3 2 3 3" xfId="5163" xr:uid="{00000000-0005-0000-0000-000076140000}"/>
    <cellStyle name="Normal 4 3 3 2 3 3 2" xfId="13605" xr:uid="{6571F9A7-7D8F-4A01-BEBE-7E208B3C2746}"/>
    <cellStyle name="Normal 4 3 3 2 3 3 3" xfId="22040" xr:uid="{772424F3-B566-43E5-9E82-B0E45E260781}"/>
    <cellStyle name="Normal 4 3 3 2 3 4" xfId="9387" xr:uid="{972F205B-952F-44A6-B054-D84D41D973ED}"/>
    <cellStyle name="Normal 4 3 3 2 3 5" xfId="17823" xr:uid="{9133FC31-1429-4257-BAA0-1DDC413214F5}"/>
    <cellStyle name="Normal 4 3 3 2 4" xfId="1268" xr:uid="{00000000-0005-0000-0000-000077140000}"/>
    <cellStyle name="Normal 4 3 3 2 4 2" xfId="3498" xr:uid="{00000000-0005-0000-0000-000078140000}"/>
    <cellStyle name="Normal 4 3 3 2 4 2 2" xfId="7721" xr:uid="{00000000-0005-0000-0000-000079140000}"/>
    <cellStyle name="Normal 4 3 3 2 4 2 2 2" xfId="16163" xr:uid="{66B3E837-3213-4212-9AE7-17921F5B1F92}"/>
    <cellStyle name="Normal 4 3 3 2 4 2 2 3" xfId="24598" xr:uid="{3F129F99-5794-4F1D-98C8-1A176BB597FF}"/>
    <cellStyle name="Normal 4 3 3 2 4 2 3" xfId="11945" xr:uid="{2D91E5A1-7172-4163-AB42-0A3612E870AC}"/>
    <cellStyle name="Normal 4 3 3 2 4 2 4" xfId="20381" xr:uid="{2A7512A0-49A5-4F38-9B94-D7B7DDB60642}"/>
    <cellStyle name="Normal 4 3 3 2 4 3" xfId="5576" xr:uid="{00000000-0005-0000-0000-00007A140000}"/>
    <cellStyle name="Normal 4 3 3 2 4 3 2" xfId="14018" xr:uid="{702FA5AE-22FB-46BA-A2CE-A6BBA6E3D788}"/>
    <cellStyle name="Normal 4 3 3 2 4 3 3" xfId="22453" xr:uid="{FAB5FAFD-558D-4939-8379-95E5366254FF}"/>
    <cellStyle name="Normal 4 3 3 2 4 4" xfId="9800" xr:uid="{69E8A4C5-1BA8-4FB4-962B-F12A9D83948D}"/>
    <cellStyle name="Normal 4 3 3 2 4 5" xfId="18236" xr:uid="{F7727E32-F986-4D51-B61B-EE8CA96D9295}"/>
    <cellStyle name="Normal 4 3 3 2 5" xfId="1681" xr:uid="{00000000-0005-0000-0000-00007B140000}"/>
    <cellStyle name="Normal 4 3 3 2 5 2" xfId="3911" xr:uid="{00000000-0005-0000-0000-00007C140000}"/>
    <cellStyle name="Normal 4 3 3 2 5 2 2" xfId="8134" xr:uid="{00000000-0005-0000-0000-00007D140000}"/>
    <cellStyle name="Normal 4 3 3 2 5 2 2 2" xfId="16576" xr:uid="{97F7DF4A-4196-415C-8E0F-E22A498B6991}"/>
    <cellStyle name="Normal 4 3 3 2 5 2 2 3" xfId="25011" xr:uid="{141AD7FF-D8F0-4F5F-A24D-68BC70DF7D3C}"/>
    <cellStyle name="Normal 4 3 3 2 5 2 3" xfId="12358" xr:uid="{9EEB8779-AA9F-4765-AFC7-F706CAB8221D}"/>
    <cellStyle name="Normal 4 3 3 2 5 2 4" xfId="20794" xr:uid="{25430AE3-7305-41A9-8F28-1B9770F84841}"/>
    <cellStyle name="Normal 4 3 3 2 5 3" xfId="5989" xr:uid="{00000000-0005-0000-0000-00007E140000}"/>
    <cellStyle name="Normal 4 3 3 2 5 3 2" xfId="14431" xr:uid="{F5399D76-D8D4-4FBC-81F4-910D91A87395}"/>
    <cellStyle name="Normal 4 3 3 2 5 3 3" xfId="22866" xr:uid="{BD973476-DA50-421F-B36A-6E81C2B27515}"/>
    <cellStyle name="Normal 4 3 3 2 5 4" xfId="10213" xr:uid="{B2E62CD2-0D80-4783-AF18-44463E7E4DA5}"/>
    <cellStyle name="Normal 4 3 3 2 5 5" xfId="18649" xr:uid="{909873AA-6102-471D-BD92-5DF9F20BEE16}"/>
    <cellStyle name="Normal 4 3 3 2 6" xfId="2095" xr:uid="{00000000-0005-0000-0000-00007F140000}"/>
    <cellStyle name="Normal 4 3 3 2 6 2" xfId="4324" xr:uid="{00000000-0005-0000-0000-000080140000}"/>
    <cellStyle name="Normal 4 3 3 2 6 2 2" xfId="8547" xr:uid="{00000000-0005-0000-0000-000081140000}"/>
    <cellStyle name="Normal 4 3 3 2 6 2 2 2" xfId="16989" xr:uid="{504F365E-914C-4751-9AC1-63C08BC438E5}"/>
    <cellStyle name="Normal 4 3 3 2 6 2 2 3" xfId="25424" xr:uid="{79E6253E-A170-4D81-B23A-38CA3593AA4E}"/>
    <cellStyle name="Normal 4 3 3 2 6 2 3" xfId="12771" xr:uid="{67FC044F-0FF8-4FAC-A96B-31F4FCAB85C5}"/>
    <cellStyle name="Normal 4 3 3 2 6 2 4" xfId="21207" xr:uid="{A7F69FF9-CE75-4667-8BED-3BEA1F8C70F5}"/>
    <cellStyle name="Normal 4 3 3 2 6 3" xfId="6402" xr:uid="{00000000-0005-0000-0000-000082140000}"/>
    <cellStyle name="Normal 4 3 3 2 6 3 2" xfId="14844" xr:uid="{96193148-411B-44CB-A409-EFE723889F1F}"/>
    <cellStyle name="Normal 4 3 3 2 6 3 3" xfId="23279" xr:uid="{9109B51A-6151-4314-8B9D-3650B909DF11}"/>
    <cellStyle name="Normal 4 3 3 2 6 4" xfId="10626" xr:uid="{5E2E550F-2DC8-40E2-AA07-8D5C99881AC6}"/>
    <cellStyle name="Normal 4 3 3 2 6 5" xfId="19062" xr:uid="{34E47730-6079-4344-8B9C-05D9DDA789F2}"/>
    <cellStyle name="Normal 4 3 3 2 7" xfId="2531" xr:uid="{00000000-0005-0000-0000-000083140000}"/>
    <cellStyle name="Normal 4 3 3 2 7 2" xfId="6815" xr:uid="{00000000-0005-0000-0000-000084140000}"/>
    <cellStyle name="Normal 4 3 3 2 7 2 2" xfId="15257" xr:uid="{E00BD191-197D-42E7-8508-9F305041B888}"/>
    <cellStyle name="Normal 4 3 3 2 7 2 3" xfId="23692" xr:uid="{F7F68255-DE77-4F40-9318-92AB13DEBF06}"/>
    <cellStyle name="Normal 4 3 3 2 7 3" xfId="11039" xr:uid="{A2800D39-1B7E-4F6D-AD8E-FE9E01EB0E11}"/>
    <cellStyle name="Normal 4 3 3 2 7 4" xfId="19475" xr:uid="{6C3A3C23-3A5C-4FA7-A74A-4EEDAC8B6F9E}"/>
    <cellStyle name="Normal 4 3 3 2 8" xfId="4750" xr:uid="{00000000-0005-0000-0000-000085140000}"/>
    <cellStyle name="Normal 4 3 3 2 8 2" xfId="13192" xr:uid="{2E6AB73A-874A-44DB-85C5-875C3566DEA4}"/>
    <cellStyle name="Normal 4 3 3 2 8 3" xfId="21627" xr:uid="{FAFB552A-E114-4A73-8766-831533CFE5FA}"/>
    <cellStyle name="Normal 4 3 3 2 9" xfId="8974" xr:uid="{A12F3A07-3FB5-4094-98E7-DE7A2762793B}"/>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2 2 2" xfId="15752" xr:uid="{10B85302-7571-4D3F-AB98-8F5AB448C63B}"/>
    <cellStyle name="Normal 4 3 3 3 2 2 2 3" xfId="24187" xr:uid="{FFA63BA8-7E21-4B21-950D-A1B2974B2BBE}"/>
    <cellStyle name="Normal 4 3 3 3 2 2 3" xfId="11534" xr:uid="{E9E3598E-D2B3-4499-955D-B5226A328E8E}"/>
    <cellStyle name="Normal 4 3 3 3 2 2 4" xfId="19970" xr:uid="{83EB062B-3F44-466F-BFC3-A6FD5B4DD7AF}"/>
    <cellStyle name="Normal 4 3 3 3 2 3" xfId="5165" xr:uid="{00000000-0005-0000-0000-00008A140000}"/>
    <cellStyle name="Normal 4 3 3 3 2 3 2" xfId="13607" xr:uid="{55F10D89-1254-4D06-BA03-1BC7E202BC19}"/>
    <cellStyle name="Normal 4 3 3 3 2 3 3" xfId="22042" xr:uid="{773E3FCB-EB13-41CB-9EAA-72BE0C27F7A5}"/>
    <cellStyle name="Normal 4 3 3 3 2 4" xfId="9389" xr:uid="{D44DB43F-266A-475A-BEDF-56892670BB52}"/>
    <cellStyle name="Normal 4 3 3 3 2 5" xfId="17825" xr:uid="{80F8C5DD-6EBF-4143-977E-DD35262D6EBD}"/>
    <cellStyle name="Normal 4 3 3 3 3" xfId="1270" xr:uid="{00000000-0005-0000-0000-00008B140000}"/>
    <cellStyle name="Normal 4 3 3 3 3 2" xfId="3500" xr:uid="{00000000-0005-0000-0000-00008C140000}"/>
    <cellStyle name="Normal 4 3 3 3 3 2 2" xfId="7723" xr:uid="{00000000-0005-0000-0000-00008D140000}"/>
    <cellStyle name="Normal 4 3 3 3 3 2 2 2" xfId="16165" xr:uid="{923BBF25-1EFA-4F13-9C93-9E33DA5FCFF9}"/>
    <cellStyle name="Normal 4 3 3 3 3 2 2 3" xfId="24600" xr:uid="{9970ACAD-B956-4A98-8B81-8DB83B115FA6}"/>
    <cellStyle name="Normal 4 3 3 3 3 2 3" xfId="11947" xr:uid="{72617E19-FA58-4AA9-B735-D059C3843BA9}"/>
    <cellStyle name="Normal 4 3 3 3 3 2 4" xfId="20383" xr:uid="{950008C2-9BDD-43A4-A15F-7C24F6C31295}"/>
    <cellStyle name="Normal 4 3 3 3 3 3" xfId="5578" xr:uid="{00000000-0005-0000-0000-00008E140000}"/>
    <cellStyle name="Normal 4 3 3 3 3 3 2" xfId="14020" xr:uid="{D0721B4C-92E2-4EB4-89E7-C7D4F997FC49}"/>
    <cellStyle name="Normal 4 3 3 3 3 3 3" xfId="22455" xr:uid="{B9987FAB-D77D-497D-A570-57FFF1FD529C}"/>
    <cellStyle name="Normal 4 3 3 3 3 4" xfId="9802" xr:uid="{26B069F8-268A-4A0D-A001-F994DE4544EA}"/>
    <cellStyle name="Normal 4 3 3 3 3 5" xfId="18238" xr:uid="{A9F4E443-210F-441C-B604-F458B0276B2D}"/>
    <cellStyle name="Normal 4 3 3 3 4" xfId="1683" xr:uid="{00000000-0005-0000-0000-00008F140000}"/>
    <cellStyle name="Normal 4 3 3 3 4 2" xfId="3913" xr:uid="{00000000-0005-0000-0000-000090140000}"/>
    <cellStyle name="Normal 4 3 3 3 4 2 2" xfId="8136" xr:uid="{00000000-0005-0000-0000-000091140000}"/>
    <cellStyle name="Normal 4 3 3 3 4 2 2 2" xfId="16578" xr:uid="{2828BEBB-E57E-40E3-9FD0-25A400D9029D}"/>
    <cellStyle name="Normal 4 3 3 3 4 2 2 3" xfId="25013" xr:uid="{C2B09315-F69B-4B5D-8E4E-1C017F1A2F21}"/>
    <cellStyle name="Normal 4 3 3 3 4 2 3" xfId="12360" xr:uid="{2A881E71-4E15-4135-84CA-1DA4468A106A}"/>
    <cellStyle name="Normal 4 3 3 3 4 2 4" xfId="20796" xr:uid="{0229AB18-01CF-463E-B423-119AB95249CF}"/>
    <cellStyle name="Normal 4 3 3 3 4 3" xfId="5991" xr:uid="{00000000-0005-0000-0000-000092140000}"/>
    <cellStyle name="Normal 4 3 3 3 4 3 2" xfId="14433" xr:uid="{8D649DCF-51A7-4778-AC89-1450346EF2B6}"/>
    <cellStyle name="Normal 4 3 3 3 4 3 3" xfId="22868" xr:uid="{CCC16868-D00B-49CC-A8D4-F2A601DFC3EF}"/>
    <cellStyle name="Normal 4 3 3 3 4 4" xfId="10215" xr:uid="{CFEBE60F-5067-4F24-AE98-C2D03A111826}"/>
    <cellStyle name="Normal 4 3 3 3 4 5" xfId="18651" xr:uid="{BE94CED6-9AF5-4570-B6C0-CC5B863CED92}"/>
    <cellStyle name="Normal 4 3 3 3 5" xfId="2097" xr:uid="{00000000-0005-0000-0000-000093140000}"/>
    <cellStyle name="Normal 4 3 3 3 5 2" xfId="4326" xr:uid="{00000000-0005-0000-0000-000094140000}"/>
    <cellStyle name="Normal 4 3 3 3 5 2 2" xfId="8549" xr:uid="{00000000-0005-0000-0000-000095140000}"/>
    <cellStyle name="Normal 4 3 3 3 5 2 2 2" xfId="16991" xr:uid="{08079C6C-511B-4370-A7EF-03CE39144B2A}"/>
    <cellStyle name="Normal 4 3 3 3 5 2 2 3" xfId="25426" xr:uid="{6D5FF934-72E4-4407-8AF9-87B09F172578}"/>
    <cellStyle name="Normal 4 3 3 3 5 2 3" xfId="12773" xr:uid="{7C09E870-8F3C-41ED-B076-C94C65504D11}"/>
    <cellStyle name="Normal 4 3 3 3 5 2 4" xfId="21209" xr:uid="{5126C44F-B268-4FE1-9F30-B2AAA91BE49F}"/>
    <cellStyle name="Normal 4 3 3 3 5 3" xfId="6404" xr:uid="{00000000-0005-0000-0000-000096140000}"/>
    <cellStyle name="Normal 4 3 3 3 5 3 2" xfId="14846" xr:uid="{B893D89A-31FD-44FC-86D3-7C2A4831831F}"/>
    <cellStyle name="Normal 4 3 3 3 5 3 3" xfId="23281" xr:uid="{CF74F850-0FC7-4FD5-ADE4-3BF8DDBF72C7}"/>
    <cellStyle name="Normal 4 3 3 3 5 4" xfId="10628" xr:uid="{9DCD183B-46B2-4774-85C5-2F365229F4B2}"/>
    <cellStyle name="Normal 4 3 3 3 5 5" xfId="19064" xr:uid="{EC8040B0-EB5E-4692-8CCA-6602ED0964FF}"/>
    <cellStyle name="Normal 4 3 3 3 6" xfId="2533" xr:uid="{00000000-0005-0000-0000-000097140000}"/>
    <cellStyle name="Normal 4 3 3 3 6 2" xfId="6817" xr:uid="{00000000-0005-0000-0000-000098140000}"/>
    <cellStyle name="Normal 4 3 3 3 6 2 2" xfId="15259" xr:uid="{F751BAC2-50F6-42F6-8A2A-E695A32B5669}"/>
    <cellStyle name="Normal 4 3 3 3 6 2 3" xfId="23694" xr:uid="{311F5D61-BC1C-43C0-BC86-968F9898CF01}"/>
    <cellStyle name="Normal 4 3 3 3 6 3" xfId="11041" xr:uid="{946695A2-B3AD-4F09-A74D-DA92141D1667}"/>
    <cellStyle name="Normal 4 3 3 3 6 4" xfId="19477" xr:uid="{5F590F49-677A-4425-AACC-CA90C489ADC7}"/>
    <cellStyle name="Normal 4 3 3 3 7" xfId="4752" xr:uid="{00000000-0005-0000-0000-000099140000}"/>
    <cellStyle name="Normal 4 3 3 3 7 2" xfId="13194" xr:uid="{18A29DC6-0891-4787-ACA0-96C777615DD8}"/>
    <cellStyle name="Normal 4 3 3 3 7 3" xfId="21629" xr:uid="{93F5759E-F051-48E9-B1B7-C65E86A9C520}"/>
    <cellStyle name="Normal 4 3 3 3 8" xfId="8976" xr:uid="{AA6C5F73-90B6-4D36-A873-491868CC3E22}"/>
    <cellStyle name="Normal 4 3 3 3 9" xfId="17412" xr:uid="{2637082E-7EEC-4082-9F74-128D3FFBC6F8}"/>
    <cellStyle name="Normal 4 3 3 4" xfId="849" xr:uid="{00000000-0005-0000-0000-00009A140000}"/>
    <cellStyle name="Normal 4 3 3 4 2" xfId="3084" xr:uid="{00000000-0005-0000-0000-00009B140000}"/>
    <cellStyle name="Normal 4 3 3 4 2 2" xfId="7307" xr:uid="{00000000-0005-0000-0000-00009C140000}"/>
    <cellStyle name="Normal 4 3 3 4 2 2 2" xfId="15749" xr:uid="{47F5C8CD-BBF0-42D3-B274-C507269F370A}"/>
    <cellStyle name="Normal 4 3 3 4 2 2 3" xfId="24184" xr:uid="{1556E69C-2558-44F9-955A-B7CFDDB3C1CE}"/>
    <cellStyle name="Normal 4 3 3 4 2 3" xfId="11531" xr:uid="{5FB8EC91-4661-4AD8-8A71-30C007F75246}"/>
    <cellStyle name="Normal 4 3 3 4 2 4" xfId="19967" xr:uid="{DE3210F0-F65E-4C74-ADFF-BF17EFE1F73F}"/>
    <cellStyle name="Normal 4 3 3 4 3" xfId="5162" xr:uid="{00000000-0005-0000-0000-00009D140000}"/>
    <cellStyle name="Normal 4 3 3 4 3 2" xfId="13604" xr:uid="{7B037148-3461-466E-BCEF-C1B646CDEC9F}"/>
    <cellStyle name="Normal 4 3 3 4 3 3" xfId="22039" xr:uid="{CFB8B22A-D0FC-4175-BE5D-8F58A78B1963}"/>
    <cellStyle name="Normal 4 3 3 4 4" xfId="9386" xr:uid="{DBE0432E-AD1E-4BB8-AF38-B43EEECFF6B6}"/>
    <cellStyle name="Normal 4 3 3 4 5" xfId="17822" xr:uid="{EEBA4528-C90A-42D2-8F1B-63A1530B8279}"/>
    <cellStyle name="Normal 4 3 3 5" xfId="1267" xr:uid="{00000000-0005-0000-0000-00009E140000}"/>
    <cellStyle name="Normal 4 3 3 5 2" xfId="3497" xr:uid="{00000000-0005-0000-0000-00009F140000}"/>
    <cellStyle name="Normal 4 3 3 5 2 2" xfId="7720" xr:uid="{00000000-0005-0000-0000-0000A0140000}"/>
    <cellStyle name="Normal 4 3 3 5 2 2 2" xfId="16162" xr:uid="{6F8EB88D-DEC6-4313-967F-5301226A89C4}"/>
    <cellStyle name="Normal 4 3 3 5 2 2 3" xfId="24597" xr:uid="{11D04F4A-68E3-457A-8F3D-C8F2D8549C0F}"/>
    <cellStyle name="Normal 4 3 3 5 2 3" xfId="11944" xr:uid="{794EB162-40E6-49FF-B28D-46626D3313AB}"/>
    <cellStyle name="Normal 4 3 3 5 2 4" xfId="20380" xr:uid="{5EBA2559-8B84-4FFB-A222-2837481C07D9}"/>
    <cellStyle name="Normal 4 3 3 5 3" xfId="5575" xr:uid="{00000000-0005-0000-0000-0000A1140000}"/>
    <cellStyle name="Normal 4 3 3 5 3 2" xfId="14017" xr:uid="{4230DA57-AB51-4A28-A10D-782B303484D1}"/>
    <cellStyle name="Normal 4 3 3 5 3 3" xfId="22452" xr:uid="{CA79EF8D-F7F3-4F36-9450-F37DDCD99BB2}"/>
    <cellStyle name="Normal 4 3 3 5 4" xfId="9799" xr:uid="{F00614F5-C327-4991-8B44-C2F8DD9A5687}"/>
    <cellStyle name="Normal 4 3 3 5 5" xfId="18235" xr:uid="{AB8C06D7-24AB-4F2B-B602-70BD1A56344D}"/>
    <cellStyle name="Normal 4 3 3 6" xfId="1680" xr:uid="{00000000-0005-0000-0000-0000A2140000}"/>
    <cellStyle name="Normal 4 3 3 6 2" xfId="3910" xr:uid="{00000000-0005-0000-0000-0000A3140000}"/>
    <cellStyle name="Normal 4 3 3 6 2 2" xfId="8133" xr:uid="{00000000-0005-0000-0000-0000A4140000}"/>
    <cellStyle name="Normal 4 3 3 6 2 2 2" xfId="16575" xr:uid="{CC18A687-4738-49E8-A319-7F5E816574C5}"/>
    <cellStyle name="Normal 4 3 3 6 2 2 3" xfId="25010" xr:uid="{A50F3963-EC39-4776-B132-7BA5C3163345}"/>
    <cellStyle name="Normal 4 3 3 6 2 3" xfId="12357" xr:uid="{8A0281E7-EBEE-4BD0-A312-B2A2E59A9EC6}"/>
    <cellStyle name="Normal 4 3 3 6 2 4" xfId="20793" xr:uid="{124B7E72-7FED-4EB8-A321-038DCC1E610B}"/>
    <cellStyle name="Normal 4 3 3 6 3" xfId="5988" xr:uid="{00000000-0005-0000-0000-0000A5140000}"/>
    <cellStyle name="Normal 4 3 3 6 3 2" xfId="14430" xr:uid="{D6A92602-E92D-4629-9713-7FBA27032A40}"/>
    <cellStyle name="Normal 4 3 3 6 3 3" xfId="22865" xr:uid="{11D26257-648B-46A5-BF59-ABB2C910F093}"/>
    <cellStyle name="Normal 4 3 3 6 4" xfId="10212" xr:uid="{AD280165-972B-4341-AB55-3804D22FAAE2}"/>
    <cellStyle name="Normal 4 3 3 6 5" xfId="18648" xr:uid="{A76ECCCA-0E24-4F97-864E-2C4922A934B8}"/>
    <cellStyle name="Normal 4 3 3 7" xfId="2094" xr:uid="{00000000-0005-0000-0000-0000A6140000}"/>
    <cellStyle name="Normal 4 3 3 7 2" xfId="4323" xr:uid="{00000000-0005-0000-0000-0000A7140000}"/>
    <cellStyle name="Normal 4 3 3 7 2 2" xfId="8546" xr:uid="{00000000-0005-0000-0000-0000A8140000}"/>
    <cellStyle name="Normal 4 3 3 7 2 2 2" xfId="16988" xr:uid="{A872B2CE-8D1D-4B20-9C6C-7BE9634FF9E1}"/>
    <cellStyle name="Normal 4 3 3 7 2 2 3" xfId="25423" xr:uid="{A9D04171-98FB-4FAD-9C29-6D26CE506C40}"/>
    <cellStyle name="Normal 4 3 3 7 2 3" xfId="12770" xr:uid="{550DC28A-BD85-4600-BFCF-1ABF1B7B5C86}"/>
    <cellStyle name="Normal 4 3 3 7 2 4" xfId="21206" xr:uid="{8C7A1195-2C52-464D-B19E-89DB3C10C3B0}"/>
    <cellStyle name="Normal 4 3 3 7 3" xfId="6401" xr:uid="{00000000-0005-0000-0000-0000A9140000}"/>
    <cellStyle name="Normal 4 3 3 7 3 2" xfId="14843" xr:uid="{F5782202-032F-448B-B111-E865797B8393}"/>
    <cellStyle name="Normal 4 3 3 7 3 3" xfId="23278" xr:uid="{6C7D7C54-6BBE-48F7-8F9E-749DE78B3E52}"/>
    <cellStyle name="Normal 4 3 3 7 4" xfId="10625" xr:uid="{20F0FA36-78A4-4B74-91FF-A82138B2ACD2}"/>
    <cellStyle name="Normal 4 3 3 7 5" xfId="19061" xr:uid="{8BFC317A-8DC3-403D-885F-40C6E9C25B4F}"/>
    <cellStyle name="Normal 4 3 3 8" xfId="2530" xr:uid="{00000000-0005-0000-0000-0000AA140000}"/>
    <cellStyle name="Normal 4 3 3 8 2" xfId="6814" xr:uid="{00000000-0005-0000-0000-0000AB140000}"/>
    <cellStyle name="Normal 4 3 3 8 2 2" xfId="15256" xr:uid="{B3FC5EC0-3B7C-4577-8F46-74B746FECB9C}"/>
    <cellStyle name="Normal 4 3 3 8 2 3" xfId="23691" xr:uid="{504D85D7-F82D-4B61-9EC4-CF883A8DC24A}"/>
    <cellStyle name="Normal 4 3 3 8 3" xfId="11038" xr:uid="{E20693DF-B275-4438-B894-613CFB9BE2A5}"/>
    <cellStyle name="Normal 4 3 3 8 4" xfId="19474" xr:uid="{26DC9589-0DB3-45FF-84AA-9045D5E752EF}"/>
    <cellStyle name="Normal 4 3 3 9" xfId="4749" xr:uid="{00000000-0005-0000-0000-0000AC140000}"/>
    <cellStyle name="Normal 4 3 3 9 2" xfId="13191" xr:uid="{D1FFFD76-CB57-4E11-B6C5-2FBD735C5396}"/>
    <cellStyle name="Normal 4 3 3 9 3" xfId="21626" xr:uid="{34E74981-916B-446E-8103-C85E3142E105}"/>
    <cellStyle name="Normal 4 3 4" xfId="842" xr:uid="{00000000-0005-0000-0000-0000AD140000}"/>
    <cellStyle name="Normal 4 3 4 2" xfId="3079" xr:uid="{00000000-0005-0000-0000-0000AE140000}"/>
    <cellStyle name="Normal 4 3 4 2 2" xfId="7302" xr:uid="{00000000-0005-0000-0000-0000AF140000}"/>
    <cellStyle name="Normal 4 3 4 2 2 2" xfId="15744" xr:uid="{5D94AF05-C676-4E89-99F7-CC2EBD1D9A9B}"/>
    <cellStyle name="Normal 4 3 4 2 2 3" xfId="24179" xr:uid="{634BE870-97C8-4085-8010-1E90B84A8983}"/>
    <cellStyle name="Normal 4 3 4 2 3" xfId="11526" xr:uid="{0B7D1FBD-9E88-4D80-8D7B-DDCF99B7DBA1}"/>
    <cellStyle name="Normal 4 3 4 2 4" xfId="19962" xr:uid="{E12A7213-EF63-4EF1-B156-66B4F92E8F4E}"/>
    <cellStyle name="Normal 4 3 4 3" xfId="5157" xr:uid="{00000000-0005-0000-0000-0000B0140000}"/>
    <cellStyle name="Normal 4 3 4 3 2" xfId="13599" xr:uid="{7A90FF82-508E-4F27-813E-137D33383442}"/>
    <cellStyle name="Normal 4 3 4 3 3" xfId="22034" xr:uid="{41F64D53-55D2-4B99-A271-F135243FFD26}"/>
    <cellStyle name="Normal 4 3 4 4" xfId="9381" xr:uid="{215B8466-1829-4AAA-B263-8686C0D874E2}"/>
    <cellStyle name="Normal 4 3 4 5" xfId="17817" xr:uid="{28B9E758-EA18-41A2-8F18-C70D701998EC}"/>
    <cellStyle name="Normal 4 3 5" xfId="1262" xr:uid="{00000000-0005-0000-0000-0000B1140000}"/>
    <cellStyle name="Normal 4 3 5 2" xfId="3492" xr:uid="{00000000-0005-0000-0000-0000B2140000}"/>
    <cellStyle name="Normal 4 3 5 2 2" xfId="7715" xr:uid="{00000000-0005-0000-0000-0000B3140000}"/>
    <cellStyle name="Normal 4 3 5 2 2 2" xfId="16157" xr:uid="{FBAA95BC-3C3E-4D37-8648-10C9130CDA8D}"/>
    <cellStyle name="Normal 4 3 5 2 2 3" xfId="24592" xr:uid="{65EB5F4A-537E-4567-B5C4-4EA5E10158D6}"/>
    <cellStyle name="Normal 4 3 5 2 3" xfId="11939" xr:uid="{D24D079A-6DDC-421F-93C8-BB8BCB7088C1}"/>
    <cellStyle name="Normal 4 3 5 2 4" xfId="20375" xr:uid="{69E7BF70-68AD-4303-ACE5-3EC65207576A}"/>
    <cellStyle name="Normal 4 3 5 3" xfId="5570" xr:uid="{00000000-0005-0000-0000-0000B4140000}"/>
    <cellStyle name="Normal 4 3 5 3 2" xfId="14012" xr:uid="{58972BA2-E02B-419F-A89D-A340B6EAFF7B}"/>
    <cellStyle name="Normal 4 3 5 3 3" xfId="22447" xr:uid="{C678831F-2D0A-461D-9D3D-1A7DACA03DF3}"/>
    <cellStyle name="Normal 4 3 5 4" xfId="9794" xr:uid="{9920C449-6E0A-4120-8F57-51D2F9E2686E}"/>
    <cellStyle name="Normal 4 3 5 5" xfId="18230" xr:uid="{0601D7D0-4FAC-49E5-B3AD-5FDFD7CC1FBF}"/>
    <cellStyle name="Normal 4 3 6" xfId="1675" xr:uid="{00000000-0005-0000-0000-0000B5140000}"/>
    <cellStyle name="Normal 4 3 6 2" xfId="3905" xr:uid="{00000000-0005-0000-0000-0000B6140000}"/>
    <cellStyle name="Normal 4 3 6 2 2" xfId="8128" xr:uid="{00000000-0005-0000-0000-0000B7140000}"/>
    <cellStyle name="Normal 4 3 6 2 2 2" xfId="16570" xr:uid="{EF991D3A-B879-4622-89F2-349925A6F599}"/>
    <cellStyle name="Normal 4 3 6 2 2 3" xfId="25005" xr:uid="{71F99102-E23B-48A3-B064-48DF857484DB}"/>
    <cellStyle name="Normal 4 3 6 2 3" xfId="12352" xr:uid="{E8031092-1D0D-4B06-A059-58084788B8C4}"/>
    <cellStyle name="Normal 4 3 6 2 4" xfId="20788" xr:uid="{C2CBFE15-E165-4DF1-9CCE-7CC6951D33FD}"/>
    <cellStyle name="Normal 4 3 6 3" xfId="5983" xr:uid="{00000000-0005-0000-0000-0000B8140000}"/>
    <cellStyle name="Normal 4 3 6 3 2" xfId="14425" xr:uid="{B97CE84D-AA6D-4063-AF01-088B297D5B6F}"/>
    <cellStyle name="Normal 4 3 6 3 3" xfId="22860" xr:uid="{69779EB5-AFD7-458F-82E1-E0791CC6CF71}"/>
    <cellStyle name="Normal 4 3 6 4" xfId="10207" xr:uid="{BB4B1B1A-AE17-42C0-9C2F-BEB5AE9A6F2D}"/>
    <cellStyle name="Normal 4 3 6 5" xfId="18643" xr:uid="{CA1C0361-BF69-4F48-B6F1-03A28FE6EC22}"/>
    <cellStyle name="Normal 4 3 7" xfId="2089" xr:uid="{00000000-0005-0000-0000-0000B9140000}"/>
    <cellStyle name="Normal 4 3 7 2" xfId="4318" xr:uid="{00000000-0005-0000-0000-0000BA140000}"/>
    <cellStyle name="Normal 4 3 7 2 2" xfId="8541" xr:uid="{00000000-0005-0000-0000-0000BB140000}"/>
    <cellStyle name="Normal 4 3 7 2 2 2" xfId="16983" xr:uid="{FA53E9C8-6648-4DE0-A2DF-1ABEA9CDB4C5}"/>
    <cellStyle name="Normal 4 3 7 2 2 3" xfId="25418" xr:uid="{47E2B1F9-C53C-4C59-9B08-7D56D49B3763}"/>
    <cellStyle name="Normal 4 3 7 2 3" xfId="12765" xr:uid="{DBBC940F-264D-46F9-B509-3180AC4EE2ED}"/>
    <cellStyle name="Normal 4 3 7 2 4" xfId="21201" xr:uid="{65E2F157-DEC5-4B60-9299-49E4275A7391}"/>
    <cellStyle name="Normal 4 3 7 3" xfId="6396" xr:uid="{00000000-0005-0000-0000-0000BC140000}"/>
    <cellStyle name="Normal 4 3 7 3 2" xfId="14838" xr:uid="{D3E7BF68-329C-4050-A4D6-8D0117FFCBBD}"/>
    <cellStyle name="Normal 4 3 7 3 3" xfId="23273" xr:uid="{4C70CF27-19E3-40F3-890E-86659D9DB5C1}"/>
    <cellStyle name="Normal 4 3 7 4" xfId="10620" xr:uid="{85048D8A-EA78-41FF-91A5-ED3BBD492AF3}"/>
    <cellStyle name="Normal 4 3 7 5" xfId="19056" xr:uid="{20B124E1-1C6D-4624-980A-F19F24F62408}"/>
    <cellStyle name="Normal 4 3 8" xfId="2525" xr:uid="{00000000-0005-0000-0000-0000BD140000}"/>
    <cellStyle name="Normal 4 3 8 2" xfId="6809" xr:uid="{00000000-0005-0000-0000-0000BE140000}"/>
    <cellStyle name="Normal 4 3 8 2 2" xfId="15251" xr:uid="{AE5F4F44-462D-4863-BBE1-25D09774B6C0}"/>
    <cellStyle name="Normal 4 3 8 2 3" xfId="23686" xr:uid="{291D66AF-4D69-49CD-B2C2-8B7D6E6F7C46}"/>
    <cellStyle name="Normal 4 3 8 3" xfId="11033" xr:uid="{E59F20D9-B326-48F4-AB06-833981BD5BFB}"/>
    <cellStyle name="Normal 4 3 8 4" xfId="19469" xr:uid="{DAE655EC-1B1E-4DB8-ADD7-81C9C8CBE710}"/>
    <cellStyle name="Normal 4 3 9" xfId="4744" xr:uid="{00000000-0005-0000-0000-0000BF140000}"/>
    <cellStyle name="Normal 4 3 9 2" xfId="13186" xr:uid="{5A568192-9958-4487-A68F-F9CDD60516E8}"/>
    <cellStyle name="Normal 4 3 9 3" xfId="21621" xr:uid="{6162AE12-300F-479F-8DE8-E0A2DE5A079E}"/>
    <cellStyle name="Normal 4 4" xfId="378" xr:uid="{00000000-0005-0000-0000-0000C0140000}"/>
    <cellStyle name="Normal 4 4 10" xfId="2534" xr:uid="{00000000-0005-0000-0000-0000C1140000}"/>
    <cellStyle name="Normal 4 4 10 2" xfId="6818" xr:uid="{00000000-0005-0000-0000-0000C2140000}"/>
    <cellStyle name="Normal 4 4 10 2 2" xfId="15260" xr:uid="{EF5ED8AA-0146-4B38-9F95-42E5757F620B}"/>
    <cellStyle name="Normal 4 4 10 2 3" xfId="23695" xr:uid="{B0281336-D7B8-4F4C-B101-A0472C37EC9F}"/>
    <cellStyle name="Normal 4 4 10 3" xfId="11042" xr:uid="{BF3BB8CC-5F07-4EA3-B796-66949CC6B5CA}"/>
    <cellStyle name="Normal 4 4 10 4" xfId="19478" xr:uid="{36AC74AF-535B-4F06-8FC4-27F55B6B0EB0}"/>
    <cellStyle name="Normal 4 4 11" xfId="4753" xr:uid="{00000000-0005-0000-0000-0000C3140000}"/>
    <cellStyle name="Normal 4 4 11 2" xfId="13195" xr:uid="{19A58B2D-4BC7-4FB7-8F6D-B4ADB272A95F}"/>
    <cellStyle name="Normal 4 4 11 3" xfId="21630" xr:uid="{3092F6EC-F102-4673-B82C-FFFC050BA508}"/>
    <cellStyle name="Normal 4 4 12" xfId="8977" xr:uid="{9B4EC3DD-9581-49B7-A54E-263AF824C560}"/>
    <cellStyle name="Normal 4 4 13" xfId="17413" xr:uid="{786B71CF-4604-493C-ADBD-6E1F482ACF74}"/>
    <cellStyle name="Normal 4 4 2" xfId="379" xr:uid="{00000000-0005-0000-0000-0000C4140000}"/>
    <cellStyle name="Normal 4 4 2 10" xfId="4754" xr:uid="{00000000-0005-0000-0000-0000C5140000}"/>
    <cellStyle name="Normal 4 4 2 10 2" xfId="13196" xr:uid="{8BF4D302-0D3C-4DAF-B51B-2E138E870E6C}"/>
    <cellStyle name="Normal 4 4 2 10 3" xfId="21631" xr:uid="{A1C850DD-F836-48FB-AC85-00CBFCB3D01D}"/>
    <cellStyle name="Normal 4 4 2 11" xfId="8978" xr:uid="{AFB912A0-D4ED-47DC-AE66-136DA6F11A16}"/>
    <cellStyle name="Normal 4 4 2 12" xfId="17414" xr:uid="{016C9964-0D8C-4B16-8E6D-50542A5176E9}"/>
    <cellStyle name="Normal 4 4 2 2" xfId="380" xr:uid="{00000000-0005-0000-0000-0000C6140000}"/>
    <cellStyle name="Normal 4 4 2 2 10" xfId="8979" xr:uid="{9627BA3D-5179-4C95-AED5-70A3251DDC5F}"/>
    <cellStyle name="Normal 4 4 2 2 11" xfId="17415" xr:uid="{EB8A49E9-6F33-403C-9AD3-C41189B9FEDA}"/>
    <cellStyle name="Normal 4 4 2 2 2" xfId="381" xr:uid="{00000000-0005-0000-0000-0000C7140000}"/>
    <cellStyle name="Normal 4 4 2 2 2 10" xfId="17416" xr:uid="{5310314F-9937-4EEE-9915-F66304401CFB}"/>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2 2 2" xfId="15757" xr:uid="{CCAA24A4-2A9A-4F8A-B2B9-1D3512ABE3C3}"/>
    <cellStyle name="Normal 4 4 2 2 2 2 2 2 2 3" xfId="24192" xr:uid="{0FC2C8C9-5666-4416-B3E2-0FDEA2F608CD}"/>
    <cellStyle name="Normal 4 4 2 2 2 2 2 2 3" xfId="11539" xr:uid="{03F31367-452E-47EC-979D-94C450937815}"/>
    <cellStyle name="Normal 4 4 2 2 2 2 2 2 4" xfId="19975" xr:uid="{722CDB2F-FEF6-4343-8999-C9C943868A6C}"/>
    <cellStyle name="Normal 4 4 2 2 2 2 2 3" xfId="5170" xr:uid="{00000000-0005-0000-0000-0000CC140000}"/>
    <cellStyle name="Normal 4 4 2 2 2 2 2 3 2" xfId="13612" xr:uid="{E038F685-0912-42D8-BDF7-2DC9E1B8BD92}"/>
    <cellStyle name="Normal 4 4 2 2 2 2 2 3 3" xfId="22047" xr:uid="{C3E40391-C995-4E05-9A42-F109A6898BC8}"/>
    <cellStyle name="Normal 4 4 2 2 2 2 2 4" xfId="9394" xr:uid="{BBD677D4-E641-4C4D-9C99-7E1160A30B0D}"/>
    <cellStyle name="Normal 4 4 2 2 2 2 2 5" xfId="17830" xr:uid="{ED85A423-2A14-42EA-B2DC-BDE86489C76A}"/>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2 2 2" xfId="16170" xr:uid="{4E329BD4-EC64-4665-B59D-20BA26562047}"/>
    <cellStyle name="Normal 4 4 2 2 2 2 3 2 2 3" xfId="24605" xr:uid="{8DC73CC2-2E61-4BE1-B4EF-C24AB3A380EE}"/>
    <cellStyle name="Normal 4 4 2 2 2 2 3 2 3" xfId="11952" xr:uid="{0454E5BA-898F-48A6-BD18-E5C5FEE02695}"/>
    <cellStyle name="Normal 4 4 2 2 2 2 3 2 4" xfId="20388" xr:uid="{B912A8FB-2EC2-4A95-979A-77D12DD344B1}"/>
    <cellStyle name="Normal 4 4 2 2 2 2 3 3" xfId="5583" xr:uid="{00000000-0005-0000-0000-0000D0140000}"/>
    <cellStyle name="Normal 4 4 2 2 2 2 3 3 2" xfId="14025" xr:uid="{7C984128-728F-472A-9488-C12D94833848}"/>
    <cellStyle name="Normal 4 4 2 2 2 2 3 3 3" xfId="22460" xr:uid="{3F657AD4-69D0-4436-91B5-8C04F93151A7}"/>
    <cellStyle name="Normal 4 4 2 2 2 2 3 4" xfId="9807" xr:uid="{209CF25A-0F2D-4512-960A-58FCF273A21B}"/>
    <cellStyle name="Normal 4 4 2 2 2 2 3 5" xfId="18243" xr:uid="{8F0F699C-13F1-4C9F-92BB-8D9E76AEBEFE}"/>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2 2 2" xfId="16583" xr:uid="{9BA45DE5-2A16-4998-B877-BED710E17259}"/>
    <cellStyle name="Normal 4 4 2 2 2 2 4 2 2 3" xfId="25018" xr:uid="{D65C7281-94C9-4563-94C2-555490F888B4}"/>
    <cellStyle name="Normal 4 4 2 2 2 2 4 2 3" xfId="12365" xr:uid="{DCDEC6EE-4E40-4414-AEE7-BC90383C9988}"/>
    <cellStyle name="Normal 4 4 2 2 2 2 4 2 4" xfId="20801" xr:uid="{6D392CE8-8218-44C5-ACF4-5C77E47F5C55}"/>
    <cellStyle name="Normal 4 4 2 2 2 2 4 3" xfId="5996" xr:uid="{00000000-0005-0000-0000-0000D4140000}"/>
    <cellStyle name="Normal 4 4 2 2 2 2 4 3 2" xfId="14438" xr:uid="{3408543D-09CF-4E2F-A83A-D19400F9E2F5}"/>
    <cellStyle name="Normal 4 4 2 2 2 2 4 3 3" xfId="22873" xr:uid="{0A173D36-74B2-4CC5-8162-A3513CE79B29}"/>
    <cellStyle name="Normal 4 4 2 2 2 2 4 4" xfId="10220" xr:uid="{C43AC3FC-E372-4E98-8526-6857CD65D1A0}"/>
    <cellStyle name="Normal 4 4 2 2 2 2 4 5" xfId="18656" xr:uid="{F6D4DB9E-7DF0-443C-868F-ABE7895C9D9C}"/>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2 2 2" xfId="16996" xr:uid="{26316123-E164-4D8F-A109-4038A38A2B66}"/>
    <cellStyle name="Normal 4 4 2 2 2 2 5 2 2 3" xfId="25431" xr:uid="{0B575039-E25A-4251-9090-5C3D1396161B}"/>
    <cellStyle name="Normal 4 4 2 2 2 2 5 2 3" xfId="12778" xr:uid="{D7F5B02F-E0A4-43CF-AFF4-AC8B8FB83A62}"/>
    <cellStyle name="Normal 4 4 2 2 2 2 5 2 4" xfId="21214" xr:uid="{E980B5BD-4A89-4F99-AAD4-E25F13D8892E}"/>
    <cellStyle name="Normal 4 4 2 2 2 2 5 3" xfId="6409" xr:uid="{00000000-0005-0000-0000-0000D8140000}"/>
    <cellStyle name="Normal 4 4 2 2 2 2 5 3 2" xfId="14851" xr:uid="{83422327-FB35-4CD4-BF9B-F726B431AF87}"/>
    <cellStyle name="Normal 4 4 2 2 2 2 5 3 3" xfId="23286" xr:uid="{54B25D23-9C85-430F-A230-6892A7B05933}"/>
    <cellStyle name="Normal 4 4 2 2 2 2 5 4" xfId="10633" xr:uid="{5AAA4F13-1A7D-4B54-A0BF-A8E86E2181EC}"/>
    <cellStyle name="Normal 4 4 2 2 2 2 5 5" xfId="19069" xr:uid="{50E50A0B-EAC3-4F88-A3D7-6B4992110723}"/>
    <cellStyle name="Normal 4 4 2 2 2 2 6" xfId="2538" xr:uid="{00000000-0005-0000-0000-0000D9140000}"/>
    <cellStyle name="Normal 4 4 2 2 2 2 6 2" xfId="6822" xr:uid="{00000000-0005-0000-0000-0000DA140000}"/>
    <cellStyle name="Normal 4 4 2 2 2 2 6 2 2" xfId="15264" xr:uid="{FD94FCB9-07C2-4470-8E2A-B5D52FA26D00}"/>
    <cellStyle name="Normal 4 4 2 2 2 2 6 2 3" xfId="23699" xr:uid="{EC8B8373-E23F-42D1-BC98-1A9ADCFCEC12}"/>
    <cellStyle name="Normal 4 4 2 2 2 2 6 3" xfId="11046" xr:uid="{9EAADBD1-D47D-4C60-B11F-2313E135E54A}"/>
    <cellStyle name="Normal 4 4 2 2 2 2 6 4" xfId="19482" xr:uid="{F34144AF-C330-456A-B092-E6F3B23C92C9}"/>
    <cellStyle name="Normal 4 4 2 2 2 2 7" xfId="4757" xr:uid="{00000000-0005-0000-0000-0000DB140000}"/>
    <cellStyle name="Normal 4 4 2 2 2 2 7 2" xfId="13199" xr:uid="{80ED6DE5-0B0C-41D6-B82B-BE5F1226C6A8}"/>
    <cellStyle name="Normal 4 4 2 2 2 2 7 3" xfId="21634" xr:uid="{F3FD5E00-3691-4616-B6D3-FA03A0E2F111}"/>
    <cellStyle name="Normal 4 4 2 2 2 2 8" xfId="8981" xr:uid="{880B45AA-54D4-4D31-93C5-D54B28EA255D}"/>
    <cellStyle name="Normal 4 4 2 2 2 2 9" xfId="17417" xr:uid="{8D32030B-D9EE-4AAA-AC99-6281C257180F}"/>
    <cellStyle name="Normal 4 4 2 2 2 3" xfId="856" xr:uid="{00000000-0005-0000-0000-0000DC140000}"/>
    <cellStyle name="Normal 4 4 2 2 2 3 2" xfId="3091" xr:uid="{00000000-0005-0000-0000-0000DD140000}"/>
    <cellStyle name="Normal 4 4 2 2 2 3 2 2" xfId="7314" xr:uid="{00000000-0005-0000-0000-0000DE140000}"/>
    <cellStyle name="Normal 4 4 2 2 2 3 2 2 2" xfId="15756" xr:uid="{5E707137-6019-4213-A7F3-796D14205D73}"/>
    <cellStyle name="Normal 4 4 2 2 2 3 2 2 3" xfId="24191" xr:uid="{FA25EBE9-3048-4955-99D1-608E32904A2C}"/>
    <cellStyle name="Normal 4 4 2 2 2 3 2 3" xfId="11538" xr:uid="{690B66D9-1CE6-414C-BD3D-91C2604F4817}"/>
    <cellStyle name="Normal 4 4 2 2 2 3 2 4" xfId="19974" xr:uid="{FB4C38AC-CD16-4126-8CE2-85DF7E702308}"/>
    <cellStyle name="Normal 4 4 2 2 2 3 3" xfId="5169" xr:uid="{00000000-0005-0000-0000-0000DF140000}"/>
    <cellStyle name="Normal 4 4 2 2 2 3 3 2" xfId="13611" xr:uid="{7414010E-E634-4B33-9E6F-6688D3565C7E}"/>
    <cellStyle name="Normal 4 4 2 2 2 3 3 3" xfId="22046" xr:uid="{5ED5DE04-5F98-48AF-AF0A-2587F48085AB}"/>
    <cellStyle name="Normal 4 4 2 2 2 3 4" xfId="9393" xr:uid="{BDD3E8C6-011B-436F-801F-FB3FA5B207D3}"/>
    <cellStyle name="Normal 4 4 2 2 2 3 5" xfId="17829" xr:uid="{2916BB95-170F-4337-A7DE-76D0E1A73E32}"/>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2 2 2" xfId="16169" xr:uid="{D9991370-0C7E-4A3C-8C70-9F40E23E16BC}"/>
    <cellStyle name="Normal 4 4 2 2 2 4 2 2 3" xfId="24604" xr:uid="{56A0E015-30B2-45AC-99C6-25747F1DFF2D}"/>
    <cellStyle name="Normal 4 4 2 2 2 4 2 3" xfId="11951" xr:uid="{A832B48A-470D-4D19-9229-75AC37634E6F}"/>
    <cellStyle name="Normal 4 4 2 2 2 4 2 4" xfId="20387" xr:uid="{813A0AFC-9D1F-4261-A8EB-B4759DB77D89}"/>
    <cellStyle name="Normal 4 4 2 2 2 4 3" xfId="5582" xr:uid="{00000000-0005-0000-0000-0000E3140000}"/>
    <cellStyle name="Normal 4 4 2 2 2 4 3 2" xfId="14024" xr:uid="{D8380C56-6543-4A84-AD5C-36A683E434C3}"/>
    <cellStyle name="Normal 4 4 2 2 2 4 3 3" xfId="22459" xr:uid="{DA856C20-EBA2-443D-B25D-4EC7B3189434}"/>
    <cellStyle name="Normal 4 4 2 2 2 4 4" xfId="9806" xr:uid="{0E532BF0-FAE2-40A5-AD63-0B970434324E}"/>
    <cellStyle name="Normal 4 4 2 2 2 4 5" xfId="18242" xr:uid="{A27DD617-550B-4241-9BDD-F7DAEE85D472}"/>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2 2 2" xfId="16582" xr:uid="{B0B35B0C-7CDA-4C08-9D5A-C17C26A38C97}"/>
    <cellStyle name="Normal 4 4 2 2 2 5 2 2 3" xfId="25017" xr:uid="{4BB07C3D-2211-419A-B248-1234F9E9C83B}"/>
    <cellStyle name="Normal 4 4 2 2 2 5 2 3" xfId="12364" xr:uid="{2647796C-5B04-4427-A7BD-88EEE9E25FC9}"/>
    <cellStyle name="Normal 4 4 2 2 2 5 2 4" xfId="20800" xr:uid="{07E711CE-8AEB-4A19-B031-5ABC319010B5}"/>
    <cellStyle name="Normal 4 4 2 2 2 5 3" xfId="5995" xr:uid="{00000000-0005-0000-0000-0000E7140000}"/>
    <cellStyle name="Normal 4 4 2 2 2 5 3 2" xfId="14437" xr:uid="{CE943F83-A12B-48B5-9DAD-DC1A7D3E237D}"/>
    <cellStyle name="Normal 4 4 2 2 2 5 3 3" xfId="22872" xr:uid="{06600254-CB34-4B20-8655-1BFD14BD7E07}"/>
    <cellStyle name="Normal 4 4 2 2 2 5 4" xfId="10219" xr:uid="{CD1DC0C8-F45D-4080-ACFE-1A80FC8AA1F9}"/>
    <cellStyle name="Normal 4 4 2 2 2 5 5" xfId="18655" xr:uid="{D22CB338-9744-4583-8342-45543B87F4A3}"/>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2 2 2" xfId="16995" xr:uid="{DB1B0220-C126-4CD5-8297-2883E55726B2}"/>
    <cellStyle name="Normal 4 4 2 2 2 6 2 2 3" xfId="25430" xr:uid="{27073CCD-1EA5-4CE3-BAB3-A5FA3C533F41}"/>
    <cellStyle name="Normal 4 4 2 2 2 6 2 3" xfId="12777" xr:uid="{5B4CC480-FCA9-43A1-9A87-63DA393A0C75}"/>
    <cellStyle name="Normal 4 4 2 2 2 6 2 4" xfId="21213" xr:uid="{62405017-7B11-4055-B38B-81AEE185B7A9}"/>
    <cellStyle name="Normal 4 4 2 2 2 6 3" xfId="6408" xr:uid="{00000000-0005-0000-0000-0000EB140000}"/>
    <cellStyle name="Normal 4 4 2 2 2 6 3 2" xfId="14850" xr:uid="{5D30366F-6B4C-454B-89A6-25C6A009D944}"/>
    <cellStyle name="Normal 4 4 2 2 2 6 3 3" xfId="23285" xr:uid="{78A76F3C-C69D-4D77-82FD-3CFC8F23E6E5}"/>
    <cellStyle name="Normal 4 4 2 2 2 6 4" xfId="10632" xr:uid="{8A5E3826-98F4-41E1-B7FC-691890C59219}"/>
    <cellStyle name="Normal 4 4 2 2 2 6 5" xfId="19068" xr:uid="{B7F01F0B-8D0D-412F-BF00-20E792B55E1E}"/>
    <cellStyle name="Normal 4 4 2 2 2 7" xfId="2537" xr:uid="{00000000-0005-0000-0000-0000EC140000}"/>
    <cellStyle name="Normal 4 4 2 2 2 7 2" xfId="6821" xr:uid="{00000000-0005-0000-0000-0000ED140000}"/>
    <cellStyle name="Normal 4 4 2 2 2 7 2 2" xfId="15263" xr:uid="{39AC716A-9A9C-4C28-A2FD-7081BB81A01D}"/>
    <cellStyle name="Normal 4 4 2 2 2 7 2 3" xfId="23698" xr:uid="{D1C577A9-497D-403E-A667-6C28FEB852F9}"/>
    <cellStyle name="Normal 4 4 2 2 2 7 3" xfId="11045" xr:uid="{4298CB90-F1CA-4740-891E-B6DC9303D0CA}"/>
    <cellStyle name="Normal 4 4 2 2 2 7 4" xfId="19481" xr:uid="{B00CB389-094D-4E60-A368-D271D00D62FF}"/>
    <cellStyle name="Normal 4 4 2 2 2 8" xfId="4756" xr:uid="{00000000-0005-0000-0000-0000EE140000}"/>
    <cellStyle name="Normal 4 4 2 2 2 8 2" xfId="13198" xr:uid="{93E34FFF-7381-4CD6-BD11-13A8B0954F3A}"/>
    <cellStyle name="Normal 4 4 2 2 2 8 3" xfId="21633" xr:uid="{44531B80-7FEE-46B6-A835-A8C38B80029D}"/>
    <cellStyle name="Normal 4 4 2 2 2 9" xfId="8980" xr:uid="{C749337C-D492-41B7-B293-751DBC9DB9FF}"/>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2 2 2" xfId="15758" xr:uid="{3E82622B-E87C-42B0-93E5-67AFA8299BAB}"/>
    <cellStyle name="Normal 4 4 2 2 3 2 2 2 3" xfId="24193" xr:uid="{14B6D769-FB32-4057-BA35-D6152AF536F4}"/>
    <cellStyle name="Normal 4 4 2 2 3 2 2 3" xfId="11540" xr:uid="{2908BCB7-86F6-4506-B8A3-12246C7C7FE6}"/>
    <cellStyle name="Normal 4 4 2 2 3 2 2 4" xfId="19976" xr:uid="{3DE6A574-13ED-4C37-BA1E-05FD61ABF0AA}"/>
    <cellStyle name="Normal 4 4 2 2 3 2 3" xfId="5171" xr:uid="{00000000-0005-0000-0000-0000F3140000}"/>
    <cellStyle name="Normal 4 4 2 2 3 2 3 2" xfId="13613" xr:uid="{39D9A56B-8126-47C7-A218-A6743273E0DB}"/>
    <cellStyle name="Normal 4 4 2 2 3 2 3 3" xfId="22048" xr:uid="{DDE6C44A-0C60-4FBF-879B-2746DDAC2BC3}"/>
    <cellStyle name="Normal 4 4 2 2 3 2 4" xfId="9395" xr:uid="{B74E230D-CFBF-4D4B-9F8B-AFC9CE31A897}"/>
    <cellStyle name="Normal 4 4 2 2 3 2 5" xfId="17831" xr:uid="{B6AD1BC6-0EC3-49D6-8172-D94E3D430F5A}"/>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2 2 2" xfId="16171" xr:uid="{94119054-04ED-4EFC-BFE4-6D8CCCFBB9EF}"/>
    <cellStyle name="Normal 4 4 2 2 3 3 2 2 3" xfId="24606" xr:uid="{55498935-D83B-439C-B060-2C48291E58D5}"/>
    <cellStyle name="Normal 4 4 2 2 3 3 2 3" xfId="11953" xr:uid="{0AA632B3-9136-4AC4-8F65-3B61BE73B26F}"/>
    <cellStyle name="Normal 4 4 2 2 3 3 2 4" xfId="20389" xr:uid="{28240DC6-741B-47EF-834A-2E6D1F3A0D78}"/>
    <cellStyle name="Normal 4 4 2 2 3 3 3" xfId="5584" xr:uid="{00000000-0005-0000-0000-0000F7140000}"/>
    <cellStyle name="Normal 4 4 2 2 3 3 3 2" xfId="14026" xr:uid="{215BA2AB-777E-47A2-A708-7D7DEC16C145}"/>
    <cellStyle name="Normal 4 4 2 2 3 3 3 3" xfId="22461" xr:uid="{4C4503E4-E52A-4EB7-9499-C1692217C2CB}"/>
    <cellStyle name="Normal 4 4 2 2 3 3 4" xfId="9808" xr:uid="{640E17A2-95D4-44D9-8B38-238A66B3D004}"/>
    <cellStyle name="Normal 4 4 2 2 3 3 5" xfId="18244" xr:uid="{875A2B84-A5B8-4C37-9889-8FABDAB4A88A}"/>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2 2 2" xfId="16584" xr:uid="{FE603374-C051-4292-82EB-9A97B6637816}"/>
    <cellStyle name="Normal 4 4 2 2 3 4 2 2 3" xfId="25019" xr:uid="{75EEE435-88A1-4A85-9F28-4EACBB895D69}"/>
    <cellStyle name="Normal 4 4 2 2 3 4 2 3" xfId="12366" xr:uid="{EBF3629C-E3A2-4D72-9D18-E41B802F2713}"/>
    <cellStyle name="Normal 4 4 2 2 3 4 2 4" xfId="20802" xr:uid="{2BB48B7D-5951-4856-BB38-DDBFA56AF0DB}"/>
    <cellStyle name="Normal 4 4 2 2 3 4 3" xfId="5997" xr:uid="{00000000-0005-0000-0000-0000FB140000}"/>
    <cellStyle name="Normal 4 4 2 2 3 4 3 2" xfId="14439" xr:uid="{E3809783-7BD5-4319-A16B-88772D0643CC}"/>
    <cellStyle name="Normal 4 4 2 2 3 4 3 3" xfId="22874" xr:uid="{752571D7-A79E-4989-876C-E59B62EEB227}"/>
    <cellStyle name="Normal 4 4 2 2 3 4 4" xfId="10221" xr:uid="{E698F0BF-0F7B-41E5-9F0B-8E0B1136D023}"/>
    <cellStyle name="Normal 4 4 2 2 3 4 5" xfId="18657" xr:uid="{7F4FA431-8414-4072-B797-99177807F254}"/>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2 2 2" xfId="16997" xr:uid="{AE92734B-B9E4-46B3-AC2F-9E1CFEED6FE8}"/>
    <cellStyle name="Normal 4 4 2 2 3 5 2 2 3" xfId="25432" xr:uid="{C18A25EE-08FF-4C01-8B31-6EFE2AF75AA6}"/>
    <cellStyle name="Normal 4 4 2 2 3 5 2 3" xfId="12779" xr:uid="{F0A88811-ADA2-42AA-9F6A-04FB1C26D0E8}"/>
    <cellStyle name="Normal 4 4 2 2 3 5 2 4" xfId="21215" xr:uid="{E9D418FD-8906-43DE-B7A4-1EE22D09127A}"/>
    <cellStyle name="Normal 4 4 2 2 3 5 3" xfId="6410" xr:uid="{00000000-0005-0000-0000-0000FF140000}"/>
    <cellStyle name="Normal 4 4 2 2 3 5 3 2" xfId="14852" xr:uid="{06E0FB05-7106-4679-9205-89EEEF0743F9}"/>
    <cellStyle name="Normal 4 4 2 2 3 5 3 3" xfId="23287" xr:uid="{82C82932-8C66-4880-A03B-1BFF0BDFFE9F}"/>
    <cellStyle name="Normal 4 4 2 2 3 5 4" xfId="10634" xr:uid="{C9C93E47-8331-4F63-820D-A359DEB12678}"/>
    <cellStyle name="Normal 4 4 2 2 3 5 5" xfId="19070" xr:uid="{EEAFC4A2-BACA-4EFB-9FF3-3CD17EC6EA0E}"/>
    <cellStyle name="Normal 4 4 2 2 3 6" xfId="2539" xr:uid="{00000000-0005-0000-0000-000000150000}"/>
    <cellStyle name="Normal 4 4 2 2 3 6 2" xfId="6823" xr:uid="{00000000-0005-0000-0000-000001150000}"/>
    <cellStyle name="Normal 4 4 2 2 3 6 2 2" xfId="15265" xr:uid="{7E004AF2-3EAF-4F06-B1AA-2746F6BF4CFA}"/>
    <cellStyle name="Normal 4 4 2 2 3 6 2 3" xfId="23700" xr:uid="{349276A8-503E-4D25-85DC-A57C6C949191}"/>
    <cellStyle name="Normal 4 4 2 2 3 6 3" xfId="11047" xr:uid="{5F259CF1-D684-4101-8447-EC3E015995C6}"/>
    <cellStyle name="Normal 4 4 2 2 3 6 4" xfId="19483" xr:uid="{2ACC64A5-0E77-4A0B-B308-EE27CB4716A2}"/>
    <cellStyle name="Normal 4 4 2 2 3 7" xfId="4758" xr:uid="{00000000-0005-0000-0000-000002150000}"/>
    <cellStyle name="Normal 4 4 2 2 3 7 2" xfId="13200" xr:uid="{9935EF93-04B1-42E4-A2E1-52D7D1F373FF}"/>
    <cellStyle name="Normal 4 4 2 2 3 7 3" xfId="21635" xr:uid="{C419CEB8-5690-4E4D-810D-B3D83C8B91A6}"/>
    <cellStyle name="Normal 4 4 2 2 3 8" xfId="8982" xr:uid="{FA7C9EA9-BFD3-4CFF-8F19-F73BE69A20BC}"/>
    <cellStyle name="Normal 4 4 2 2 3 9" xfId="17418" xr:uid="{5CFC581D-CC20-4912-911C-F1BFC78A0903}"/>
    <cellStyle name="Normal 4 4 2 2 4" xfId="855" xr:uid="{00000000-0005-0000-0000-000003150000}"/>
    <cellStyle name="Normal 4 4 2 2 4 2" xfId="3090" xr:uid="{00000000-0005-0000-0000-000004150000}"/>
    <cellStyle name="Normal 4 4 2 2 4 2 2" xfId="7313" xr:uid="{00000000-0005-0000-0000-000005150000}"/>
    <cellStyle name="Normal 4 4 2 2 4 2 2 2" xfId="15755" xr:uid="{89B9D690-4E39-4DCA-9E89-B5D0BAE1C94B}"/>
    <cellStyle name="Normal 4 4 2 2 4 2 2 3" xfId="24190" xr:uid="{16094FA8-A000-4DE2-850C-094431F04BA5}"/>
    <cellStyle name="Normal 4 4 2 2 4 2 3" xfId="11537" xr:uid="{B31B3A46-BA2B-4DE5-92FD-B9623A973280}"/>
    <cellStyle name="Normal 4 4 2 2 4 2 4" xfId="19973" xr:uid="{62919E46-E79E-476C-B3DB-6646BAAEFBD0}"/>
    <cellStyle name="Normal 4 4 2 2 4 3" xfId="5168" xr:uid="{00000000-0005-0000-0000-000006150000}"/>
    <cellStyle name="Normal 4 4 2 2 4 3 2" xfId="13610" xr:uid="{200B874E-1194-4BF5-9823-7BC83C992B33}"/>
    <cellStyle name="Normal 4 4 2 2 4 3 3" xfId="22045" xr:uid="{D6510AAE-E9E8-4AF2-8169-21245D48D360}"/>
    <cellStyle name="Normal 4 4 2 2 4 4" xfId="9392" xr:uid="{A1153EF8-68BC-46D3-BA01-FA36CB3D730E}"/>
    <cellStyle name="Normal 4 4 2 2 4 5" xfId="17828" xr:uid="{5A49E660-D76B-46A1-93AD-3225F7974AF4}"/>
    <cellStyle name="Normal 4 4 2 2 5" xfId="1273" xr:uid="{00000000-0005-0000-0000-000007150000}"/>
    <cellStyle name="Normal 4 4 2 2 5 2" xfId="3503" xr:uid="{00000000-0005-0000-0000-000008150000}"/>
    <cellStyle name="Normal 4 4 2 2 5 2 2" xfId="7726" xr:uid="{00000000-0005-0000-0000-000009150000}"/>
    <cellStyle name="Normal 4 4 2 2 5 2 2 2" xfId="16168" xr:uid="{FA3BF47D-A4FD-4BE7-9B3C-FFE78ADB8083}"/>
    <cellStyle name="Normal 4 4 2 2 5 2 2 3" xfId="24603" xr:uid="{4317F9A1-9C68-4FF9-BF03-28ED454F880F}"/>
    <cellStyle name="Normal 4 4 2 2 5 2 3" xfId="11950" xr:uid="{8554D062-8A01-4804-A3A7-F23F1EBE4F9B}"/>
    <cellStyle name="Normal 4 4 2 2 5 2 4" xfId="20386" xr:uid="{A9D78610-CC5A-4E13-A3DF-60688A96139E}"/>
    <cellStyle name="Normal 4 4 2 2 5 3" xfId="5581" xr:uid="{00000000-0005-0000-0000-00000A150000}"/>
    <cellStyle name="Normal 4 4 2 2 5 3 2" xfId="14023" xr:uid="{60C1882E-C38B-4344-B43D-7B35AEF758EC}"/>
    <cellStyle name="Normal 4 4 2 2 5 3 3" xfId="22458" xr:uid="{F3448014-B26B-45D1-B976-52A125E20F16}"/>
    <cellStyle name="Normal 4 4 2 2 5 4" xfId="9805" xr:uid="{54268C78-A3D4-4F53-8509-149D92848250}"/>
    <cellStyle name="Normal 4 4 2 2 5 5" xfId="18241" xr:uid="{8ACB1504-8963-4A1B-8C5D-523EB2E5E845}"/>
    <cellStyle name="Normal 4 4 2 2 6" xfId="1686" xr:uid="{00000000-0005-0000-0000-00000B150000}"/>
    <cellStyle name="Normal 4 4 2 2 6 2" xfId="3916" xr:uid="{00000000-0005-0000-0000-00000C150000}"/>
    <cellStyle name="Normal 4 4 2 2 6 2 2" xfId="8139" xr:uid="{00000000-0005-0000-0000-00000D150000}"/>
    <cellStyle name="Normal 4 4 2 2 6 2 2 2" xfId="16581" xr:uid="{8EABE89E-DF28-44F8-A00F-391D8590869C}"/>
    <cellStyle name="Normal 4 4 2 2 6 2 2 3" xfId="25016" xr:uid="{EBE88F66-EE85-46F0-B77D-B12DEE552D18}"/>
    <cellStyle name="Normal 4 4 2 2 6 2 3" xfId="12363" xr:uid="{5D75EF8C-3820-4787-8581-81B2124E3935}"/>
    <cellStyle name="Normal 4 4 2 2 6 2 4" xfId="20799" xr:uid="{9098311C-F7EE-4FE3-B3E2-D1EC63AF4907}"/>
    <cellStyle name="Normal 4 4 2 2 6 3" xfId="5994" xr:uid="{00000000-0005-0000-0000-00000E150000}"/>
    <cellStyle name="Normal 4 4 2 2 6 3 2" xfId="14436" xr:uid="{C3B16086-1559-41E1-BE1F-86EADCAF03CC}"/>
    <cellStyle name="Normal 4 4 2 2 6 3 3" xfId="22871" xr:uid="{731762E8-7275-401C-BEED-E206FF314AE9}"/>
    <cellStyle name="Normal 4 4 2 2 6 4" xfId="10218" xr:uid="{B0321372-4DAF-485D-9DCA-049438BBAA95}"/>
    <cellStyle name="Normal 4 4 2 2 6 5" xfId="18654" xr:uid="{58EA73C5-E2C7-446B-8581-901C2710A327}"/>
    <cellStyle name="Normal 4 4 2 2 7" xfId="2100" xr:uid="{00000000-0005-0000-0000-00000F150000}"/>
    <cellStyle name="Normal 4 4 2 2 7 2" xfId="4329" xr:uid="{00000000-0005-0000-0000-000010150000}"/>
    <cellStyle name="Normal 4 4 2 2 7 2 2" xfId="8552" xr:uid="{00000000-0005-0000-0000-000011150000}"/>
    <cellStyle name="Normal 4 4 2 2 7 2 2 2" xfId="16994" xr:uid="{22457170-61BB-40D1-951A-EAD6D06E8C6F}"/>
    <cellStyle name="Normal 4 4 2 2 7 2 2 3" xfId="25429" xr:uid="{7CCF978E-AB6C-4ACE-9549-43E5136256C3}"/>
    <cellStyle name="Normal 4 4 2 2 7 2 3" xfId="12776" xr:uid="{D818F885-4592-496A-8D96-127AE2FBF512}"/>
    <cellStyle name="Normal 4 4 2 2 7 2 4" xfId="21212" xr:uid="{3CC6286A-F7F3-4044-88B6-FF3D36FCE8CB}"/>
    <cellStyle name="Normal 4 4 2 2 7 3" xfId="6407" xr:uid="{00000000-0005-0000-0000-000012150000}"/>
    <cellStyle name="Normal 4 4 2 2 7 3 2" xfId="14849" xr:uid="{72AE57DE-C7B8-466C-9DAB-E60214F5DCFC}"/>
    <cellStyle name="Normal 4 4 2 2 7 3 3" xfId="23284" xr:uid="{ADEDC74D-9657-4817-9F3B-39CC385B4F33}"/>
    <cellStyle name="Normal 4 4 2 2 7 4" xfId="10631" xr:uid="{DFE7624F-8282-43E3-8B10-7D86337885A5}"/>
    <cellStyle name="Normal 4 4 2 2 7 5" xfId="19067" xr:uid="{0F0564D4-48B6-4216-B096-17724C56BE8E}"/>
    <cellStyle name="Normal 4 4 2 2 8" xfId="2536" xr:uid="{00000000-0005-0000-0000-000013150000}"/>
    <cellStyle name="Normal 4 4 2 2 8 2" xfId="6820" xr:uid="{00000000-0005-0000-0000-000014150000}"/>
    <cellStyle name="Normal 4 4 2 2 8 2 2" xfId="15262" xr:uid="{A5743F75-BCA8-4E7D-8A52-FE479D5B758D}"/>
    <cellStyle name="Normal 4 4 2 2 8 2 3" xfId="23697" xr:uid="{B913FDC8-1EC3-42BD-897F-45FB875AF63A}"/>
    <cellStyle name="Normal 4 4 2 2 8 3" xfId="11044" xr:uid="{B895EFEC-8837-44B2-B212-2B174C0BE465}"/>
    <cellStyle name="Normal 4 4 2 2 8 4" xfId="19480" xr:uid="{2AEAE802-A453-47D1-8B3B-9A6321B530A7}"/>
    <cellStyle name="Normal 4 4 2 2 9" xfId="4755" xr:uid="{00000000-0005-0000-0000-000015150000}"/>
    <cellStyle name="Normal 4 4 2 2 9 2" xfId="13197" xr:uid="{B5C63E95-1111-4046-892F-AE21AC7D55F5}"/>
    <cellStyle name="Normal 4 4 2 2 9 3" xfId="21632" xr:uid="{94F442C4-C36B-4966-9B75-9AC75BAA5D20}"/>
    <cellStyle name="Normal 4 4 2 3" xfId="384" xr:uid="{00000000-0005-0000-0000-000016150000}"/>
    <cellStyle name="Normal 4 4 2 3 10" xfId="17419" xr:uid="{2558C469-51CA-4898-B951-60C71276C32A}"/>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2 2 2" xfId="15760" xr:uid="{DACBDA33-9034-4417-A948-CF1823FD55E7}"/>
    <cellStyle name="Normal 4 4 2 3 2 2 2 2 3" xfId="24195" xr:uid="{D2319588-0AB4-4C68-9A42-D8187B4B4D49}"/>
    <cellStyle name="Normal 4 4 2 3 2 2 2 3" xfId="11542" xr:uid="{C890647D-E557-4B8D-8715-E3C46AEFCDE9}"/>
    <cellStyle name="Normal 4 4 2 3 2 2 2 4" xfId="19978" xr:uid="{AAD510DD-5898-4B5F-8888-455B2F9FAF22}"/>
    <cellStyle name="Normal 4 4 2 3 2 2 3" xfId="5173" xr:uid="{00000000-0005-0000-0000-00001B150000}"/>
    <cellStyle name="Normal 4 4 2 3 2 2 3 2" xfId="13615" xr:uid="{F7BE817E-BDA4-4F62-B4EE-422D5E85E4E1}"/>
    <cellStyle name="Normal 4 4 2 3 2 2 3 3" xfId="22050" xr:uid="{EF42C2D7-276C-4CBE-BF18-05863AD9049E}"/>
    <cellStyle name="Normal 4 4 2 3 2 2 4" xfId="9397" xr:uid="{7BB98B26-14BC-4816-A2B8-C5C99D109E8F}"/>
    <cellStyle name="Normal 4 4 2 3 2 2 5" xfId="17833" xr:uid="{D871C2E9-DFBA-4622-8969-88BCA3EF080B}"/>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2 2 2" xfId="16173" xr:uid="{9272D375-FE43-4F0D-8F72-EECB6E80278B}"/>
    <cellStyle name="Normal 4 4 2 3 2 3 2 2 3" xfId="24608" xr:uid="{31A4FD14-61A3-45EA-ADBF-C5158610989C}"/>
    <cellStyle name="Normal 4 4 2 3 2 3 2 3" xfId="11955" xr:uid="{5D072C00-ACB3-4479-8CE3-1A7EED9DC22B}"/>
    <cellStyle name="Normal 4 4 2 3 2 3 2 4" xfId="20391" xr:uid="{7DF40126-5971-4143-BC38-5AA47650E428}"/>
    <cellStyle name="Normal 4 4 2 3 2 3 3" xfId="5586" xr:uid="{00000000-0005-0000-0000-00001F150000}"/>
    <cellStyle name="Normal 4 4 2 3 2 3 3 2" xfId="14028" xr:uid="{B0679318-A4FA-4C4D-86DB-F764C8BD7374}"/>
    <cellStyle name="Normal 4 4 2 3 2 3 3 3" xfId="22463" xr:uid="{0FCE8651-A87B-4E49-9275-6D4D1D2B8B4B}"/>
    <cellStyle name="Normal 4 4 2 3 2 3 4" xfId="9810" xr:uid="{B71B041D-5D9B-4C3C-81E5-8AF589F74281}"/>
    <cellStyle name="Normal 4 4 2 3 2 3 5" xfId="18246" xr:uid="{D5EA5906-F4EF-4CA0-A271-34B95C0CECAF}"/>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2 2 2" xfId="16586" xr:uid="{F7B56CFC-2260-4B0D-A2E1-C986A10FB07E}"/>
    <cellStyle name="Normal 4 4 2 3 2 4 2 2 3" xfId="25021" xr:uid="{4208459A-62F3-4C91-AB63-C0BAA61DFE30}"/>
    <cellStyle name="Normal 4 4 2 3 2 4 2 3" xfId="12368" xr:uid="{E438974F-C497-48C8-BD66-83E311382FD1}"/>
    <cellStyle name="Normal 4 4 2 3 2 4 2 4" xfId="20804" xr:uid="{D2D0ADB6-8250-4562-9C58-65931E5D9B82}"/>
    <cellStyle name="Normal 4 4 2 3 2 4 3" xfId="5999" xr:uid="{00000000-0005-0000-0000-000023150000}"/>
    <cellStyle name="Normal 4 4 2 3 2 4 3 2" xfId="14441" xr:uid="{9486AE3E-E925-442D-B2AB-BCED2CFEC2BD}"/>
    <cellStyle name="Normal 4 4 2 3 2 4 3 3" xfId="22876" xr:uid="{CC9A30C0-A0D8-4455-A1D6-99976E57BB5F}"/>
    <cellStyle name="Normal 4 4 2 3 2 4 4" xfId="10223" xr:uid="{67F23EC2-6983-4152-A6D9-A65CD37DF023}"/>
    <cellStyle name="Normal 4 4 2 3 2 4 5" xfId="18659" xr:uid="{219EE532-03DA-4DB3-A57E-56B4D5A7DF47}"/>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2 2 2" xfId="16999" xr:uid="{B3043F56-624B-41B1-817B-B8D81DF41A8A}"/>
    <cellStyle name="Normal 4 4 2 3 2 5 2 2 3" xfId="25434" xr:uid="{364D7330-0608-4A50-A784-B24294A659BB}"/>
    <cellStyle name="Normal 4 4 2 3 2 5 2 3" xfId="12781" xr:uid="{A7D8D7EC-A4DC-4266-A306-E44A6CA3EF1A}"/>
    <cellStyle name="Normal 4 4 2 3 2 5 2 4" xfId="21217" xr:uid="{78505A20-19D0-4C43-AE93-F39C75D75FC3}"/>
    <cellStyle name="Normal 4 4 2 3 2 5 3" xfId="6412" xr:uid="{00000000-0005-0000-0000-000027150000}"/>
    <cellStyle name="Normal 4 4 2 3 2 5 3 2" xfId="14854" xr:uid="{A8DE737C-6474-4ECA-991A-8C3932475C6A}"/>
    <cellStyle name="Normal 4 4 2 3 2 5 3 3" xfId="23289" xr:uid="{5745677E-79E2-40D3-B796-01FBC9FF3742}"/>
    <cellStyle name="Normal 4 4 2 3 2 5 4" xfId="10636" xr:uid="{7D20E043-4090-4656-95E4-6E3272BEC33B}"/>
    <cellStyle name="Normal 4 4 2 3 2 5 5" xfId="19072" xr:uid="{7FA6ADB4-952C-4FC7-8CB5-45F24C4BF1A3}"/>
    <cellStyle name="Normal 4 4 2 3 2 6" xfId="2541" xr:uid="{00000000-0005-0000-0000-000028150000}"/>
    <cellStyle name="Normal 4 4 2 3 2 6 2" xfId="6825" xr:uid="{00000000-0005-0000-0000-000029150000}"/>
    <cellStyle name="Normal 4 4 2 3 2 6 2 2" xfId="15267" xr:uid="{B0CE9EE4-32B1-4999-8041-D578CA5F286C}"/>
    <cellStyle name="Normal 4 4 2 3 2 6 2 3" xfId="23702" xr:uid="{9710CD6F-C5B9-409F-BF90-820E664ED120}"/>
    <cellStyle name="Normal 4 4 2 3 2 6 3" xfId="11049" xr:uid="{E45E4FB3-DA22-4ECE-A11E-5FC0F357B335}"/>
    <cellStyle name="Normal 4 4 2 3 2 6 4" xfId="19485" xr:uid="{F18ADEF4-45C6-457D-9993-BCA71E741C3F}"/>
    <cellStyle name="Normal 4 4 2 3 2 7" xfId="4760" xr:uid="{00000000-0005-0000-0000-00002A150000}"/>
    <cellStyle name="Normal 4 4 2 3 2 7 2" xfId="13202" xr:uid="{0CCB0FDB-899A-4194-B955-7798AFBC09D1}"/>
    <cellStyle name="Normal 4 4 2 3 2 7 3" xfId="21637" xr:uid="{3B0AE135-5F97-4DB4-8A5E-D52E627F1B1C}"/>
    <cellStyle name="Normal 4 4 2 3 2 8" xfId="8984" xr:uid="{D56382AD-4FD4-438F-8911-7B2D6FB5A91A}"/>
    <cellStyle name="Normal 4 4 2 3 2 9" xfId="17420" xr:uid="{867E8CD3-B186-491A-838A-EDC5BD8352A2}"/>
    <cellStyle name="Normal 4 4 2 3 3" xfId="859" xr:uid="{00000000-0005-0000-0000-00002B150000}"/>
    <cellStyle name="Normal 4 4 2 3 3 2" xfId="3094" xr:uid="{00000000-0005-0000-0000-00002C150000}"/>
    <cellStyle name="Normal 4 4 2 3 3 2 2" xfId="7317" xr:uid="{00000000-0005-0000-0000-00002D150000}"/>
    <cellStyle name="Normal 4 4 2 3 3 2 2 2" xfId="15759" xr:uid="{B174315E-311D-4470-9640-0E501882B7B2}"/>
    <cellStyle name="Normal 4 4 2 3 3 2 2 3" xfId="24194" xr:uid="{5F06A7AB-B25B-41D9-90A5-6957C30D202B}"/>
    <cellStyle name="Normal 4 4 2 3 3 2 3" xfId="11541" xr:uid="{E7BFBBCC-00F8-4276-9C13-F7BC508FF24E}"/>
    <cellStyle name="Normal 4 4 2 3 3 2 4" xfId="19977" xr:uid="{B8238FBA-FFE0-46CC-86A2-F79A9F0CA92E}"/>
    <cellStyle name="Normal 4 4 2 3 3 3" xfId="5172" xr:uid="{00000000-0005-0000-0000-00002E150000}"/>
    <cellStyle name="Normal 4 4 2 3 3 3 2" xfId="13614" xr:uid="{30A55699-B303-4761-B2E2-92E499C733BB}"/>
    <cellStyle name="Normal 4 4 2 3 3 3 3" xfId="22049" xr:uid="{B13A5795-664D-4195-8FD4-F758993245E0}"/>
    <cellStyle name="Normal 4 4 2 3 3 4" xfId="9396" xr:uid="{CFD03AB1-9E8D-410C-9E56-45AD37A6E512}"/>
    <cellStyle name="Normal 4 4 2 3 3 5" xfId="17832" xr:uid="{24901F57-182C-4BF7-A998-B82FB2589ECA}"/>
    <cellStyle name="Normal 4 4 2 3 4" xfId="1277" xr:uid="{00000000-0005-0000-0000-00002F150000}"/>
    <cellStyle name="Normal 4 4 2 3 4 2" xfId="3507" xr:uid="{00000000-0005-0000-0000-000030150000}"/>
    <cellStyle name="Normal 4 4 2 3 4 2 2" xfId="7730" xr:uid="{00000000-0005-0000-0000-000031150000}"/>
    <cellStyle name="Normal 4 4 2 3 4 2 2 2" xfId="16172" xr:uid="{65F9E484-B5C2-48E6-B632-DD0844DD8534}"/>
    <cellStyle name="Normal 4 4 2 3 4 2 2 3" xfId="24607" xr:uid="{F8246AB3-78CE-4E22-916C-580D1A9B66B6}"/>
    <cellStyle name="Normal 4 4 2 3 4 2 3" xfId="11954" xr:uid="{4C3031BD-3FC6-40F7-8B07-3AB70271195E}"/>
    <cellStyle name="Normal 4 4 2 3 4 2 4" xfId="20390" xr:uid="{9B8B7189-F43E-4F50-98B2-51C68439F19B}"/>
    <cellStyle name="Normal 4 4 2 3 4 3" xfId="5585" xr:uid="{00000000-0005-0000-0000-000032150000}"/>
    <cellStyle name="Normal 4 4 2 3 4 3 2" xfId="14027" xr:uid="{C09ECAD0-3885-45EF-B9B1-8DDB56202B6A}"/>
    <cellStyle name="Normal 4 4 2 3 4 3 3" xfId="22462" xr:uid="{84D0DD0F-F815-4495-9397-823D8BCBBF14}"/>
    <cellStyle name="Normal 4 4 2 3 4 4" xfId="9809" xr:uid="{FA3A7CD3-08ED-47BC-99F9-18BBCE1ED8E1}"/>
    <cellStyle name="Normal 4 4 2 3 4 5" xfId="18245" xr:uid="{7C1D6200-1D67-4A92-BA51-47921BE4CACF}"/>
    <cellStyle name="Normal 4 4 2 3 5" xfId="1690" xr:uid="{00000000-0005-0000-0000-000033150000}"/>
    <cellStyle name="Normal 4 4 2 3 5 2" xfId="3920" xr:uid="{00000000-0005-0000-0000-000034150000}"/>
    <cellStyle name="Normal 4 4 2 3 5 2 2" xfId="8143" xr:uid="{00000000-0005-0000-0000-000035150000}"/>
    <cellStyle name="Normal 4 4 2 3 5 2 2 2" xfId="16585" xr:uid="{39DF2D18-BE6B-488B-99CF-6EB56E137969}"/>
    <cellStyle name="Normal 4 4 2 3 5 2 2 3" xfId="25020" xr:uid="{AF5E7924-2F42-4481-8707-C9CFDCB0D327}"/>
    <cellStyle name="Normal 4 4 2 3 5 2 3" xfId="12367" xr:uid="{A9017E79-9B8B-48B6-B25A-67626307BD32}"/>
    <cellStyle name="Normal 4 4 2 3 5 2 4" xfId="20803" xr:uid="{830CF66B-9AF8-402C-947F-698A39818CD2}"/>
    <cellStyle name="Normal 4 4 2 3 5 3" xfId="5998" xr:uid="{00000000-0005-0000-0000-000036150000}"/>
    <cellStyle name="Normal 4 4 2 3 5 3 2" xfId="14440" xr:uid="{2DB18488-E0E2-4FEC-AAE4-7F8ABAF68813}"/>
    <cellStyle name="Normal 4 4 2 3 5 3 3" xfId="22875" xr:uid="{E981DEF9-CC10-48D4-85EE-0720CADF9035}"/>
    <cellStyle name="Normal 4 4 2 3 5 4" xfId="10222" xr:uid="{DAF75CD0-7512-4953-A473-F047ACC2D8A1}"/>
    <cellStyle name="Normal 4 4 2 3 5 5" xfId="18658" xr:uid="{BF06352E-F4FD-4467-A12D-18A5A95CED78}"/>
    <cellStyle name="Normal 4 4 2 3 6" xfId="2104" xr:uid="{00000000-0005-0000-0000-000037150000}"/>
    <cellStyle name="Normal 4 4 2 3 6 2" xfId="4333" xr:uid="{00000000-0005-0000-0000-000038150000}"/>
    <cellStyle name="Normal 4 4 2 3 6 2 2" xfId="8556" xr:uid="{00000000-0005-0000-0000-000039150000}"/>
    <cellStyle name="Normal 4 4 2 3 6 2 2 2" xfId="16998" xr:uid="{4C9F3A1B-D61F-466C-8BDC-E99442705CCF}"/>
    <cellStyle name="Normal 4 4 2 3 6 2 2 3" xfId="25433" xr:uid="{DC31D71B-34C8-4107-8C0E-3B417D00EB87}"/>
    <cellStyle name="Normal 4 4 2 3 6 2 3" xfId="12780" xr:uid="{5E4FAF4E-65FC-4ADB-8583-3B925D193D58}"/>
    <cellStyle name="Normal 4 4 2 3 6 2 4" xfId="21216" xr:uid="{73C72B5F-941A-46E8-904F-2725BFC47BC0}"/>
    <cellStyle name="Normal 4 4 2 3 6 3" xfId="6411" xr:uid="{00000000-0005-0000-0000-00003A150000}"/>
    <cellStyle name="Normal 4 4 2 3 6 3 2" xfId="14853" xr:uid="{FB3C9C3B-5CFF-44C5-84FE-9BC60966217B}"/>
    <cellStyle name="Normal 4 4 2 3 6 3 3" xfId="23288" xr:uid="{56319934-541A-4D72-B620-0901D0B8E23F}"/>
    <cellStyle name="Normal 4 4 2 3 6 4" xfId="10635" xr:uid="{0E704AEF-2B09-4456-9B0D-47E5C9DF5523}"/>
    <cellStyle name="Normal 4 4 2 3 6 5" xfId="19071" xr:uid="{FF74EFB3-550B-465D-A9FB-C4753B25170F}"/>
    <cellStyle name="Normal 4 4 2 3 7" xfId="2540" xr:uid="{00000000-0005-0000-0000-00003B150000}"/>
    <cellStyle name="Normal 4 4 2 3 7 2" xfId="6824" xr:uid="{00000000-0005-0000-0000-00003C150000}"/>
    <cellStyle name="Normal 4 4 2 3 7 2 2" xfId="15266" xr:uid="{25C9CB57-4814-40B1-92B5-BF0DEAB7D530}"/>
    <cellStyle name="Normal 4 4 2 3 7 2 3" xfId="23701" xr:uid="{FB2A4B0B-2FFE-4184-8F58-651A76C44115}"/>
    <cellStyle name="Normal 4 4 2 3 7 3" xfId="11048" xr:uid="{4A21883B-0A7C-4262-88AF-52875BA69601}"/>
    <cellStyle name="Normal 4 4 2 3 7 4" xfId="19484" xr:uid="{F7A44EA9-48FA-423F-8A33-DB82A7D6BE27}"/>
    <cellStyle name="Normal 4 4 2 3 8" xfId="4759" xr:uid="{00000000-0005-0000-0000-00003D150000}"/>
    <cellStyle name="Normal 4 4 2 3 8 2" xfId="13201" xr:uid="{819E14B6-32CB-4B76-98EC-74730B000B4B}"/>
    <cellStyle name="Normal 4 4 2 3 8 3" xfId="21636" xr:uid="{4D6C547B-E4E9-413E-B1FC-427320D2FE32}"/>
    <cellStyle name="Normal 4 4 2 3 9" xfId="8983" xr:uid="{7707B173-2446-49C9-BF7F-26301D37471A}"/>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2 2 2" xfId="15761" xr:uid="{2D5D851D-5238-4E49-97D0-08F8883ADFFE}"/>
    <cellStyle name="Normal 4 4 2 4 2 2 2 3" xfId="24196" xr:uid="{A798D9A4-4D28-4C08-874B-78D3DDCFA6A3}"/>
    <cellStyle name="Normal 4 4 2 4 2 2 3" xfId="11543" xr:uid="{8DE32E2A-792E-4EE2-A3A0-9DB2240FB0FC}"/>
    <cellStyle name="Normal 4 4 2 4 2 2 4" xfId="19979" xr:uid="{62FA6934-0AC1-4F55-8C99-302E4940DE04}"/>
    <cellStyle name="Normal 4 4 2 4 2 3" xfId="5174" xr:uid="{00000000-0005-0000-0000-000042150000}"/>
    <cellStyle name="Normal 4 4 2 4 2 3 2" xfId="13616" xr:uid="{FA8B709F-4E9A-4D65-9558-634A42654FAB}"/>
    <cellStyle name="Normal 4 4 2 4 2 3 3" xfId="22051" xr:uid="{37F1977B-75EB-41FE-BBC9-B71BD7F952C0}"/>
    <cellStyle name="Normal 4 4 2 4 2 4" xfId="9398" xr:uid="{BF669222-ECB1-401D-A055-4AD70B0EEC9F}"/>
    <cellStyle name="Normal 4 4 2 4 2 5" xfId="17834" xr:uid="{4BC5CE7C-03F3-4297-8B06-4362D377466D}"/>
    <cellStyle name="Normal 4 4 2 4 3" xfId="1279" xr:uid="{00000000-0005-0000-0000-000043150000}"/>
    <cellStyle name="Normal 4 4 2 4 3 2" xfId="3509" xr:uid="{00000000-0005-0000-0000-000044150000}"/>
    <cellStyle name="Normal 4 4 2 4 3 2 2" xfId="7732" xr:uid="{00000000-0005-0000-0000-000045150000}"/>
    <cellStyle name="Normal 4 4 2 4 3 2 2 2" xfId="16174" xr:uid="{E4ACE261-772A-4363-82D5-8E716E96318E}"/>
    <cellStyle name="Normal 4 4 2 4 3 2 2 3" xfId="24609" xr:uid="{F209685B-59AD-438E-92A0-C546F0464FEB}"/>
    <cellStyle name="Normal 4 4 2 4 3 2 3" xfId="11956" xr:uid="{C40D0A0E-5DB4-45F4-A712-BE3A275C8734}"/>
    <cellStyle name="Normal 4 4 2 4 3 2 4" xfId="20392" xr:uid="{0C77B9D4-B7B4-41E5-AAA9-33D326F6CF49}"/>
    <cellStyle name="Normal 4 4 2 4 3 3" xfId="5587" xr:uid="{00000000-0005-0000-0000-000046150000}"/>
    <cellStyle name="Normal 4 4 2 4 3 3 2" xfId="14029" xr:uid="{F59EE10B-1CCD-4583-A8D6-13062FFE8807}"/>
    <cellStyle name="Normal 4 4 2 4 3 3 3" xfId="22464" xr:uid="{2182F267-95AE-43E9-A51B-14911B4C25F8}"/>
    <cellStyle name="Normal 4 4 2 4 3 4" xfId="9811" xr:uid="{38EE5B28-A023-47B2-923E-CC0581DE2F86}"/>
    <cellStyle name="Normal 4 4 2 4 3 5" xfId="18247" xr:uid="{6E28CE51-2EFB-49A6-99FD-BECA35DD5DD0}"/>
    <cellStyle name="Normal 4 4 2 4 4" xfId="1692" xr:uid="{00000000-0005-0000-0000-000047150000}"/>
    <cellStyle name="Normal 4 4 2 4 4 2" xfId="3922" xr:uid="{00000000-0005-0000-0000-000048150000}"/>
    <cellStyle name="Normal 4 4 2 4 4 2 2" xfId="8145" xr:uid="{00000000-0005-0000-0000-000049150000}"/>
    <cellStyle name="Normal 4 4 2 4 4 2 2 2" xfId="16587" xr:uid="{F891DCC8-3AF2-4CA3-BFA8-A6886450C427}"/>
    <cellStyle name="Normal 4 4 2 4 4 2 2 3" xfId="25022" xr:uid="{450994F9-AA4D-4E2D-9E27-A795799E5393}"/>
    <cellStyle name="Normal 4 4 2 4 4 2 3" xfId="12369" xr:uid="{E54CFC2F-AEA8-4BF6-8E39-D5A35E65F996}"/>
    <cellStyle name="Normal 4 4 2 4 4 2 4" xfId="20805" xr:uid="{C6A98C90-8D8D-498B-BDEA-A117DF224E16}"/>
    <cellStyle name="Normal 4 4 2 4 4 3" xfId="6000" xr:uid="{00000000-0005-0000-0000-00004A150000}"/>
    <cellStyle name="Normal 4 4 2 4 4 3 2" xfId="14442" xr:uid="{E420AEB9-5C12-49BB-82CF-66B59FB325CE}"/>
    <cellStyle name="Normal 4 4 2 4 4 3 3" xfId="22877" xr:uid="{3CFBCF68-7E20-43E4-B6E3-517C573CE8CE}"/>
    <cellStyle name="Normal 4 4 2 4 4 4" xfId="10224" xr:uid="{36244761-DC00-45C6-A5CD-155173395421}"/>
    <cellStyle name="Normal 4 4 2 4 4 5" xfId="18660" xr:uid="{4A082F18-7E29-4392-9C79-35AC7D9D5A05}"/>
    <cellStyle name="Normal 4 4 2 4 5" xfId="2106" xr:uid="{00000000-0005-0000-0000-00004B150000}"/>
    <cellStyle name="Normal 4 4 2 4 5 2" xfId="4335" xr:uid="{00000000-0005-0000-0000-00004C150000}"/>
    <cellStyle name="Normal 4 4 2 4 5 2 2" xfId="8558" xr:uid="{00000000-0005-0000-0000-00004D150000}"/>
    <cellStyle name="Normal 4 4 2 4 5 2 2 2" xfId="17000" xr:uid="{B5204D6B-FC44-46C9-8072-6D4738377A92}"/>
    <cellStyle name="Normal 4 4 2 4 5 2 2 3" xfId="25435" xr:uid="{1E381DF6-6196-4221-A96C-47C7B81847A9}"/>
    <cellStyle name="Normal 4 4 2 4 5 2 3" xfId="12782" xr:uid="{5E995F6A-72FC-4D37-924E-1D8D5CFD91BC}"/>
    <cellStyle name="Normal 4 4 2 4 5 2 4" xfId="21218" xr:uid="{6BED1188-DF20-4A77-9385-5C846623C698}"/>
    <cellStyle name="Normal 4 4 2 4 5 3" xfId="6413" xr:uid="{00000000-0005-0000-0000-00004E150000}"/>
    <cellStyle name="Normal 4 4 2 4 5 3 2" xfId="14855" xr:uid="{B67B3570-9F76-4A17-BC46-6A91CF7290DF}"/>
    <cellStyle name="Normal 4 4 2 4 5 3 3" xfId="23290" xr:uid="{F0EE039A-A29F-4B2D-91EB-8F4512CC8787}"/>
    <cellStyle name="Normal 4 4 2 4 5 4" xfId="10637" xr:uid="{D511A738-8CE3-45B7-9572-58990838149C}"/>
    <cellStyle name="Normal 4 4 2 4 5 5" xfId="19073" xr:uid="{F610E6F7-D401-44C5-87B3-054D3425987C}"/>
    <cellStyle name="Normal 4 4 2 4 6" xfId="2542" xr:uid="{00000000-0005-0000-0000-00004F150000}"/>
    <cellStyle name="Normal 4 4 2 4 6 2" xfId="6826" xr:uid="{00000000-0005-0000-0000-000050150000}"/>
    <cellStyle name="Normal 4 4 2 4 6 2 2" xfId="15268" xr:uid="{096A088B-93AF-4C31-9FE3-5B9B37F725CC}"/>
    <cellStyle name="Normal 4 4 2 4 6 2 3" xfId="23703" xr:uid="{3B22C65D-EC05-4BCE-9A19-E0193560C5DD}"/>
    <cellStyle name="Normal 4 4 2 4 6 3" xfId="11050" xr:uid="{F5731431-317E-41D5-B633-EBA190524364}"/>
    <cellStyle name="Normal 4 4 2 4 6 4" xfId="19486" xr:uid="{8C283571-77A5-461D-AD35-E984F6397032}"/>
    <cellStyle name="Normal 4 4 2 4 7" xfId="4761" xr:uid="{00000000-0005-0000-0000-000051150000}"/>
    <cellStyle name="Normal 4 4 2 4 7 2" xfId="13203" xr:uid="{C7694D58-49AF-4D99-87AE-F4C048FA6811}"/>
    <cellStyle name="Normal 4 4 2 4 7 3" xfId="21638" xr:uid="{BA10DF70-47C0-4811-8A88-E7179DCC626D}"/>
    <cellStyle name="Normal 4 4 2 4 8" xfId="8985" xr:uid="{B110D7C6-33CD-424E-84DE-C015FBFD9561}"/>
    <cellStyle name="Normal 4 4 2 4 9" xfId="17421" xr:uid="{FBADB1B3-D618-4264-934A-E84586969355}"/>
    <cellStyle name="Normal 4 4 2 5" xfId="854" xr:uid="{00000000-0005-0000-0000-000052150000}"/>
    <cellStyle name="Normal 4 4 2 5 2" xfId="3089" xr:uid="{00000000-0005-0000-0000-000053150000}"/>
    <cellStyle name="Normal 4 4 2 5 2 2" xfId="7312" xr:uid="{00000000-0005-0000-0000-000054150000}"/>
    <cellStyle name="Normal 4 4 2 5 2 2 2" xfId="15754" xr:uid="{0A31C61A-9C6B-4E28-BC63-6AE5FF63784A}"/>
    <cellStyle name="Normal 4 4 2 5 2 2 3" xfId="24189" xr:uid="{B023DED4-8F34-412B-A272-916C40DC0D14}"/>
    <cellStyle name="Normal 4 4 2 5 2 3" xfId="11536" xr:uid="{B92CC689-36E2-4A77-9934-F157B581346D}"/>
    <cellStyle name="Normal 4 4 2 5 2 4" xfId="19972" xr:uid="{32D358D5-D2AC-482B-B301-535AD9569F8F}"/>
    <cellStyle name="Normal 4 4 2 5 3" xfId="5167" xr:uid="{00000000-0005-0000-0000-000055150000}"/>
    <cellStyle name="Normal 4 4 2 5 3 2" xfId="13609" xr:uid="{A31AD817-0C36-486F-B4A9-80F091B65831}"/>
    <cellStyle name="Normal 4 4 2 5 3 3" xfId="22044" xr:uid="{757106CF-8405-45E9-AAA1-084C9B639CC7}"/>
    <cellStyle name="Normal 4 4 2 5 4" xfId="9391" xr:uid="{443A54E8-B810-4DA3-8786-4B78216A56CC}"/>
    <cellStyle name="Normal 4 4 2 5 5" xfId="17827" xr:uid="{977FF214-97BD-4272-A601-20E79375045B}"/>
    <cellStyle name="Normal 4 4 2 6" xfId="1272" xr:uid="{00000000-0005-0000-0000-000056150000}"/>
    <cellStyle name="Normal 4 4 2 6 2" xfId="3502" xr:uid="{00000000-0005-0000-0000-000057150000}"/>
    <cellStyle name="Normal 4 4 2 6 2 2" xfId="7725" xr:uid="{00000000-0005-0000-0000-000058150000}"/>
    <cellStyle name="Normal 4 4 2 6 2 2 2" xfId="16167" xr:uid="{CDD527E2-4CBB-49EC-885A-AFC0445722CC}"/>
    <cellStyle name="Normal 4 4 2 6 2 2 3" xfId="24602" xr:uid="{F80BFF99-FBA5-44F5-AFC2-61BB99D85E16}"/>
    <cellStyle name="Normal 4 4 2 6 2 3" xfId="11949" xr:uid="{D2632D19-DD4F-443A-B424-229904F84530}"/>
    <cellStyle name="Normal 4 4 2 6 2 4" xfId="20385" xr:uid="{90CCE8A9-8BE7-42A9-B091-36368FB96EB8}"/>
    <cellStyle name="Normal 4 4 2 6 3" xfId="5580" xr:uid="{00000000-0005-0000-0000-000059150000}"/>
    <cellStyle name="Normal 4 4 2 6 3 2" xfId="14022" xr:uid="{C694DD91-92D1-4EAE-A977-7B96A8DA552C}"/>
    <cellStyle name="Normal 4 4 2 6 3 3" xfId="22457" xr:uid="{F03C0AAB-58D1-4712-9BD1-7E0FCFD80CCF}"/>
    <cellStyle name="Normal 4 4 2 6 4" xfId="9804" xr:uid="{3BFF0BDC-B978-4795-9D58-090AAFE6844A}"/>
    <cellStyle name="Normal 4 4 2 6 5" xfId="18240" xr:uid="{556B2C14-BEE0-411C-95F1-3AC3432F6CF5}"/>
    <cellStyle name="Normal 4 4 2 7" xfId="1685" xr:uid="{00000000-0005-0000-0000-00005A150000}"/>
    <cellStyle name="Normal 4 4 2 7 2" xfId="3915" xr:uid="{00000000-0005-0000-0000-00005B150000}"/>
    <cellStyle name="Normal 4 4 2 7 2 2" xfId="8138" xr:uid="{00000000-0005-0000-0000-00005C150000}"/>
    <cellStyle name="Normal 4 4 2 7 2 2 2" xfId="16580" xr:uid="{AA8A5193-3934-4A1D-B53F-287399581C90}"/>
    <cellStyle name="Normal 4 4 2 7 2 2 3" xfId="25015" xr:uid="{ED9AB76A-A34D-42C1-AEBC-E994D2AD5159}"/>
    <cellStyle name="Normal 4 4 2 7 2 3" xfId="12362" xr:uid="{7B79C010-0D06-4928-84FE-88AEB052BB47}"/>
    <cellStyle name="Normal 4 4 2 7 2 4" xfId="20798" xr:uid="{FF17BFC0-F2F4-4C26-9DBB-412F54E8E1E5}"/>
    <cellStyle name="Normal 4 4 2 7 3" xfId="5993" xr:uid="{00000000-0005-0000-0000-00005D150000}"/>
    <cellStyle name="Normal 4 4 2 7 3 2" xfId="14435" xr:uid="{5FA91D85-BC38-4EC5-930D-7964BEA065F3}"/>
    <cellStyle name="Normal 4 4 2 7 3 3" xfId="22870" xr:uid="{F318E425-C5BE-469A-BC3F-8E107D6E0857}"/>
    <cellStyle name="Normal 4 4 2 7 4" xfId="10217" xr:uid="{55C79C8A-4DDD-4209-9A8E-79733C960E16}"/>
    <cellStyle name="Normal 4 4 2 7 5" xfId="18653" xr:uid="{6BFF44A2-4437-4551-8E96-68A22EADD11F}"/>
    <cellStyle name="Normal 4 4 2 8" xfId="2099" xr:uid="{00000000-0005-0000-0000-00005E150000}"/>
    <cellStyle name="Normal 4 4 2 8 2" xfId="4328" xr:uid="{00000000-0005-0000-0000-00005F150000}"/>
    <cellStyle name="Normal 4 4 2 8 2 2" xfId="8551" xr:uid="{00000000-0005-0000-0000-000060150000}"/>
    <cellStyle name="Normal 4 4 2 8 2 2 2" xfId="16993" xr:uid="{F10FFBC2-E4F4-4F13-B507-21D21D8437C4}"/>
    <cellStyle name="Normal 4 4 2 8 2 2 3" xfId="25428" xr:uid="{954222F1-B670-40AC-ABB2-767742A71046}"/>
    <cellStyle name="Normal 4 4 2 8 2 3" xfId="12775" xr:uid="{74E2ADC4-3704-4C53-BA23-B84A69EF79EB}"/>
    <cellStyle name="Normal 4 4 2 8 2 4" xfId="21211" xr:uid="{557F6BE6-2305-49D3-9880-B4A3F45C8FCF}"/>
    <cellStyle name="Normal 4 4 2 8 3" xfId="6406" xr:uid="{00000000-0005-0000-0000-000061150000}"/>
    <cellStyle name="Normal 4 4 2 8 3 2" xfId="14848" xr:uid="{3AB6915B-1BBD-4620-9A46-96C64A3069AC}"/>
    <cellStyle name="Normal 4 4 2 8 3 3" xfId="23283" xr:uid="{CCE9F694-5211-45EB-825D-F727DBF8D953}"/>
    <cellStyle name="Normal 4 4 2 8 4" xfId="10630" xr:uid="{2C2C978C-FCEC-4D23-9C05-C198D563D320}"/>
    <cellStyle name="Normal 4 4 2 8 5" xfId="19066" xr:uid="{D6D01C4E-9F7B-4AB3-95FB-6FF58505A941}"/>
    <cellStyle name="Normal 4 4 2 9" xfId="2535" xr:uid="{00000000-0005-0000-0000-000062150000}"/>
    <cellStyle name="Normal 4 4 2 9 2" xfId="6819" xr:uid="{00000000-0005-0000-0000-000063150000}"/>
    <cellStyle name="Normal 4 4 2 9 2 2" xfId="15261" xr:uid="{27E72882-76A0-456D-BE29-98423DAA2B2B}"/>
    <cellStyle name="Normal 4 4 2 9 2 3" xfId="23696" xr:uid="{F9460C55-09F2-44F8-894A-CD14F51AA90F}"/>
    <cellStyle name="Normal 4 4 2 9 3" xfId="11043" xr:uid="{5A58DE80-259A-4169-88AC-4AB131355DBF}"/>
    <cellStyle name="Normal 4 4 2 9 4" xfId="19479" xr:uid="{B8CCA8E8-C7AB-4347-B870-146BAE3918DE}"/>
    <cellStyle name="Normal 4 4 3" xfId="387" xr:uid="{00000000-0005-0000-0000-000064150000}"/>
    <cellStyle name="Normal 4 4 3 10" xfId="8986" xr:uid="{4F5167D1-CDE2-4761-9FB2-8657D161904E}"/>
    <cellStyle name="Normal 4 4 3 11" xfId="17422" xr:uid="{7FCDE5BC-8A59-4C02-8665-4FA3A24CBB30}"/>
    <cellStyle name="Normal 4 4 3 2" xfId="388" xr:uid="{00000000-0005-0000-0000-000065150000}"/>
    <cellStyle name="Normal 4 4 3 2 10" xfId="17423" xr:uid="{DA077E75-E74E-4896-8B41-F17F6C18421D}"/>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2 2 2" xfId="15764" xr:uid="{ADE12B66-130A-4C59-959E-9610C5E1CFF1}"/>
    <cellStyle name="Normal 4 4 3 2 2 2 2 2 3" xfId="24199" xr:uid="{73D24CEE-D7CF-4D67-BA9D-01949E8DC71E}"/>
    <cellStyle name="Normal 4 4 3 2 2 2 2 3" xfId="11546" xr:uid="{182DE6D1-F8AF-406E-B428-73B024B71FC4}"/>
    <cellStyle name="Normal 4 4 3 2 2 2 2 4" xfId="19982" xr:uid="{9A9BDCA6-12AC-4469-BB57-A5AB05636A64}"/>
    <cellStyle name="Normal 4 4 3 2 2 2 3" xfId="5177" xr:uid="{00000000-0005-0000-0000-00006A150000}"/>
    <cellStyle name="Normal 4 4 3 2 2 2 3 2" xfId="13619" xr:uid="{C489D309-253D-45B0-9FCF-F6EEADFF6733}"/>
    <cellStyle name="Normal 4 4 3 2 2 2 3 3" xfId="22054" xr:uid="{5CEB0372-CFB1-4FAD-9ECA-2103A55610BF}"/>
    <cellStyle name="Normal 4 4 3 2 2 2 4" xfId="9401" xr:uid="{65BF7043-4297-4EBE-BDEE-ABFE14A32F4D}"/>
    <cellStyle name="Normal 4 4 3 2 2 2 5" xfId="17837" xr:uid="{F5DDE000-3093-4792-9B8F-D4B785A10405}"/>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2 2 2" xfId="16177" xr:uid="{97B35F4B-B7F2-4D09-96F2-1E34CBB9035A}"/>
    <cellStyle name="Normal 4 4 3 2 2 3 2 2 3" xfId="24612" xr:uid="{11392618-921F-4620-9D20-30DBED4B97B3}"/>
    <cellStyle name="Normal 4 4 3 2 2 3 2 3" xfId="11959" xr:uid="{87E6EB94-B23E-4884-ABDA-EB2E48292974}"/>
    <cellStyle name="Normal 4 4 3 2 2 3 2 4" xfId="20395" xr:uid="{0ED3647C-100A-470E-BDE7-2AFF13CDABC9}"/>
    <cellStyle name="Normal 4 4 3 2 2 3 3" xfId="5590" xr:uid="{00000000-0005-0000-0000-00006E150000}"/>
    <cellStyle name="Normal 4 4 3 2 2 3 3 2" xfId="14032" xr:uid="{0C8B052F-B462-4A7C-A1CC-D8779B40DD9D}"/>
    <cellStyle name="Normal 4 4 3 2 2 3 3 3" xfId="22467" xr:uid="{64849A65-BC85-40DD-A140-6BFCFB713289}"/>
    <cellStyle name="Normal 4 4 3 2 2 3 4" xfId="9814" xr:uid="{9DB6C8C0-8749-4749-979D-203AE67F774D}"/>
    <cellStyle name="Normal 4 4 3 2 2 3 5" xfId="18250" xr:uid="{CD00695F-1AE9-485F-8F94-BAEAD87DF00E}"/>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2 2 2" xfId="16590" xr:uid="{A06B12B8-9360-4287-862A-00A4D393ECB7}"/>
    <cellStyle name="Normal 4 4 3 2 2 4 2 2 3" xfId="25025" xr:uid="{F516DFB3-E82A-493F-A631-4BB8F2C66165}"/>
    <cellStyle name="Normal 4 4 3 2 2 4 2 3" xfId="12372" xr:uid="{EE9D4C0D-825D-4474-84AC-587783CFE899}"/>
    <cellStyle name="Normal 4 4 3 2 2 4 2 4" xfId="20808" xr:uid="{856D2FE6-1843-47E8-9A9A-8D0972CA1C17}"/>
    <cellStyle name="Normal 4 4 3 2 2 4 3" xfId="6003" xr:uid="{00000000-0005-0000-0000-000072150000}"/>
    <cellStyle name="Normal 4 4 3 2 2 4 3 2" xfId="14445" xr:uid="{B91EE3F0-C2DD-40C0-A4BE-47402787888F}"/>
    <cellStyle name="Normal 4 4 3 2 2 4 3 3" xfId="22880" xr:uid="{8EBA11BC-18ED-4600-8407-BE9D1FE3616E}"/>
    <cellStyle name="Normal 4 4 3 2 2 4 4" xfId="10227" xr:uid="{10172E42-7034-46E6-B9C1-D93F4B39B5D9}"/>
    <cellStyle name="Normal 4 4 3 2 2 4 5" xfId="18663" xr:uid="{0973B925-453F-4600-990E-FFF16468A79E}"/>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2 2 2" xfId="17003" xr:uid="{35FDB4F1-5863-46A7-9770-D29786655AB2}"/>
    <cellStyle name="Normal 4 4 3 2 2 5 2 2 3" xfId="25438" xr:uid="{5B7B61D4-B19A-4269-85BF-B0B56CCA8062}"/>
    <cellStyle name="Normal 4 4 3 2 2 5 2 3" xfId="12785" xr:uid="{305E0851-0430-48B6-ABA3-BF353DB850F3}"/>
    <cellStyle name="Normal 4 4 3 2 2 5 2 4" xfId="21221" xr:uid="{B0BD1C4A-1554-4580-A174-9465198EA5AB}"/>
    <cellStyle name="Normal 4 4 3 2 2 5 3" xfId="6416" xr:uid="{00000000-0005-0000-0000-000076150000}"/>
    <cellStyle name="Normal 4 4 3 2 2 5 3 2" xfId="14858" xr:uid="{ED272A07-F411-48E6-AD79-023E18321B03}"/>
    <cellStyle name="Normal 4 4 3 2 2 5 3 3" xfId="23293" xr:uid="{B40044FD-1572-4A46-BEE4-7AF280683DA3}"/>
    <cellStyle name="Normal 4 4 3 2 2 5 4" xfId="10640" xr:uid="{2351251F-517F-426E-B8EA-7D576AA56A56}"/>
    <cellStyle name="Normal 4 4 3 2 2 5 5" xfId="19076" xr:uid="{76D7CB28-2277-4BFA-88B6-120AE37299D8}"/>
    <cellStyle name="Normal 4 4 3 2 2 6" xfId="2545" xr:uid="{00000000-0005-0000-0000-000077150000}"/>
    <cellStyle name="Normal 4 4 3 2 2 6 2" xfId="6829" xr:uid="{00000000-0005-0000-0000-000078150000}"/>
    <cellStyle name="Normal 4 4 3 2 2 6 2 2" xfId="15271" xr:uid="{1639FE5D-DD30-4C11-9118-D250D8720A1F}"/>
    <cellStyle name="Normal 4 4 3 2 2 6 2 3" xfId="23706" xr:uid="{72DE37BB-2F7A-4488-86B2-FF84BF5EE571}"/>
    <cellStyle name="Normal 4 4 3 2 2 6 3" xfId="11053" xr:uid="{9D3A6273-BF52-4112-8576-93BF124C5D67}"/>
    <cellStyle name="Normal 4 4 3 2 2 6 4" xfId="19489" xr:uid="{74BBD799-71F3-48B1-A434-04CF89545D4C}"/>
    <cellStyle name="Normal 4 4 3 2 2 7" xfId="4764" xr:uid="{00000000-0005-0000-0000-000079150000}"/>
    <cellStyle name="Normal 4 4 3 2 2 7 2" xfId="13206" xr:uid="{8CC37D58-D4FC-483A-A4C8-05120DD9AD4B}"/>
    <cellStyle name="Normal 4 4 3 2 2 7 3" xfId="21641" xr:uid="{E99AE3A4-4FAB-4592-89EE-E1272127EC5E}"/>
    <cellStyle name="Normal 4 4 3 2 2 8" xfId="8988" xr:uid="{F36D6836-7B98-4D9B-8CA9-EE0317354954}"/>
    <cellStyle name="Normal 4 4 3 2 2 9" xfId="17424" xr:uid="{8D0C0C42-DFDF-478D-BB78-D09FE7AACA9C}"/>
    <cellStyle name="Normal 4 4 3 2 3" xfId="863" xr:uid="{00000000-0005-0000-0000-00007A150000}"/>
    <cellStyle name="Normal 4 4 3 2 3 2" xfId="3098" xr:uid="{00000000-0005-0000-0000-00007B150000}"/>
    <cellStyle name="Normal 4 4 3 2 3 2 2" xfId="7321" xr:uid="{00000000-0005-0000-0000-00007C150000}"/>
    <cellStyle name="Normal 4 4 3 2 3 2 2 2" xfId="15763" xr:uid="{8CAA8B37-31EE-43F8-A920-C7AAE094FBD9}"/>
    <cellStyle name="Normal 4 4 3 2 3 2 2 3" xfId="24198" xr:uid="{6ECA681B-07F7-4B1E-B80E-DAAA72307646}"/>
    <cellStyle name="Normal 4 4 3 2 3 2 3" xfId="11545" xr:uid="{0AB596D9-1099-41F0-B467-171B7A994628}"/>
    <cellStyle name="Normal 4 4 3 2 3 2 4" xfId="19981" xr:uid="{494ECB49-5039-4EB3-93D8-94D12B4E018E}"/>
    <cellStyle name="Normal 4 4 3 2 3 3" xfId="5176" xr:uid="{00000000-0005-0000-0000-00007D150000}"/>
    <cellStyle name="Normal 4 4 3 2 3 3 2" xfId="13618" xr:uid="{20362B47-1A8D-41B9-AD06-1C42A99A7DE0}"/>
    <cellStyle name="Normal 4 4 3 2 3 3 3" xfId="22053" xr:uid="{C577C305-0067-4B9C-B0E9-5A206D6124F0}"/>
    <cellStyle name="Normal 4 4 3 2 3 4" xfId="9400" xr:uid="{41231B3C-1C4F-4DAE-8A46-23AD34033D19}"/>
    <cellStyle name="Normal 4 4 3 2 3 5" xfId="17836" xr:uid="{B872FDAA-47C4-4380-ABB6-E6E17BEDBCD8}"/>
    <cellStyle name="Normal 4 4 3 2 4" xfId="1281" xr:uid="{00000000-0005-0000-0000-00007E150000}"/>
    <cellStyle name="Normal 4 4 3 2 4 2" xfId="3511" xr:uid="{00000000-0005-0000-0000-00007F150000}"/>
    <cellStyle name="Normal 4 4 3 2 4 2 2" xfId="7734" xr:uid="{00000000-0005-0000-0000-000080150000}"/>
    <cellStyle name="Normal 4 4 3 2 4 2 2 2" xfId="16176" xr:uid="{FAED91DA-2D17-4EF8-ADAF-D85FC363441A}"/>
    <cellStyle name="Normal 4 4 3 2 4 2 2 3" xfId="24611" xr:uid="{5974DD4D-7A34-4EDE-A2B7-434F6533D48D}"/>
    <cellStyle name="Normal 4 4 3 2 4 2 3" xfId="11958" xr:uid="{EFB133C5-E37B-49AB-BD0E-AC6C1B23AC70}"/>
    <cellStyle name="Normal 4 4 3 2 4 2 4" xfId="20394" xr:uid="{5B862949-91C7-45EF-8A23-47EE9ADEE7AD}"/>
    <cellStyle name="Normal 4 4 3 2 4 3" xfId="5589" xr:uid="{00000000-0005-0000-0000-000081150000}"/>
    <cellStyle name="Normal 4 4 3 2 4 3 2" xfId="14031" xr:uid="{CFD5A73B-B1A2-49F3-9FC1-9987939E8788}"/>
    <cellStyle name="Normal 4 4 3 2 4 3 3" xfId="22466" xr:uid="{8BCE9874-AF46-4469-A689-2398188EA515}"/>
    <cellStyle name="Normal 4 4 3 2 4 4" xfId="9813" xr:uid="{A57EA20C-D641-4AFB-AC59-4A9714682052}"/>
    <cellStyle name="Normal 4 4 3 2 4 5" xfId="18249" xr:uid="{AB47CEAE-F255-40DF-A3C4-37AF5584DFB0}"/>
    <cellStyle name="Normal 4 4 3 2 5" xfId="1694" xr:uid="{00000000-0005-0000-0000-000082150000}"/>
    <cellStyle name="Normal 4 4 3 2 5 2" xfId="3924" xr:uid="{00000000-0005-0000-0000-000083150000}"/>
    <cellStyle name="Normal 4 4 3 2 5 2 2" xfId="8147" xr:uid="{00000000-0005-0000-0000-000084150000}"/>
    <cellStyle name="Normal 4 4 3 2 5 2 2 2" xfId="16589" xr:uid="{3C98A537-3419-45D9-A799-EDC62F1B9A01}"/>
    <cellStyle name="Normal 4 4 3 2 5 2 2 3" xfId="25024" xr:uid="{430E598B-9E37-4954-9986-2D2B4EF5BE96}"/>
    <cellStyle name="Normal 4 4 3 2 5 2 3" xfId="12371" xr:uid="{EB5B9D07-3D31-4299-ABE3-499F1C138636}"/>
    <cellStyle name="Normal 4 4 3 2 5 2 4" xfId="20807" xr:uid="{D8411F6B-B908-4C1C-9809-D144E34AB98F}"/>
    <cellStyle name="Normal 4 4 3 2 5 3" xfId="6002" xr:uid="{00000000-0005-0000-0000-000085150000}"/>
    <cellStyle name="Normal 4 4 3 2 5 3 2" xfId="14444" xr:uid="{6C5FCE31-CF90-4DC2-AA37-5FFB41822509}"/>
    <cellStyle name="Normal 4 4 3 2 5 3 3" xfId="22879" xr:uid="{F01F8ECC-2319-41C4-8366-E440BD658AE4}"/>
    <cellStyle name="Normal 4 4 3 2 5 4" xfId="10226" xr:uid="{837E9252-1A52-4278-B631-9BE9CDBA69EB}"/>
    <cellStyle name="Normal 4 4 3 2 5 5" xfId="18662" xr:uid="{8B8F282A-E3C2-4D31-95BC-755851952C35}"/>
    <cellStyle name="Normal 4 4 3 2 6" xfId="2108" xr:uid="{00000000-0005-0000-0000-000086150000}"/>
    <cellStyle name="Normal 4 4 3 2 6 2" xfId="4337" xr:uid="{00000000-0005-0000-0000-000087150000}"/>
    <cellStyle name="Normal 4 4 3 2 6 2 2" xfId="8560" xr:uid="{00000000-0005-0000-0000-000088150000}"/>
    <cellStyle name="Normal 4 4 3 2 6 2 2 2" xfId="17002" xr:uid="{D610F9D2-B536-4F3C-B0CB-85B0092FBE16}"/>
    <cellStyle name="Normal 4 4 3 2 6 2 2 3" xfId="25437" xr:uid="{1B154F49-8ADE-4AE1-BA08-1A4B145A2C6E}"/>
    <cellStyle name="Normal 4 4 3 2 6 2 3" xfId="12784" xr:uid="{B164D9DE-206C-4B8A-8B6A-9BACF08B379E}"/>
    <cellStyle name="Normal 4 4 3 2 6 2 4" xfId="21220" xr:uid="{849E0FD4-A528-448A-BC14-E2E22C4E5358}"/>
    <cellStyle name="Normal 4 4 3 2 6 3" xfId="6415" xr:uid="{00000000-0005-0000-0000-000089150000}"/>
    <cellStyle name="Normal 4 4 3 2 6 3 2" xfId="14857" xr:uid="{52F455D4-2071-4136-B40A-C58A07988BBC}"/>
    <cellStyle name="Normal 4 4 3 2 6 3 3" xfId="23292" xr:uid="{8E5E2D3D-6B96-4BEE-BE82-48C1FC690B12}"/>
    <cellStyle name="Normal 4 4 3 2 6 4" xfId="10639" xr:uid="{244CD140-E48F-4E45-BD89-D603AE21A081}"/>
    <cellStyle name="Normal 4 4 3 2 6 5" xfId="19075" xr:uid="{4D47C9C2-C513-418C-AD04-F752D7E2551C}"/>
    <cellStyle name="Normal 4 4 3 2 7" xfId="2544" xr:uid="{00000000-0005-0000-0000-00008A150000}"/>
    <cellStyle name="Normal 4 4 3 2 7 2" xfId="6828" xr:uid="{00000000-0005-0000-0000-00008B150000}"/>
    <cellStyle name="Normal 4 4 3 2 7 2 2" xfId="15270" xr:uid="{F1A11576-3D93-48D4-9868-B2AB31DF1849}"/>
    <cellStyle name="Normal 4 4 3 2 7 2 3" xfId="23705" xr:uid="{DC7EC2E3-57BB-4FD5-A66F-9D9052B29D22}"/>
    <cellStyle name="Normal 4 4 3 2 7 3" xfId="11052" xr:uid="{71DF60EC-BEFE-474D-B39D-839FBBB664C3}"/>
    <cellStyle name="Normal 4 4 3 2 7 4" xfId="19488" xr:uid="{C196AE9F-33E8-46FB-8240-6A426C9EE344}"/>
    <cellStyle name="Normal 4 4 3 2 8" xfId="4763" xr:uid="{00000000-0005-0000-0000-00008C150000}"/>
    <cellStyle name="Normal 4 4 3 2 8 2" xfId="13205" xr:uid="{D3A74152-58AD-4846-A0C0-7E9AB3B2C632}"/>
    <cellStyle name="Normal 4 4 3 2 8 3" xfId="21640" xr:uid="{DA5DBE47-5FBD-4037-8A90-1BD0209DD397}"/>
    <cellStyle name="Normal 4 4 3 2 9" xfId="8987" xr:uid="{ED080D6F-1470-4197-A883-D095A076C8C2}"/>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2 2 2" xfId="15765" xr:uid="{73E71E24-C630-4B6E-899A-7A4D5E07316C}"/>
    <cellStyle name="Normal 4 4 3 3 2 2 2 3" xfId="24200" xr:uid="{C4237087-0CDC-4172-8F66-0383CA8D1FDC}"/>
    <cellStyle name="Normal 4 4 3 3 2 2 3" xfId="11547" xr:uid="{B8229E71-5C9E-490F-A160-ECFEBA469977}"/>
    <cellStyle name="Normal 4 4 3 3 2 2 4" xfId="19983" xr:uid="{C588876E-6B63-4F87-B922-F69FB04D2E9C}"/>
    <cellStyle name="Normal 4 4 3 3 2 3" xfId="5178" xr:uid="{00000000-0005-0000-0000-000091150000}"/>
    <cellStyle name="Normal 4 4 3 3 2 3 2" xfId="13620" xr:uid="{C7252CC3-21F4-4A2E-AE96-D6F7F473649C}"/>
    <cellStyle name="Normal 4 4 3 3 2 3 3" xfId="22055" xr:uid="{DE99B54A-5088-4FFD-AB1D-F517B677C883}"/>
    <cellStyle name="Normal 4 4 3 3 2 4" xfId="9402" xr:uid="{E690DB1F-CA3E-4DBD-A036-FEE9502AE77D}"/>
    <cellStyle name="Normal 4 4 3 3 2 5" xfId="17838" xr:uid="{F1B56EF5-72C8-4259-AE0F-097822BD1FAF}"/>
    <cellStyle name="Normal 4 4 3 3 3" xfId="1283" xr:uid="{00000000-0005-0000-0000-000092150000}"/>
    <cellStyle name="Normal 4 4 3 3 3 2" xfId="3513" xr:uid="{00000000-0005-0000-0000-000093150000}"/>
    <cellStyle name="Normal 4 4 3 3 3 2 2" xfId="7736" xr:uid="{00000000-0005-0000-0000-000094150000}"/>
    <cellStyle name="Normal 4 4 3 3 3 2 2 2" xfId="16178" xr:uid="{CF53BA8A-B1D2-4E34-BBB0-B603BF8C87E2}"/>
    <cellStyle name="Normal 4 4 3 3 3 2 2 3" xfId="24613" xr:uid="{775EB244-6E3B-42FF-A2FE-E8885401E756}"/>
    <cellStyle name="Normal 4 4 3 3 3 2 3" xfId="11960" xr:uid="{B842E240-1F1B-4B81-93F5-16C1361C362B}"/>
    <cellStyle name="Normal 4 4 3 3 3 2 4" xfId="20396" xr:uid="{3DF73634-12E7-449C-92D0-B917D84C636C}"/>
    <cellStyle name="Normal 4 4 3 3 3 3" xfId="5591" xr:uid="{00000000-0005-0000-0000-000095150000}"/>
    <cellStyle name="Normal 4 4 3 3 3 3 2" xfId="14033" xr:uid="{7DCAAF6C-BB7A-403C-B2DC-952336DB38F6}"/>
    <cellStyle name="Normal 4 4 3 3 3 3 3" xfId="22468" xr:uid="{1629D55D-E6AD-49A3-816C-573CA6AEBD3F}"/>
    <cellStyle name="Normal 4 4 3 3 3 4" xfId="9815" xr:uid="{FB171092-E23E-4E06-8561-C5FB4367A7BB}"/>
    <cellStyle name="Normal 4 4 3 3 3 5" xfId="18251" xr:uid="{D4E34595-6615-4DDA-9183-38BE79A2B5E7}"/>
    <cellStyle name="Normal 4 4 3 3 4" xfId="1696" xr:uid="{00000000-0005-0000-0000-000096150000}"/>
    <cellStyle name="Normal 4 4 3 3 4 2" xfId="3926" xr:uid="{00000000-0005-0000-0000-000097150000}"/>
    <cellStyle name="Normal 4 4 3 3 4 2 2" xfId="8149" xr:uid="{00000000-0005-0000-0000-000098150000}"/>
    <cellStyle name="Normal 4 4 3 3 4 2 2 2" xfId="16591" xr:uid="{27637369-804A-4075-AC87-CFD1C23684EC}"/>
    <cellStyle name="Normal 4 4 3 3 4 2 2 3" xfId="25026" xr:uid="{40D47D92-3D04-4AF0-AB22-E40757C90B9A}"/>
    <cellStyle name="Normal 4 4 3 3 4 2 3" xfId="12373" xr:uid="{331B13CD-6A8D-434B-9DF9-11E70B196A45}"/>
    <cellStyle name="Normal 4 4 3 3 4 2 4" xfId="20809" xr:uid="{3587D574-9368-47DF-9725-174C01FCFBFA}"/>
    <cellStyle name="Normal 4 4 3 3 4 3" xfId="6004" xr:uid="{00000000-0005-0000-0000-000099150000}"/>
    <cellStyle name="Normal 4 4 3 3 4 3 2" xfId="14446" xr:uid="{234DFF35-BB35-43D0-89B7-501C5E7F8FC9}"/>
    <cellStyle name="Normal 4 4 3 3 4 3 3" xfId="22881" xr:uid="{6199E66F-24A7-4224-AA27-3BD6341DD799}"/>
    <cellStyle name="Normal 4 4 3 3 4 4" xfId="10228" xr:uid="{15F9919A-6F40-4399-B104-42471A6BF879}"/>
    <cellStyle name="Normal 4 4 3 3 4 5" xfId="18664" xr:uid="{9AD5E601-01F5-4D3C-99D6-BE3965C80836}"/>
    <cellStyle name="Normal 4 4 3 3 5" xfId="2110" xr:uid="{00000000-0005-0000-0000-00009A150000}"/>
    <cellStyle name="Normal 4 4 3 3 5 2" xfId="4339" xr:uid="{00000000-0005-0000-0000-00009B150000}"/>
    <cellStyle name="Normal 4 4 3 3 5 2 2" xfId="8562" xr:uid="{00000000-0005-0000-0000-00009C150000}"/>
    <cellStyle name="Normal 4 4 3 3 5 2 2 2" xfId="17004" xr:uid="{F079D00D-9EEB-43EE-9CFA-F06678CAA8E1}"/>
    <cellStyle name="Normal 4 4 3 3 5 2 2 3" xfId="25439" xr:uid="{D74AB782-9B58-4B89-A643-D08B01183A15}"/>
    <cellStyle name="Normal 4 4 3 3 5 2 3" xfId="12786" xr:uid="{49392328-2401-4FA4-9672-1B4C623C0478}"/>
    <cellStyle name="Normal 4 4 3 3 5 2 4" xfId="21222" xr:uid="{563CA2D7-D149-4BD1-9252-261C9402BF91}"/>
    <cellStyle name="Normal 4 4 3 3 5 3" xfId="6417" xr:uid="{00000000-0005-0000-0000-00009D150000}"/>
    <cellStyle name="Normal 4 4 3 3 5 3 2" xfId="14859" xr:uid="{62B8BB8A-CD12-4100-9050-BCFD96C89E4F}"/>
    <cellStyle name="Normal 4 4 3 3 5 3 3" xfId="23294" xr:uid="{A868BD9C-52C5-4DC2-89E1-E6D0FAAF0BF3}"/>
    <cellStyle name="Normal 4 4 3 3 5 4" xfId="10641" xr:uid="{3F99C453-75FF-4BBE-AE68-FD4D55815AB3}"/>
    <cellStyle name="Normal 4 4 3 3 5 5" xfId="19077" xr:uid="{00FDB54A-4A87-4308-B8D4-81E6CB413A59}"/>
    <cellStyle name="Normal 4 4 3 3 6" xfId="2546" xr:uid="{00000000-0005-0000-0000-00009E150000}"/>
    <cellStyle name="Normal 4 4 3 3 6 2" xfId="6830" xr:uid="{00000000-0005-0000-0000-00009F150000}"/>
    <cellStyle name="Normal 4 4 3 3 6 2 2" xfId="15272" xr:uid="{6B482270-0318-4CF1-A332-4FD6B6237953}"/>
    <cellStyle name="Normal 4 4 3 3 6 2 3" xfId="23707" xr:uid="{9AED273B-DAC5-4DDD-A801-9F65A1691BB9}"/>
    <cellStyle name="Normal 4 4 3 3 6 3" xfId="11054" xr:uid="{EC3A7153-AEFB-494F-86DE-F97134404DD6}"/>
    <cellStyle name="Normal 4 4 3 3 6 4" xfId="19490" xr:uid="{1CEA6B50-4832-4AF2-A3BF-F4114DED2264}"/>
    <cellStyle name="Normal 4 4 3 3 7" xfId="4765" xr:uid="{00000000-0005-0000-0000-0000A0150000}"/>
    <cellStyle name="Normal 4 4 3 3 7 2" xfId="13207" xr:uid="{68FCB74E-0F14-47C8-B286-CEDB248970B9}"/>
    <cellStyle name="Normal 4 4 3 3 7 3" xfId="21642" xr:uid="{EA6DA5E3-A5CF-4263-8D45-C496525F3AA5}"/>
    <cellStyle name="Normal 4 4 3 3 8" xfId="8989" xr:uid="{996AD2A4-0286-4D49-844F-631D35D10F53}"/>
    <cellStyle name="Normal 4 4 3 3 9" xfId="17425" xr:uid="{0F35F524-86D0-49A3-A486-7C5585C6B285}"/>
    <cellStyle name="Normal 4 4 3 4" xfId="862" xr:uid="{00000000-0005-0000-0000-0000A1150000}"/>
    <cellStyle name="Normal 4 4 3 4 2" xfId="3097" xr:uid="{00000000-0005-0000-0000-0000A2150000}"/>
    <cellStyle name="Normal 4 4 3 4 2 2" xfId="7320" xr:uid="{00000000-0005-0000-0000-0000A3150000}"/>
    <cellStyle name="Normal 4 4 3 4 2 2 2" xfId="15762" xr:uid="{CD397FBD-C121-4080-84F1-5D2D941166C3}"/>
    <cellStyle name="Normal 4 4 3 4 2 2 3" xfId="24197" xr:uid="{63D275B1-5161-4753-9E86-BF171F41F351}"/>
    <cellStyle name="Normal 4 4 3 4 2 3" xfId="11544" xr:uid="{C5FC96C6-6E1F-49F1-90F5-507291ED760F}"/>
    <cellStyle name="Normal 4 4 3 4 2 4" xfId="19980" xr:uid="{2CA56EAD-D73F-4297-A3FE-566169B59863}"/>
    <cellStyle name="Normal 4 4 3 4 3" xfId="5175" xr:uid="{00000000-0005-0000-0000-0000A4150000}"/>
    <cellStyle name="Normal 4 4 3 4 3 2" xfId="13617" xr:uid="{DD7EEC41-A106-4AAE-8E9A-8F10FAE761D3}"/>
    <cellStyle name="Normal 4 4 3 4 3 3" xfId="22052" xr:uid="{84AA960B-EDE0-4E05-9EE3-7C4FFD0A2376}"/>
    <cellStyle name="Normal 4 4 3 4 4" xfId="9399" xr:uid="{1536CA1F-48A4-4D1C-BE75-C7EB2C37D966}"/>
    <cellStyle name="Normal 4 4 3 4 5" xfId="17835" xr:uid="{3F18ACF9-BCE2-45EE-A3CF-93DF9E3E060C}"/>
    <cellStyle name="Normal 4 4 3 5" xfId="1280" xr:uid="{00000000-0005-0000-0000-0000A5150000}"/>
    <cellStyle name="Normal 4 4 3 5 2" xfId="3510" xr:uid="{00000000-0005-0000-0000-0000A6150000}"/>
    <cellStyle name="Normal 4 4 3 5 2 2" xfId="7733" xr:uid="{00000000-0005-0000-0000-0000A7150000}"/>
    <cellStyle name="Normal 4 4 3 5 2 2 2" xfId="16175" xr:uid="{477B715A-B438-489F-97B0-1F0D5B829866}"/>
    <cellStyle name="Normal 4 4 3 5 2 2 3" xfId="24610" xr:uid="{E24F06DC-7F01-4F24-8CD4-BF5152EA6268}"/>
    <cellStyle name="Normal 4 4 3 5 2 3" xfId="11957" xr:uid="{9ADCDA56-E2C9-46FC-93F1-96A05623F649}"/>
    <cellStyle name="Normal 4 4 3 5 2 4" xfId="20393" xr:uid="{C1B011B3-8A3B-4EB0-8763-A1F31423CBCA}"/>
    <cellStyle name="Normal 4 4 3 5 3" xfId="5588" xr:uid="{00000000-0005-0000-0000-0000A8150000}"/>
    <cellStyle name="Normal 4 4 3 5 3 2" xfId="14030" xr:uid="{4C6A7A18-20A6-4618-8FC6-0A08EC0B68C4}"/>
    <cellStyle name="Normal 4 4 3 5 3 3" xfId="22465" xr:uid="{ADC68AD3-22A4-45B0-A5C4-45B0E520A02A}"/>
    <cellStyle name="Normal 4 4 3 5 4" xfId="9812" xr:uid="{5296F201-4E32-48BD-86D0-4EBB12C4CE0D}"/>
    <cellStyle name="Normal 4 4 3 5 5" xfId="18248" xr:uid="{E8FD23E5-0D25-4B18-8BBC-D32EC26B4FE3}"/>
    <cellStyle name="Normal 4 4 3 6" xfId="1693" xr:uid="{00000000-0005-0000-0000-0000A9150000}"/>
    <cellStyle name="Normal 4 4 3 6 2" xfId="3923" xr:uid="{00000000-0005-0000-0000-0000AA150000}"/>
    <cellStyle name="Normal 4 4 3 6 2 2" xfId="8146" xr:uid="{00000000-0005-0000-0000-0000AB150000}"/>
    <cellStyle name="Normal 4 4 3 6 2 2 2" xfId="16588" xr:uid="{29CD851A-B2E6-402A-B5D1-A88B2B2ACABD}"/>
    <cellStyle name="Normal 4 4 3 6 2 2 3" xfId="25023" xr:uid="{D40C63CA-AAD7-40D6-A991-86C6F47FA5E4}"/>
    <cellStyle name="Normal 4 4 3 6 2 3" xfId="12370" xr:uid="{17E52CEC-A09B-4C39-A7CA-7E6E29AA6139}"/>
    <cellStyle name="Normal 4 4 3 6 2 4" xfId="20806" xr:uid="{62F7DDB2-50E6-46DC-8782-C4D4CA4C8D95}"/>
    <cellStyle name="Normal 4 4 3 6 3" xfId="6001" xr:uid="{00000000-0005-0000-0000-0000AC150000}"/>
    <cellStyle name="Normal 4 4 3 6 3 2" xfId="14443" xr:uid="{08025911-B134-418F-A5BE-0740864C5190}"/>
    <cellStyle name="Normal 4 4 3 6 3 3" xfId="22878" xr:uid="{D5D8DA36-6DE3-42D2-A55D-80A68FA8993E}"/>
    <cellStyle name="Normal 4 4 3 6 4" xfId="10225" xr:uid="{D405912B-B0D0-4E00-92BB-238C92651492}"/>
    <cellStyle name="Normal 4 4 3 6 5" xfId="18661" xr:uid="{36440A4B-824D-4810-8E75-0EDD236E7FD6}"/>
    <cellStyle name="Normal 4 4 3 7" xfId="2107" xr:uid="{00000000-0005-0000-0000-0000AD150000}"/>
    <cellStyle name="Normal 4 4 3 7 2" xfId="4336" xr:uid="{00000000-0005-0000-0000-0000AE150000}"/>
    <cellStyle name="Normal 4 4 3 7 2 2" xfId="8559" xr:uid="{00000000-0005-0000-0000-0000AF150000}"/>
    <cellStyle name="Normal 4 4 3 7 2 2 2" xfId="17001" xr:uid="{10C7FE59-1B86-4E4F-A6B7-5CEF6D503A99}"/>
    <cellStyle name="Normal 4 4 3 7 2 2 3" xfId="25436" xr:uid="{4A57848D-E04F-4C8A-AF7B-059F2FE97C41}"/>
    <cellStyle name="Normal 4 4 3 7 2 3" xfId="12783" xr:uid="{544D44D4-A034-4087-9FB3-DF2511F5A9A3}"/>
    <cellStyle name="Normal 4 4 3 7 2 4" xfId="21219" xr:uid="{2ADB5359-3C15-4B00-9B9D-5AF8729CD342}"/>
    <cellStyle name="Normal 4 4 3 7 3" xfId="6414" xr:uid="{00000000-0005-0000-0000-0000B0150000}"/>
    <cellStyle name="Normal 4 4 3 7 3 2" xfId="14856" xr:uid="{C8C12F0C-7D96-446C-8CCD-F269E1FE52D6}"/>
    <cellStyle name="Normal 4 4 3 7 3 3" xfId="23291" xr:uid="{523D6EE2-A019-49E0-A306-6D5C4A6AD11C}"/>
    <cellStyle name="Normal 4 4 3 7 4" xfId="10638" xr:uid="{0CF6A146-D52D-44AC-8CF9-50EAA1E59EB8}"/>
    <cellStyle name="Normal 4 4 3 7 5" xfId="19074" xr:uid="{23C1766B-A8CD-4770-B510-C29C1D817F39}"/>
    <cellStyle name="Normal 4 4 3 8" xfId="2543" xr:uid="{00000000-0005-0000-0000-0000B1150000}"/>
    <cellStyle name="Normal 4 4 3 8 2" xfId="6827" xr:uid="{00000000-0005-0000-0000-0000B2150000}"/>
    <cellStyle name="Normal 4 4 3 8 2 2" xfId="15269" xr:uid="{8EB333B7-EE91-4450-9497-03F62EF52A4B}"/>
    <cellStyle name="Normal 4 4 3 8 2 3" xfId="23704" xr:uid="{0D95225A-4A00-4331-BDFA-529092E41404}"/>
    <cellStyle name="Normal 4 4 3 8 3" xfId="11051" xr:uid="{60EC7ECA-7400-46FC-8C8D-E58AD0E35CF2}"/>
    <cellStyle name="Normal 4 4 3 8 4" xfId="19487" xr:uid="{792FFBAA-7ECA-43C9-8095-8C6FA0B23F89}"/>
    <cellStyle name="Normal 4 4 3 9" xfId="4762" xr:uid="{00000000-0005-0000-0000-0000B3150000}"/>
    <cellStyle name="Normal 4 4 3 9 2" xfId="13204" xr:uid="{ACF3FDB2-91A0-48CE-881A-63620C0DA5E2}"/>
    <cellStyle name="Normal 4 4 3 9 3" xfId="21639" xr:uid="{1A940DC2-F433-46AC-B74F-53829E64DBAF}"/>
    <cellStyle name="Normal 4 4 4" xfId="391" xr:uid="{00000000-0005-0000-0000-0000B4150000}"/>
    <cellStyle name="Normal 4 4 4 10" xfId="17426" xr:uid="{5E8AD3F5-77DC-4C3A-8DCC-3FB6FFEFE72F}"/>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2 2 2" xfId="15767" xr:uid="{5BB6EDE4-EE48-403F-B911-020E1C14BDCF}"/>
    <cellStyle name="Normal 4 4 4 2 2 2 2 3" xfId="24202" xr:uid="{4B52CA79-A9A3-4C75-A8C0-F066145EBD6B}"/>
    <cellStyle name="Normal 4 4 4 2 2 2 3" xfId="11549" xr:uid="{B9CC5B7D-2683-429A-AC38-DA7BB2D68B62}"/>
    <cellStyle name="Normal 4 4 4 2 2 2 4" xfId="19985" xr:uid="{62FB442E-D9DF-4130-89C7-A196801C7E7B}"/>
    <cellStyle name="Normal 4 4 4 2 2 3" xfId="5180" xr:uid="{00000000-0005-0000-0000-0000B9150000}"/>
    <cellStyle name="Normal 4 4 4 2 2 3 2" xfId="13622" xr:uid="{FD5A2CEE-EF5B-4DC9-A309-7434843A0193}"/>
    <cellStyle name="Normal 4 4 4 2 2 3 3" xfId="22057" xr:uid="{242E5FA6-7893-4507-ACD3-524AB6593DCA}"/>
    <cellStyle name="Normal 4 4 4 2 2 4" xfId="9404" xr:uid="{7B170B76-E078-4EBE-BC68-53A7DC04B93A}"/>
    <cellStyle name="Normal 4 4 4 2 2 5" xfId="17840" xr:uid="{795BFB6F-C3EA-4D32-8116-CA2E879E8C98}"/>
    <cellStyle name="Normal 4 4 4 2 3" xfId="1285" xr:uid="{00000000-0005-0000-0000-0000BA150000}"/>
    <cellStyle name="Normal 4 4 4 2 3 2" xfId="3515" xr:uid="{00000000-0005-0000-0000-0000BB150000}"/>
    <cellStyle name="Normal 4 4 4 2 3 2 2" xfId="7738" xr:uid="{00000000-0005-0000-0000-0000BC150000}"/>
    <cellStyle name="Normal 4 4 4 2 3 2 2 2" xfId="16180" xr:uid="{9C81997A-E080-40CC-B78E-05B90B4996CE}"/>
    <cellStyle name="Normal 4 4 4 2 3 2 2 3" xfId="24615" xr:uid="{38260708-BBE2-4BB6-9E34-489389CCFE96}"/>
    <cellStyle name="Normal 4 4 4 2 3 2 3" xfId="11962" xr:uid="{7EB2798E-950C-4CFD-9A01-394B784B04FD}"/>
    <cellStyle name="Normal 4 4 4 2 3 2 4" xfId="20398" xr:uid="{10AE985E-DE65-47B7-B887-EF9209A9443B}"/>
    <cellStyle name="Normal 4 4 4 2 3 3" xfId="5593" xr:uid="{00000000-0005-0000-0000-0000BD150000}"/>
    <cellStyle name="Normal 4 4 4 2 3 3 2" xfId="14035" xr:uid="{54412024-1287-486F-8A8D-504D6C00D5B6}"/>
    <cellStyle name="Normal 4 4 4 2 3 3 3" xfId="22470" xr:uid="{ED2ECAC1-BC0E-4E74-8FFC-E197109B5604}"/>
    <cellStyle name="Normal 4 4 4 2 3 4" xfId="9817" xr:uid="{859F929C-2290-4755-BACE-8B0F936C98CE}"/>
    <cellStyle name="Normal 4 4 4 2 3 5" xfId="18253" xr:uid="{4FF51CCA-24E2-4E52-BD96-522A8E452EBD}"/>
    <cellStyle name="Normal 4 4 4 2 4" xfId="1698" xr:uid="{00000000-0005-0000-0000-0000BE150000}"/>
    <cellStyle name="Normal 4 4 4 2 4 2" xfId="3928" xr:uid="{00000000-0005-0000-0000-0000BF150000}"/>
    <cellStyle name="Normal 4 4 4 2 4 2 2" xfId="8151" xr:uid="{00000000-0005-0000-0000-0000C0150000}"/>
    <cellStyle name="Normal 4 4 4 2 4 2 2 2" xfId="16593" xr:uid="{A24CDFD4-57C0-4F17-8C8B-2BA821AB3377}"/>
    <cellStyle name="Normal 4 4 4 2 4 2 2 3" xfId="25028" xr:uid="{FE4CDB2D-12C2-44C9-A79B-8018FD5C6573}"/>
    <cellStyle name="Normal 4 4 4 2 4 2 3" xfId="12375" xr:uid="{262F81F8-D4EF-4080-8D37-F61061826C7D}"/>
    <cellStyle name="Normal 4 4 4 2 4 2 4" xfId="20811" xr:uid="{125E4F5F-C3F6-42B9-8F10-0A01F65CCAEB}"/>
    <cellStyle name="Normal 4 4 4 2 4 3" xfId="6006" xr:uid="{00000000-0005-0000-0000-0000C1150000}"/>
    <cellStyle name="Normal 4 4 4 2 4 3 2" xfId="14448" xr:uid="{3ED03045-5126-4636-8C1E-42EB8D3B8584}"/>
    <cellStyle name="Normal 4 4 4 2 4 3 3" xfId="22883" xr:uid="{EED3449A-EAF6-4CBB-BFC4-307E649CEA05}"/>
    <cellStyle name="Normal 4 4 4 2 4 4" xfId="10230" xr:uid="{DD4E277C-828A-4EA5-8A40-6DB0B135DCE8}"/>
    <cellStyle name="Normal 4 4 4 2 4 5" xfId="18666" xr:uid="{A7BB776F-4F5C-462A-8EFF-34AD3D7DBAA7}"/>
    <cellStyle name="Normal 4 4 4 2 5" xfId="2112" xr:uid="{00000000-0005-0000-0000-0000C2150000}"/>
    <cellStyle name="Normal 4 4 4 2 5 2" xfId="4341" xr:uid="{00000000-0005-0000-0000-0000C3150000}"/>
    <cellStyle name="Normal 4 4 4 2 5 2 2" xfId="8564" xr:uid="{00000000-0005-0000-0000-0000C4150000}"/>
    <cellStyle name="Normal 4 4 4 2 5 2 2 2" xfId="17006" xr:uid="{0A4900A8-7499-4B2E-83F3-043B32910CE4}"/>
    <cellStyle name="Normal 4 4 4 2 5 2 2 3" xfId="25441" xr:uid="{61F60E59-EF52-46D6-BA10-75C0D7ADEBB7}"/>
    <cellStyle name="Normal 4 4 4 2 5 2 3" xfId="12788" xr:uid="{839B15B4-297E-4599-B402-18549A110686}"/>
    <cellStyle name="Normal 4 4 4 2 5 2 4" xfId="21224" xr:uid="{1403D5EC-93B6-4BD4-867D-114B0317D636}"/>
    <cellStyle name="Normal 4 4 4 2 5 3" xfId="6419" xr:uid="{00000000-0005-0000-0000-0000C5150000}"/>
    <cellStyle name="Normal 4 4 4 2 5 3 2" xfId="14861" xr:uid="{93A24BDB-3471-428E-8336-8204C079497E}"/>
    <cellStyle name="Normal 4 4 4 2 5 3 3" xfId="23296" xr:uid="{5D9EA20D-E8E6-493D-A06C-B4E849C5E059}"/>
    <cellStyle name="Normal 4 4 4 2 5 4" xfId="10643" xr:uid="{D99119EE-F47E-468E-9C3E-3CE698DBAE57}"/>
    <cellStyle name="Normal 4 4 4 2 5 5" xfId="19079" xr:uid="{C40103B2-A287-4E7A-9327-AE36E85ABCC5}"/>
    <cellStyle name="Normal 4 4 4 2 6" xfId="2548" xr:uid="{00000000-0005-0000-0000-0000C6150000}"/>
    <cellStyle name="Normal 4 4 4 2 6 2" xfId="6832" xr:uid="{00000000-0005-0000-0000-0000C7150000}"/>
    <cellStyle name="Normal 4 4 4 2 6 2 2" xfId="15274" xr:uid="{13FCD8ED-CF4C-45EA-A4BE-B3042406D140}"/>
    <cellStyle name="Normal 4 4 4 2 6 2 3" xfId="23709" xr:uid="{D8F34EDB-0398-4626-8707-11D76AE53D1B}"/>
    <cellStyle name="Normal 4 4 4 2 6 3" xfId="11056" xr:uid="{37B293BC-CE86-4E1A-AC4B-D81283BDAFF7}"/>
    <cellStyle name="Normal 4 4 4 2 6 4" xfId="19492" xr:uid="{6EDECCEC-FC25-4E15-BD0D-D994DE95B601}"/>
    <cellStyle name="Normal 4 4 4 2 7" xfId="4767" xr:uid="{00000000-0005-0000-0000-0000C8150000}"/>
    <cellStyle name="Normal 4 4 4 2 7 2" xfId="13209" xr:uid="{8F569299-39DD-4A99-9B86-BCD077713F10}"/>
    <cellStyle name="Normal 4 4 4 2 7 3" xfId="21644" xr:uid="{379760BC-0803-4DF7-A93E-A9141F871BAC}"/>
    <cellStyle name="Normal 4 4 4 2 8" xfId="8991" xr:uid="{F9924A2E-6524-4644-99BC-CF3A70BBD3AA}"/>
    <cellStyle name="Normal 4 4 4 2 9" xfId="17427" xr:uid="{9AD7CF90-19CA-4908-ADA5-70D18BEEB739}"/>
    <cellStyle name="Normal 4 4 4 3" xfId="866" xr:uid="{00000000-0005-0000-0000-0000C9150000}"/>
    <cellStyle name="Normal 4 4 4 3 2" xfId="3101" xr:uid="{00000000-0005-0000-0000-0000CA150000}"/>
    <cellStyle name="Normal 4 4 4 3 2 2" xfId="7324" xr:uid="{00000000-0005-0000-0000-0000CB150000}"/>
    <cellStyle name="Normal 4 4 4 3 2 2 2" xfId="15766" xr:uid="{B6FB514F-A726-4AF7-A435-824878AF61A8}"/>
    <cellStyle name="Normal 4 4 4 3 2 2 3" xfId="24201" xr:uid="{25C193B9-9F7D-4354-B0A5-B3D110476D42}"/>
    <cellStyle name="Normal 4 4 4 3 2 3" xfId="11548" xr:uid="{49C236F1-274D-4817-A97D-3B5EF77248D9}"/>
    <cellStyle name="Normal 4 4 4 3 2 4" xfId="19984" xr:uid="{D410EB20-878A-4507-B8EE-6346729A121F}"/>
    <cellStyle name="Normal 4 4 4 3 3" xfId="5179" xr:uid="{00000000-0005-0000-0000-0000CC150000}"/>
    <cellStyle name="Normal 4 4 4 3 3 2" xfId="13621" xr:uid="{4275B539-1189-410F-86D9-E7FF9269AAAD}"/>
    <cellStyle name="Normal 4 4 4 3 3 3" xfId="22056" xr:uid="{52E45394-4D96-47B0-A683-779BC40E5FF2}"/>
    <cellStyle name="Normal 4 4 4 3 4" xfId="9403" xr:uid="{4E6C31C1-1810-425B-8E79-2EBDA8582649}"/>
    <cellStyle name="Normal 4 4 4 3 5" xfId="17839" xr:uid="{C274734C-984A-4F95-AABA-ACAD702872B6}"/>
    <cellStyle name="Normal 4 4 4 4" xfId="1284" xr:uid="{00000000-0005-0000-0000-0000CD150000}"/>
    <cellStyle name="Normal 4 4 4 4 2" xfId="3514" xr:uid="{00000000-0005-0000-0000-0000CE150000}"/>
    <cellStyle name="Normal 4 4 4 4 2 2" xfId="7737" xr:uid="{00000000-0005-0000-0000-0000CF150000}"/>
    <cellStyle name="Normal 4 4 4 4 2 2 2" xfId="16179" xr:uid="{06A0B279-A6FE-4155-AC3C-E081B10FC2FD}"/>
    <cellStyle name="Normal 4 4 4 4 2 2 3" xfId="24614" xr:uid="{1F9A2F48-B72E-4B1A-9715-AF70EC70265A}"/>
    <cellStyle name="Normal 4 4 4 4 2 3" xfId="11961" xr:uid="{86F5F3DC-2908-495A-A1B7-AC7DCFBBD98C}"/>
    <cellStyle name="Normal 4 4 4 4 2 4" xfId="20397" xr:uid="{14A222CB-251F-41B9-942E-C8039A8B6AFF}"/>
    <cellStyle name="Normal 4 4 4 4 3" xfId="5592" xr:uid="{00000000-0005-0000-0000-0000D0150000}"/>
    <cellStyle name="Normal 4 4 4 4 3 2" xfId="14034" xr:uid="{4ADAD717-C07C-4AE2-BCF7-FEE8C566701F}"/>
    <cellStyle name="Normal 4 4 4 4 3 3" xfId="22469" xr:uid="{109CB946-3187-46C6-9EA1-4017DB789EB9}"/>
    <cellStyle name="Normal 4 4 4 4 4" xfId="9816" xr:uid="{BE170B7B-7617-4A60-BA92-8BAB491D1FF8}"/>
    <cellStyle name="Normal 4 4 4 4 5" xfId="18252" xr:uid="{5D6B7949-444C-48E8-BD52-9ECE1E565BE1}"/>
    <cellStyle name="Normal 4 4 4 5" xfId="1697" xr:uid="{00000000-0005-0000-0000-0000D1150000}"/>
    <cellStyle name="Normal 4 4 4 5 2" xfId="3927" xr:uid="{00000000-0005-0000-0000-0000D2150000}"/>
    <cellStyle name="Normal 4 4 4 5 2 2" xfId="8150" xr:uid="{00000000-0005-0000-0000-0000D3150000}"/>
    <cellStyle name="Normal 4 4 4 5 2 2 2" xfId="16592" xr:uid="{8FEC59AC-19FC-4531-A197-9571634949F4}"/>
    <cellStyle name="Normal 4 4 4 5 2 2 3" xfId="25027" xr:uid="{607AABFE-D5B1-4639-928F-A413B2AF0E5B}"/>
    <cellStyle name="Normal 4 4 4 5 2 3" xfId="12374" xr:uid="{F5852D98-ECFB-4B25-987F-E4A0C467726E}"/>
    <cellStyle name="Normal 4 4 4 5 2 4" xfId="20810" xr:uid="{1FFF54B3-6C2C-4862-922B-77A4D948FDB9}"/>
    <cellStyle name="Normal 4 4 4 5 3" xfId="6005" xr:uid="{00000000-0005-0000-0000-0000D4150000}"/>
    <cellStyle name="Normal 4 4 4 5 3 2" xfId="14447" xr:uid="{1C0596AF-4693-4231-B0FC-B386CBA0D4F3}"/>
    <cellStyle name="Normal 4 4 4 5 3 3" xfId="22882" xr:uid="{0E699AAE-E71E-4624-B4E6-B9F9BC867A92}"/>
    <cellStyle name="Normal 4 4 4 5 4" xfId="10229" xr:uid="{175A5918-DC6D-4648-84C6-F7347C1CB8E8}"/>
    <cellStyle name="Normal 4 4 4 5 5" xfId="18665" xr:uid="{7998DB98-4AEF-4989-B0A0-441555BA582A}"/>
    <cellStyle name="Normal 4 4 4 6" xfId="2111" xr:uid="{00000000-0005-0000-0000-0000D5150000}"/>
    <cellStyle name="Normal 4 4 4 6 2" xfId="4340" xr:uid="{00000000-0005-0000-0000-0000D6150000}"/>
    <cellStyle name="Normal 4 4 4 6 2 2" xfId="8563" xr:uid="{00000000-0005-0000-0000-0000D7150000}"/>
    <cellStyle name="Normal 4 4 4 6 2 2 2" xfId="17005" xr:uid="{2E547CE8-3089-4A3E-B43B-9025DD5F363B}"/>
    <cellStyle name="Normal 4 4 4 6 2 2 3" xfId="25440" xr:uid="{4AE796C7-FC22-4649-8F34-57DC82A9CBAF}"/>
    <cellStyle name="Normal 4 4 4 6 2 3" xfId="12787" xr:uid="{00BE8B4D-80BA-453D-B9B5-FAC9DDCD2C2D}"/>
    <cellStyle name="Normal 4 4 4 6 2 4" xfId="21223" xr:uid="{EDE05C38-3012-49B5-8746-AA8ABE8C594A}"/>
    <cellStyle name="Normal 4 4 4 6 3" xfId="6418" xr:uid="{00000000-0005-0000-0000-0000D8150000}"/>
    <cellStyle name="Normal 4 4 4 6 3 2" xfId="14860" xr:uid="{1874CF11-A53C-4B0D-BF64-AD947D4E47EE}"/>
    <cellStyle name="Normal 4 4 4 6 3 3" xfId="23295" xr:uid="{7145DE44-C7F6-47C0-AABD-4595A51AB79B}"/>
    <cellStyle name="Normal 4 4 4 6 4" xfId="10642" xr:uid="{EA91CF42-DAE4-4637-BA8A-2A423533D7BA}"/>
    <cellStyle name="Normal 4 4 4 6 5" xfId="19078" xr:uid="{F175BBD3-AF2B-4857-B055-BAF66321DBD1}"/>
    <cellStyle name="Normal 4 4 4 7" xfId="2547" xr:uid="{00000000-0005-0000-0000-0000D9150000}"/>
    <cellStyle name="Normal 4 4 4 7 2" xfId="6831" xr:uid="{00000000-0005-0000-0000-0000DA150000}"/>
    <cellStyle name="Normal 4 4 4 7 2 2" xfId="15273" xr:uid="{DC6946F0-5923-42B8-9865-6C9C84F4C930}"/>
    <cellStyle name="Normal 4 4 4 7 2 3" xfId="23708" xr:uid="{37269B5F-AA2B-4A73-A925-F1A3FA2EC439}"/>
    <cellStyle name="Normal 4 4 4 7 3" xfId="11055" xr:uid="{83AD2254-F3BD-45B9-ADDB-77155D61C57F}"/>
    <cellStyle name="Normal 4 4 4 7 4" xfId="19491" xr:uid="{832D62DA-1F08-46C9-9C01-AF90060DC0E9}"/>
    <cellStyle name="Normal 4 4 4 8" xfId="4766" xr:uid="{00000000-0005-0000-0000-0000DB150000}"/>
    <cellStyle name="Normal 4 4 4 8 2" xfId="13208" xr:uid="{3F190515-5090-4F2E-953D-CC7E9E646366}"/>
    <cellStyle name="Normal 4 4 4 8 3" xfId="21643" xr:uid="{9F41A180-C838-4779-BE0E-16B6FCA78A5F}"/>
    <cellStyle name="Normal 4 4 4 9" xfId="8990" xr:uid="{86C5DF23-87AF-4C5E-AC00-D7BB84ABABEB}"/>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2 2 2" xfId="15768" xr:uid="{1F532535-BFD3-4C95-B8DB-BE1A1B404B41}"/>
    <cellStyle name="Normal 4 4 5 2 2 2 3" xfId="24203" xr:uid="{C4105EC5-F38E-4C8C-A5AE-84D6C1C86C7F}"/>
    <cellStyle name="Normal 4 4 5 2 2 3" xfId="11550" xr:uid="{113AB875-6DD3-430E-A5BE-52A2C7C037B0}"/>
    <cellStyle name="Normal 4 4 5 2 2 4" xfId="19986" xr:uid="{68D1E5DA-B8B3-4E4A-BFF0-7DCA630DEE86}"/>
    <cellStyle name="Normal 4 4 5 2 3" xfId="5181" xr:uid="{00000000-0005-0000-0000-0000E0150000}"/>
    <cellStyle name="Normal 4 4 5 2 3 2" xfId="13623" xr:uid="{6B54C58D-502A-4CC5-8FD2-78264343E6C5}"/>
    <cellStyle name="Normal 4 4 5 2 3 3" xfId="22058" xr:uid="{91EDE9A2-EF15-4338-894E-FE7D349B2B3B}"/>
    <cellStyle name="Normal 4 4 5 2 4" xfId="9405" xr:uid="{DA859B20-8985-4AE7-BCCB-96711FD805B2}"/>
    <cellStyle name="Normal 4 4 5 2 5" xfId="17841" xr:uid="{F0E0E288-14F0-4A36-AA99-4019CCA4354D}"/>
    <cellStyle name="Normal 4 4 5 3" xfId="1286" xr:uid="{00000000-0005-0000-0000-0000E1150000}"/>
    <cellStyle name="Normal 4 4 5 3 2" xfId="3516" xr:uid="{00000000-0005-0000-0000-0000E2150000}"/>
    <cellStyle name="Normal 4 4 5 3 2 2" xfId="7739" xr:uid="{00000000-0005-0000-0000-0000E3150000}"/>
    <cellStyle name="Normal 4 4 5 3 2 2 2" xfId="16181" xr:uid="{F3BC735B-4A18-4EAE-AF40-9311D42C3AED}"/>
    <cellStyle name="Normal 4 4 5 3 2 2 3" xfId="24616" xr:uid="{EF390115-CF63-42D2-8A5F-788AA6079A93}"/>
    <cellStyle name="Normal 4 4 5 3 2 3" xfId="11963" xr:uid="{5BFD5BF9-539B-41BC-87ED-AED3A67DD21B}"/>
    <cellStyle name="Normal 4 4 5 3 2 4" xfId="20399" xr:uid="{70A2641E-DBC0-4235-B1EB-A35765214D15}"/>
    <cellStyle name="Normal 4 4 5 3 3" xfId="5594" xr:uid="{00000000-0005-0000-0000-0000E4150000}"/>
    <cellStyle name="Normal 4 4 5 3 3 2" xfId="14036" xr:uid="{22015794-D9D6-4A4F-B541-5C5E13EACF3D}"/>
    <cellStyle name="Normal 4 4 5 3 3 3" xfId="22471" xr:uid="{908DFE28-C4FB-4718-933E-B7F04F5AFD3B}"/>
    <cellStyle name="Normal 4 4 5 3 4" xfId="9818" xr:uid="{62EEC056-792A-4B94-A7C2-653F045A64D2}"/>
    <cellStyle name="Normal 4 4 5 3 5" xfId="18254" xr:uid="{D9BE61B5-E2D1-4501-8641-393ABCD9D9E4}"/>
    <cellStyle name="Normal 4 4 5 4" xfId="1699" xr:uid="{00000000-0005-0000-0000-0000E5150000}"/>
    <cellStyle name="Normal 4 4 5 4 2" xfId="3929" xr:uid="{00000000-0005-0000-0000-0000E6150000}"/>
    <cellStyle name="Normal 4 4 5 4 2 2" xfId="8152" xr:uid="{00000000-0005-0000-0000-0000E7150000}"/>
    <cellStyle name="Normal 4 4 5 4 2 2 2" xfId="16594" xr:uid="{79B6F056-22FE-4D79-8941-FAB28E2839CA}"/>
    <cellStyle name="Normal 4 4 5 4 2 2 3" xfId="25029" xr:uid="{7DA63EA3-70DC-4E37-B83A-31EA4944FCF8}"/>
    <cellStyle name="Normal 4 4 5 4 2 3" xfId="12376" xr:uid="{E91959A7-A39C-466B-8F6C-07CEBEA86103}"/>
    <cellStyle name="Normal 4 4 5 4 2 4" xfId="20812" xr:uid="{E2D1313B-90E9-4E29-8441-349368BE07CD}"/>
    <cellStyle name="Normal 4 4 5 4 3" xfId="6007" xr:uid="{00000000-0005-0000-0000-0000E8150000}"/>
    <cellStyle name="Normal 4 4 5 4 3 2" xfId="14449" xr:uid="{D0CEB274-F522-4C48-B025-4E8316553CEF}"/>
    <cellStyle name="Normal 4 4 5 4 3 3" xfId="22884" xr:uid="{3FA21366-16F1-43E0-B0D6-5C54F71BEAAF}"/>
    <cellStyle name="Normal 4 4 5 4 4" xfId="10231" xr:uid="{FC162559-0B74-407F-AC6E-836BC881F98D}"/>
    <cellStyle name="Normal 4 4 5 4 5" xfId="18667" xr:uid="{FB178A60-3BFF-4EDB-A5F9-96FEE2A82833}"/>
    <cellStyle name="Normal 4 4 5 5" xfId="2113" xr:uid="{00000000-0005-0000-0000-0000E9150000}"/>
    <cellStyle name="Normal 4 4 5 5 2" xfId="4342" xr:uid="{00000000-0005-0000-0000-0000EA150000}"/>
    <cellStyle name="Normal 4 4 5 5 2 2" xfId="8565" xr:uid="{00000000-0005-0000-0000-0000EB150000}"/>
    <cellStyle name="Normal 4 4 5 5 2 2 2" xfId="17007" xr:uid="{5B1F66D2-6E46-4E06-A279-A911100299E5}"/>
    <cellStyle name="Normal 4 4 5 5 2 2 3" xfId="25442" xr:uid="{2BE9F634-C3C6-4B42-A99D-D376100C58E2}"/>
    <cellStyle name="Normal 4 4 5 5 2 3" xfId="12789" xr:uid="{694F7D68-CE71-43BC-B0F0-E48807A45B53}"/>
    <cellStyle name="Normal 4 4 5 5 2 4" xfId="21225" xr:uid="{998E5EC9-AFCD-44D2-90DC-98E383E9E755}"/>
    <cellStyle name="Normal 4 4 5 5 3" xfId="6420" xr:uid="{00000000-0005-0000-0000-0000EC150000}"/>
    <cellStyle name="Normal 4 4 5 5 3 2" xfId="14862" xr:uid="{81FC1C79-E56F-4B7F-847B-6B22BA59F20C}"/>
    <cellStyle name="Normal 4 4 5 5 3 3" xfId="23297" xr:uid="{7F4E010D-CF82-413E-862F-96C5AB7400C8}"/>
    <cellStyle name="Normal 4 4 5 5 4" xfId="10644" xr:uid="{5DE42ED9-A375-474C-8E6F-3C48B6878E49}"/>
    <cellStyle name="Normal 4 4 5 5 5" xfId="19080" xr:uid="{D20DAAC8-5504-4D35-8319-D4B720BF5ABB}"/>
    <cellStyle name="Normal 4 4 5 6" xfId="2549" xr:uid="{00000000-0005-0000-0000-0000ED150000}"/>
    <cellStyle name="Normal 4 4 5 6 2" xfId="6833" xr:uid="{00000000-0005-0000-0000-0000EE150000}"/>
    <cellStyle name="Normal 4 4 5 6 2 2" xfId="15275" xr:uid="{FB6B9AF4-CABE-4430-AC69-E9EEE633FA58}"/>
    <cellStyle name="Normal 4 4 5 6 2 3" xfId="23710" xr:uid="{1A56BFD0-9D92-4757-B07B-44A0A9D1666B}"/>
    <cellStyle name="Normal 4 4 5 6 3" xfId="11057" xr:uid="{96884D2A-28CB-4D61-AAAC-6F295CBCA19B}"/>
    <cellStyle name="Normal 4 4 5 6 4" xfId="19493" xr:uid="{B2E6B3A9-6092-403C-8F38-03C9464D2183}"/>
    <cellStyle name="Normal 4 4 5 7" xfId="4768" xr:uid="{00000000-0005-0000-0000-0000EF150000}"/>
    <cellStyle name="Normal 4 4 5 7 2" xfId="13210" xr:uid="{DA9B7190-CA6F-43B0-93F8-CD9CB1DFE6AC}"/>
    <cellStyle name="Normal 4 4 5 7 3" xfId="21645" xr:uid="{8E330CDB-3C84-428D-B332-3612CB153754}"/>
    <cellStyle name="Normal 4 4 5 8" xfId="8992" xr:uid="{CE9052C4-7010-40C3-A857-0E168740B497}"/>
    <cellStyle name="Normal 4 4 5 9" xfId="17428" xr:uid="{BF58A148-2C17-442F-B78D-B1E948F18127}"/>
    <cellStyle name="Normal 4 4 6" xfId="853" xr:uid="{00000000-0005-0000-0000-0000F0150000}"/>
    <cellStyle name="Normal 4 4 6 2" xfId="3088" xr:uid="{00000000-0005-0000-0000-0000F1150000}"/>
    <cellStyle name="Normal 4 4 6 2 2" xfId="7311" xr:uid="{00000000-0005-0000-0000-0000F2150000}"/>
    <cellStyle name="Normal 4 4 6 2 2 2" xfId="15753" xr:uid="{DEBFD675-6BC2-46EB-8CC2-8B16D67177D6}"/>
    <cellStyle name="Normal 4 4 6 2 2 3" xfId="24188" xr:uid="{459DF96E-8606-4068-92A6-D234AB114335}"/>
    <cellStyle name="Normal 4 4 6 2 3" xfId="11535" xr:uid="{62405151-22EB-4553-92E3-775B53F81377}"/>
    <cellStyle name="Normal 4 4 6 2 4" xfId="19971" xr:uid="{44D24843-85A0-4A83-A120-3942EDBDE8A0}"/>
    <cellStyle name="Normal 4 4 6 3" xfId="5166" xr:uid="{00000000-0005-0000-0000-0000F3150000}"/>
    <cellStyle name="Normal 4 4 6 3 2" xfId="13608" xr:uid="{1AC69497-D16C-45CA-A240-EE3890F2E835}"/>
    <cellStyle name="Normal 4 4 6 3 3" xfId="22043" xr:uid="{534D29E7-9C15-4223-AFC2-6239786E6719}"/>
    <cellStyle name="Normal 4 4 6 4" xfId="9390" xr:uid="{AA0B931A-7C6E-400D-AECC-005E0B2ABBC3}"/>
    <cellStyle name="Normal 4 4 6 5" xfId="17826" xr:uid="{F28611F0-AD0E-4ED1-9F3D-362A08599C0E}"/>
    <cellStyle name="Normal 4 4 7" xfId="1271" xr:uid="{00000000-0005-0000-0000-0000F4150000}"/>
    <cellStyle name="Normal 4 4 7 2" xfId="3501" xr:uid="{00000000-0005-0000-0000-0000F5150000}"/>
    <cellStyle name="Normal 4 4 7 2 2" xfId="7724" xr:uid="{00000000-0005-0000-0000-0000F6150000}"/>
    <cellStyle name="Normal 4 4 7 2 2 2" xfId="16166" xr:uid="{C20A55FF-9835-4D81-B8E0-CE328B1225B8}"/>
    <cellStyle name="Normal 4 4 7 2 2 3" xfId="24601" xr:uid="{0548C7F3-634A-4337-8E0C-E529F76732B3}"/>
    <cellStyle name="Normal 4 4 7 2 3" xfId="11948" xr:uid="{A7CB0DF8-1BDC-473E-B6DA-A0297B9D119E}"/>
    <cellStyle name="Normal 4 4 7 2 4" xfId="20384" xr:uid="{ADB9D652-B290-46A7-90AF-25641659B56A}"/>
    <cellStyle name="Normal 4 4 7 3" xfId="5579" xr:uid="{00000000-0005-0000-0000-0000F7150000}"/>
    <cellStyle name="Normal 4 4 7 3 2" xfId="14021" xr:uid="{4B80CE03-376C-479A-878F-4FBBFDCD4DDA}"/>
    <cellStyle name="Normal 4 4 7 3 3" xfId="22456" xr:uid="{5D592770-AEBC-434C-92A9-8EC98321AD20}"/>
    <cellStyle name="Normal 4 4 7 4" xfId="9803" xr:uid="{46F9DE37-2960-42A8-B2BB-4207DCA742C0}"/>
    <cellStyle name="Normal 4 4 7 5" xfId="18239" xr:uid="{20A7B518-F8DC-4DF7-BB5B-78E02E5159A3}"/>
    <cellStyle name="Normal 4 4 8" xfId="1684" xr:uid="{00000000-0005-0000-0000-0000F8150000}"/>
    <cellStyle name="Normal 4 4 8 2" xfId="3914" xr:uid="{00000000-0005-0000-0000-0000F9150000}"/>
    <cellStyle name="Normal 4 4 8 2 2" xfId="8137" xr:uid="{00000000-0005-0000-0000-0000FA150000}"/>
    <cellStyle name="Normal 4 4 8 2 2 2" xfId="16579" xr:uid="{E3099111-6732-43EC-9A89-929AD9908A0D}"/>
    <cellStyle name="Normal 4 4 8 2 2 3" xfId="25014" xr:uid="{4AB80589-012C-40B2-8BF5-D9DA63CC425B}"/>
    <cellStyle name="Normal 4 4 8 2 3" xfId="12361" xr:uid="{CAC762E1-41F4-4523-8516-9ACB236B67BD}"/>
    <cellStyle name="Normal 4 4 8 2 4" xfId="20797" xr:uid="{BFF8017D-A762-408B-A4E2-99F3F91F41D5}"/>
    <cellStyle name="Normal 4 4 8 3" xfId="5992" xr:uid="{00000000-0005-0000-0000-0000FB150000}"/>
    <cellStyle name="Normal 4 4 8 3 2" xfId="14434" xr:uid="{36AAF9B9-A223-4BDF-B905-167388787DF6}"/>
    <cellStyle name="Normal 4 4 8 3 3" xfId="22869" xr:uid="{031B67CC-FC09-472C-A848-F3DFFB3DEEF2}"/>
    <cellStyle name="Normal 4 4 8 4" xfId="10216" xr:uid="{730AAE13-5C27-49A6-81B4-91F3826DF865}"/>
    <cellStyle name="Normal 4 4 8 5" xfId="18652" xr:uid="{D7108B1E-1533-42F1-9397-0239871EBB82}"/>
    <cellStyle name="Normal 4 4 9" xfId="2098" xr:uid="{00000000-0005-0000-0000-0000FC150000}"/>
    <cellStyle name="Normal 4 4 9 2" xfId="4327" xr:uid="{00000000-0005-0000-0000-0000FD150000}"/>
    <cellStyle name="Normal 4 4 9 2 2" xfId="8550" xr:uid="{00000000-0005-0000-0000-0000FE150000}"/>
    <cellStyle name="Normal 4 4 9 2 2 2" xfId="16992" xr:uid="{E5DD588E-B489-47A2-947D-FB915020E808}"/>
    <cellStyle name="Normal 4 4 9 2 2 3" xfId="25427" xr:uid="{B116A252-E126-49ED-8380-CA480870D239}"/>
    <cellStyle name="Normal 4 4 9 2 3" xfId="12774" xr:uid="{48F48DAB-28A5-4355-AE37-3306282E4E9A}"/>
    <cellStyle name="Normal 4 4 9 2 4" xfId="21210" xr:uid="{6B6DBBC8-1EB5-4803-A6C7-A589D1E2F4C9}"/>
    <cellStyle name="Normal 4 4 9 3" xfId="6405" xr:uid="{00000000-0005-0000-0000-0000FF150000}"/>
    <cellStyle name="Normal 4 4 9 3 2" xfId="14847" xr:uid="{4A95070B-68D4-4136-98C3-1324041B3505}"/>
    <cellStyle name="Normal 4 4 9 3 3" xfId="23282" xr:uid="{684F9CD5-6CA8-46E7-AC02-4AFD2FA087ED}"/>
    <cellStyle name="Normal 4 4 9 4" xfId="10629" xr:uid="{37EEF3B7-FCDF-45F2-B86E-076F1F631F40}"/>
    <cellStyle name="Normal 4 4 9 5" xfId="19065" xr:uid="{15EF7EFD-FCF9-4667-BFE7-028851328C64}"/>
    <cellStyle name="Normal 4 5" xfId="394" xr:uid="{00000000-0005-0000-0000-000000160000}"/>
    <cellStyle name="Normal 4 6" xfId="395" xr:uid="{00000000-0005-0000-0000-000001160000}"/>
    <cellStyle name="Normal 4 6 10" xfId="4769" xr:uid="{00000000-0005-0000-0000-000002160000}"/>
    <cellStyle name="Normal 4 6 10 2" xfId="13211" xr:uid="{2A36695E-2E39-445F-8C71-0BF36F8C7CCF}"/>
    <cellStyle name="Normal 4 6 10 3" xfId="21646" xr:uid="{FB3F9757-E3F1-4D71-9011-7269FD18ED92}"/>
    <cellStyle name="Normal 4 6 11" xfId="8993" xr:uid="{B9F583A2-B7C4-4663-BA6A-208ACC938612}"/>
    <cellStyle name="Normal 4 6 12" xfId="17429" xr:uid="{0D386C35-8AA7-4D18-A95B-9F75E7D14CA0}"/>
    <cellStyle name="Normal 4 6 2" xfId="396" xr:uid="{00000000-0005-0000-0000-000003160000}"/>
    <cellStyle name="Normal 4 6 2 10" xfId="8994" xr:uid="{04FA9A35-B192-4547-A639-C85F5FBDCA5C}"/>
    <cellStyle name="Normal 4 6 2 11" xfId="17430" xr:uid="{71DD0C01-9748-431C-90CB-733D1CCD0A4E}"/>
    <cellStyle name="Normal 4 6 2 2" xfId="397" xr:uid="{00000000-0005-0000-0000-000004160000}"/>
    <cellStyle name="Normal 4 6 2 2 10" xfId="17431" xr:uid="{BAD576B3-878A-44A9-B6FC-5FC173F683EF}"/>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2 2 2" xfId="15772" xr:uid="{2F881105-843A-4674-B7C8-4F65924CD79F}"/>
    <cellStyle name="Normal 4 6 2 2 2 2 2 2 3" xfId="24207" xr:uid="{836919BA-E9F7-4888-A3FB-7535403D81B9}"/>
    <cellStyle name="Normal 4 6 2 2 2 2 2 3" xfId="11554" xr:uid="{9C2FC29D-D857-4376-8E9B-249A60549DA6}"/>
    <cellStyle name="Normal 4 6 2 2 2 2 2 4" xfId="19990" xr:uid="{868CA9CF-3D14-493F-B97D-5FBF931AA300}"/>
    <cellStyle name="Normal 4 6 2 2 2 2 3" xfId="5185" xr:uid="{00000000-0005-0000-0000-000009160000}"/>
    <cellStyle name="Normal 4 6 2 2 2 2 3 2" xfId="13627" xr:uid="{BF621DA8-8800-4297-BE56-D316911719B7}"/>
    <cellStyle name="Normal 4 6 2 2 2 2 3 3" xfId="22062" xr:uid="{7665D096-3579-4D99-B6B1-8A4FB4FE0394}"/>
    <cellStyle name="Normal 4 6 2 2 2 2 4" xfId="9409" xr:uid="{8760BE69-9C2D-4632-B3E8-0ECA96ACB710}"/>
    <cellStyle name="Normal 4 6 2 2 2 2 5" xfId="17845" xr:uid="{C76A4F30-33CE-4C84-A395-E20FBE4601C5}"/>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2 2 2" xfId="16185" xr:uid="{87DCF3F7-9700-43AE-9221-DF7457FF612F}"/>
    <cellStyle name="Normal 4 6 2 2 2 3 2 2 3" xfId="24620" xr:uid="{169D35A0-76BF-4264-AA8D-C40C0F884695}"/>
    <cellStyle name="Normal 4 6 2 2 2 3 2 3" xfId="11967" xr:uid="{8AC852BF-6F7F-419E-8E52-B6DBB3DA93A1}"/>
    <cellStyle name="Normal 4 6 2 2 2 3 2 4" xfId="20403" xr:uid="{9CB6791F-0E0D-4B5F-8F11-BCCBCD3F91EC}"/>
    <cellStyle name="Normal 4 6 2 2 2 3 3" xfId="5598" xr:uid="{00000000-0005-0000-0000-00000D160000}"/>
    <cellStyle name="Normal 4 6 2 2 2 3 3 2" xfId="14040" xr:uid="{6FAD17A6-07D9-444A-AC9E-4905BF9215D6}"/>
    <cellStyle name="Normal 4 6 2 2 2 3 3 3" xfId="22475" xr:uid="{09B3FD04-8EDC-4B14-B75D-1A5F88CD85C1}"/>
    <cellStyle name="Normal 4 6 2 2 2 3 4" xfId="9822" xr:uid="{8D5B8399-C255-48F7-83D9-5D297E798E54}"/>
    <cellStyle name="Normal 4 6 2 2 2 3 5" xfId="18258" xr:uid="{F026F800-92AA-40A8-83D6-CD7D87C16E34}"/>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2 2 2" xfId="16598" xr:uid="{21B539DF-0DE7-45C1-852F-B8AE0168877D}"/>
    <cellStyle name="Normal 4 6 2 2 2 4 2 2 3" xfId="25033" xr:uid="{C30C2B0E-221A-4B44-B994-ECED3234C7A6}"/>
    <cellStyle name="Normal 4 6 2 2 2 4 2 3" xfId="12380" xr:uid="{74DF2DF9-85B5-4847-9694-AC1005C3A82F}"/>
    <cellStyle name="Normal 4 6 2 2 2 4 2 4" xfId="20816" xr:uid="{5DB8B4E8-F86B-4183-A0B5-7678F1207CEE}"/>
    <cellStyle name="Normal 4 6 2 2 2 4 3" xfId="6011" xr:uid="{00000000-0005-0000-0000-000011160000}"/>
    <cellStyle name="Normal 4 6 2 2 2 4 3 2" xfId="14453" xr:uid="{166C8F5C-FD32-48E0-86DC-ECE19A4BB8A6}"/>
    <cellStyle name="Normal 4 6 2 2 2 4 3 3" xfId="22888" xr:uid="{B252E1E8-2B13-40DD-B740-13ECC3275ED0}"/>
    <cellStyle name="Normal 4 6 2 2 2 4 4" xfId="10235" xr:uid="{322E2A85-0F9C-4FF4-8CD3-9953F07806C9}"/>
    <cellStyle name="Normal 4 6 2 2 2 4 5" xfId="18671" xr:uid="{B44E7433-FA8E-43C8-8A95-77F5230AF785}"/>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2 2 2" xfId="17011" xr:uid="{8E0493AD-DBF3-402F-AF47-0BC8372AA2AC}"/>
    <cellStyle name="Normal 4 6 2 2 2 5 2 2 3" xfId="25446" xr:uid="{6A79FEEB-4B8E-4E3F-B807-A11F261860D2}"/>
    <cellStyle name="Normal 4 6 2 2 2 5 2 3" xfId="12793" xr:uid="{405A09BA-7A56-4AF8-887D-D49EE678C1D9}"/>
    <cellStyle name="Normal 4 6 2 2 2 5 2 4" xfId="21229" xr:uid="{4554E2D8-5532-435B-BDEA-BB3805E15F2C}"/>
    <cellStyle name="Normal 4 6 2 2 2 5 3" xfId="6424" xr:uid="{00000000-0005-0000-0000-000015160000}"/>
    <cellStyle name="Normal 4 6 2 2 2 5 3 2" xfId="14866" xr:uid="{2F8993A3-1F0F-4B3B-9663-2136B635DD3B}"/>
    <cellStyle name="Normal 4 6 2 2 2 5 3 3" xfId="23301" xr:uid="{48DD327B-327D-4DCF-BCB7-05309EBBB13F}"/>
    <cellStyle name="Normal 4 6 2 2 2 5 4" xfId="10648" xr:uid="{053F1243-4654-434B-B9EC-331642778BCB}"/>
    <cellStyle name="Normal 4 6 2 2 2 5 5" xfId="19084" xr:uid="{573A6C14-E901-4A33-A101-A6C70F8BC12F}"/>
    <cellStyle name="Normal 4 6 2 2 2 6" xfId="2553" xr:uid="{00000000-0005-0000-0000-000016160000}"/>
    <cellStyle name="Normal 4 6 2 2 2 6 2" xfId="6837" xr:uid="{00000000-0005-0000-0000-000017160000}"/>
    <cellStyle name="Normal 4 6 2 2 2 6 2 2" xfId="15279" xr:uid="{9B080016-012D-4554-A374-7C4A0EC5AEDC}"/>
    <cellStyle name="Normal 4 6 2 2 2 6 2 3" xfId="23714" xr:uid="{5E85C8D2-4C13-425F-99B8-EC498FEBFD8E}"/>
    <cellStyle name="Normal 4 6 2 2 2 6 3" xfId="11061" xr:uid="{D80C4D2F-2ECC-4899-91D3-C3EB67C711ED}"/>
    <cellStyle name="Normal 4 6 2 2 2 6 4" xfId="19497" xr:uid="{AF664851-E479-465F-83C9-2C282F0FD603}"/>
    <cellStyle name="Normal 4 6 2 2 2 7" xfId="4772" xr:uid="{00000000-0005-0000-0000-000018160000}"/>
    <cellStyle name="Normal 4 6 2 2 2 7 2" xfId="13214" xr:uid="{2560B64B-A088-4A01-8447-830DABEBBCD8}"/>
    <cellStyle name="Normal 4 6 2 2 2 7 3" xfId="21649" xr:uid="{36621DA3-70F9-4A66-A87E-AF1DE5BBFD12}"/>
    <cellStyle name="Normal 4 6 2 2 2 8" xfId="8996" xr:uid="{1F761901-57C3-482A-9D69-2370123E8854}"/>
    <cellStyle name="Normal 4 6 2 2 2 9" xfId="17432" xr:uid="{D1C755DB-5833-4B55-B500-36A7DE8F37D0}"/>
    <cellStyle name="Normal 4 6 2 2 3" xfId="871" xr:uid="{00000000-0005-0000-0000-000019160000}"/>
    <cellStyle name="Normal 4 6 2 2 3 2" xfId="3106" xr:uid="{00000000-0005-0000-0000-00001A160000}"/>
    <cellStyle name="Normal 4 6 2 2 3 2 2" xfId="7329" xr:uid="{00000000-0005-0000-0000-00001B160000}"/>
    <cellStyle name="Normal 4 6 2 2 3 2 2 2" xfId="15771" xr:uid="{39DFBE73-D278-4425-9834-CB321D3E6CE7}"/>
    <cellStyle name="Normal 4 6 2 2 3 2 2 3" xfId="24206" xr:uid="{747B48D1-0238-401D-898C-74399430BE13}"/>
    <cellStyle name="Normal 4 6 2 2 3 2 3" xfId="11553" xr:uid="{C741D976-D097-4F2D-9C42-470B32D13E10}"/>
    <cellStyle name="Normal 4 6 2 2 3 2 4" xfId="19989" xr:uid="{C3B113C4-5954-402B-BF67-761A4A81C09F}"/>
    <cellStyle name="Normal 4 6 2 2 3 3" xfId="5184" xr:uid="{00000000-0005-0000-0000-00001C160000}"/>
    <cellStyle name="Normal 4 6 2 2 3 3 2" xfId="13626" xr:uid="{426C52C4-DD9B-49E7-8A99-D8FAE7EFDA35}"/>
    <cellStyle name="Normal 4 6 2 2 3 3 3" xfId="22061" xr:uid="{C740C1A4-6288-48BC-A277-32F313BEC5A7}"/>
    <cellStyle name="Normal 4 6 2 2 3 4" xfId="9408" xr:uid="{A7392E46-5C78-4150-9AE3-A9DF78D50BA0}"/>
    <cellStyle name="Normal 4 6 2 2 3 5" xfId="17844" xr:uid="{32F9DBA8-CF47-4F2B-B6CA-231DB39A9EE5}"/>
    <cellStyle name="Normal 4 6 2 2 4" xfId="1289" xr:uid="{00000000-0005-0000-0000-00001D160000}"/>
    <cellStyle name="Normal 4 6 2 2 4 2" xfId="3519" xr:uid="{00000000-0005-0000-0000-00001E160000}"/>
    <cellStyle name="Normal 4 6 2 2 4 2 2" xfId="7742" xr:uid="{00000000-0005-0000-0000-00001F160000}"/>
    <cellStyle name="Normal 4 6 2 2 4 2 2 2" xfId="16184" xr:uid="{7617FEF9-47AB-4EDB-A006-384B31DD7CCC}"/>
    <cellStyle name="Normal 4 6 2 2 4 2 2 3" xfId="24619" xr:uid="{6FA25CF4-55FF-456B-B9E0-16BDF63E262B}"/>
    <cellStyle name="Normal 4 6 2 2 4 2 3" xfId="11966" xr:uid="{C66E5DC4-E682-47A5-9271-93FC74D45A27}"/>
    <cellStyle name="Normal 4 6 2 2 4 2 4" xfId="20402" xr:uid="{0489B3AE-29EB-451E-B04B-C13FB6EB046B}"/>
    <cellStyle name="Normal 4 6 2 2 4 3" xfId="5597" xr:uid="{00000000-0005-0000-0000-000020160000}"/>
    <cellStyle name="Normal 4 6 2 2 4 3 2" xfId="14039" xr:uid="{49F45BB4-85D3-4AC8-BCFD-E93239764B87}"/>
    <cellStyle name="Normal 4 6 2 2 4 3 3" xfId="22474" xr:uid="{7C6B7BA5-E984-40BB-8C48-80D85BF11ACC}"/>
    <cellStyle name="Normal 4 6 2 2 4 4" xfId="9821" xr:uid="{1D0220D1-5101-4EA8-95B0-0755FCBB68E7}"/>
    <cellStyle name="Normal 4 6 2 2 4 5" xfId="18257" xr:uid="{1DD9FBDC-7525-4CC8-8D1D-66962D1F7F64}"/>
    <cellStyle name="Normal 4 6 2 2 5" xfId="1702" xr:uid="{00000000-0005-0000-0000-000021160000}"/>
    <cellStyle name="Normal 4 6 2 2 5 2" xfId="3932" xr:uid="{00000000-0005-0000-0000-000022160000}"/>
    <cellStyle name="Normal 4 6 2 2 5 2 2" xfId="8155" xr:uid="{00000000-0005-0000-0000-000023160000}"/>
    <cellStyle name="Normal 4 6 2 2 5 2 2 2" xfId="16597" xr:uid="{AA07DDBA-118E-4483-98C5-F19A5035CFCA}"/>
    <cellStyle name="Normal 4 6 2 2 5 2 2 3" xfId="25032" xr:uid="{F4954B2F-7DA1-4B7F-BB94-F551A8A9195B}"/>
    <cellStyle name="Normal 4 6 2 2 5 2 3" xfId="12379" xr:uid="{531E04E2-7571-42AE-AEC2-DCA73023063E}"/>
    <cellStyle name="Normal 4 6 2 2 5 2 4" xfId="20815" xr:uid="{D6E4361A-34E8-4906-B1AF-1D09029CDA8A}"/>
    <cellStyle name="Normal 4 6 2 2 5 3" xfId="6010" xr:uid="{00000000-0005-0000-0000-000024160000}"/>
    <cellStyle name="Normal 4 6 2 2 5 3 2" xfId="14452" xr:uid="{B4DAF77C-75CD-499C-BB2A-5BFC4DA32F10}"/>
    <cellStyle name="Normal 4 6 2 2 5 3 3" xfId="22887" xr:uid="{EED893DF-F867-475F-B559-B72474E62C0F}"/>
    <cellStyle name="Normal 4 6 2 2 5 4" xfId="10234" xr:uid="{52F28984-397B-460A-9006-2669C947521C}"/>
    <cellStyle name="Normal 4 6 2 2 5 5" xfId="18670" xr:uid="{2DD010C1-3EE9-493F-86F5-E0D1C5DE13A5}"/>
    <cellStyle name="Normal 4 6 2 2 6" xfId="2116" xr:uid="{00000000-0005-0000-0000-000025160000}"/>
    <cellStyle name="Normal 4 6 2 2 6 2" xfId="4345" xr:uid="{00000000-0005-0000-0000-000026160000}"/>
    <cellStyle name="Normal 4 6 2 2 6 2 2" xfId="8568" xr:uid="{00000000-0005-0000-0000-000027160000}"/>
    <cellStyle name="Normal 4 6 2 2 6 2 2 2" xfId="17010" xr:uid="{42538745-BC81-435D-88D8-131217660C58}"/>
    <cellStyle name="Normal 4 6 2 2 6 2 2 3" xfId="25445" xr:uid="{4BDF0E05-5C2E-46D3-B83E-0A9F1A58F9EF}"/>
    <cellStyle name="Normal 4 6 2 2 6 2 3" xfId="12792" xr:uid="{C012EC73-1760-4032-BA81-FCFF57E1517C}"/>
    <cellStyle name="Normal 4 6 2 2 6 2 4" xfId="21228" xr:uid="{BB61B9AB-2A0C-40E1-9216-1A8D3054C83C}"/>
    <cellStyle name="Normal 4 6 2 2 6 3" xfId="6423" xr:uid="{00000000-0005-0000-0000-000028160000}"/>
    <cellStyle name="Normal 4 6 2 2 6 3 2" xfId="14865" xr:uid="{4F85530D-E8C4-4C49-82E7-F3DCDFE7FFB4}"/>
    <cellStyle name="Normal 4 6 2 2 6 3 3" xfId="23300" xr:uid="{92187577-4417-455A-8A2B-54E901F6F849}"/>
    <cellStyle name="Normal 4 6 2 2 6 4" xfId="10647" xr:uid="{E1B7EEC1-FB3B-4F13-B225-FED94E2F7F7F}"/>
    <cellStyle name="Normal 4 6 2 2 6 5" xfId="19083" xr:uid="{F841B011-D49A-4F8D-89E9-C21A5235B355}"/>
    <cellStyle name="Normal 4 6 2 2 7" xfId="2552" xr:uid="{00000000-0005-0000-0000-000029160000}"/>
    <cellStyle name="Normal 4 6 2 2 7 2" xfId="6836" xr:uid="{00000000-0005-0000-0000-00002A160000}"/>
    <cellStyle name="Normal 4 6 2 2 7 2 2" xfId="15278" xr:uid="{5B69DC5D-8FA5-402C-A80D-71DEED6C5CD9}"/>
    <cellStyle name="Normal 4 6 2 2 7 2 3" xfId="23713" xr:uid="{F122A879-C529-4388-BDE7-04F4BD9EA7F5}"/>
    <cellStyle name="Normal 4 6 2 2 7 3" xfId="11060" xr:uid="{3EC02851-0F4F-402A-ACD7-C7BE1DBB5563}"/>
    <cellStyle name="Normal 4 6 2 2 7 4" xfId="19496" xr:uid="{C8FA8547-C19E-4997-A240-736EC4179FB2}"/>
    <cellStyle name="Normal 4 6 2 2 8" xfId="4771" xr:uid="{00000000-0005-0000-0000-00002B160000}"/>
    <cellStyle name="Normal 4 6 2 2 8 2" xfId="13213" xr:uid="{E6420D4F-0326-4F51-9C96-16CF525C8393}"/>
    <cellStyle name="Normal 4 6 2 2 8 3" xfId="21648" xr:uid="{EA8B60A5-27CD-4FAE-911D-FFA8D528646C}"/>
    <cellStyle name="Normal 4 6 2 2 9" xfId="8995" xr:uid="{209D29EB-3762-4BC5-8259-E2EE622D4772}"/>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2 2 2" xfId="15773" xr:uid="{1EB5F52C-CE78-4A72-8533-FF3A41CAD552}"/>
    <cellStyle name="Normal 4 6 2 3 2 2 2 3" xfId="24208" xr:uid="{194B685B-DC4F-4A8F-BF5E-59E1BFA63DB3}"/>
    <cellStyle name="Normal 4 6 2 3 2 2 3" xfId="11555" xr:uid="{6E16369E-E460-41B2-A265-B895A3D1342A}"/>
    <cellStyle name="Normal 4 6 2 3 2 2 4" xfId="19991" xr:uid="{ED940651-320A-4E9F-95FF-55A855B88D24}"/>
    <cellStyle name="Normal 4 6 2 3 2 3" xfId="5186" xr:uid="{00000000-0005-0000-0000-000030160000}"/>
    <cellStyle name="Normal 4 6 2 3 2 3 2" xfId="13628" xr:uid="{88BE62AE-C54C-4504-A4DD-14F7E92F0ECE}"/>
    <cellStyle name="Normal 4 6 2 3 2 3 3" xfId="22063" xr:uid="{4FC04ACC-76D8-4575-B6A7-CD6D8B7B353A}"/>
    <cellStyle name="Normal 4 6 2 3 2 4" xfId="9410" xr:uid="{F6B4A0BF-378A-49EF-A765-EF41552875AE}"/>
    <cellStyle name="Normal 4 6 2 3 2 5" xfId="17846" xr:uid="{777DBAC5-4947-4C30-8CD7-630E55E05047}"/>
    <cellStyle name="Normal 4 6 2 3 3" xfId="1291" xr:uid="{00000000-0005-0000-0000-000031160000}"/>
    <cellStyle name="Normal 4 6 2 3 3 2" xfId="3521" xr:uid="{00000000-0005-0000-0000-000032160000}"/>
    <cellStyle name="Normal 4 6 2 3 3 2 2" xfId="7744" xr:uid="{00000000-0005-0000-0000-000033160000}"/>
    <cellStyle name="Normal 4 6 2 3 3 2 2 2" xfId="16186" xr:uid="{D579D80C-1A99-4914-9884-85522BF14A43}"/>
    <cellStyle name="Normal 4 6 2 3 3 2 2 3" xfId="24621" xr:uid="{80B31F8E-70B6-40DC-893C-F51572A64109}"/>
    <cellStyle name="Normal 4 6 2 3 3 2 3" xfId="11968" xr:uid="{86CF41B0-77EB-4C8D-95C0-FF77DB67D9F2}"/>
    <cellStyle name="Normal 4 6 2 3 3 2 4" xfId="20404" xr:uid="{580A5599-B940-4A4E-BCE8-FFACB60D1891}"/>
    <cellStyle name="Normal 4 6 2 3 3 3" xfId="5599" xr:uid="{00000000-0005-0000-0000-000034160000}"/>
    <cellStyle name="Normal 4 6 2 3 3 3 2" xfId="14041" xr:uid="{F5BF8164-7A55-46F1-881E-4E31DD5D57BC}"/>
    <cellStyle name="Normal 4 6 2 3 3 3 3" xfId="22476" xr:uid="{A4471BBD-A899-4B24-912C-343EA83F6A35}"/>
    <cellStyle name="Normal 4 6 2 3 3 4" xfId="9823" xr:uid="{3B6A9267-9363-4005-BFD6-1FEC878AFD4E}"/>
    <cellStyle name="Normal 4 6 2 3 3 5" xfId="18259" xr:uid="{DB5594B6-72EC-490B-9903-6E9148BE6177}"/>
    <cellStyle name="Normal 4 6 2 3 4" xfId="1704" xr:uid="{00000000-0005-0000-0000-000035160000}"/>
    <cellStyle name="Normal 4 6 2 3 4 2" xfId="3934" xr:uid="{00000000-0005-0000-0000-000036160000}"/>
    <cellStyle name="Normal 4 6 2 3 4 2 2" xfId="8157" xr:uid="{00000000-0005-0000-0000-000037160000}"/>
    <cellStyle name="Normal 4 6 2 3 4 2 2 2" xfId="16599" xr:uid="{23359F52-140B-4F3B-AC16-65674BB1FD27}"/>
    <cellStyle name="Normal 4 6 2 3 4 2 2 3" xfId="25034" xr:uid="{ED146275-E2DB-41A0-91A2-0B62BEE16B50}"/>
    <cellStyle name="Normal 4 6 2 3 4 2 3" xfId="12381" xr:uid="{A39FD0A6-895B-4F86-9725-20C04E6559E4}"/>
    <cellStyle name="Normal 4 6 2 3 4 2 4" xfId="20817" xr:uid="{672997DB-F55B-4357-B607-29E67E1E0D4D}"/>
    <cellStyle name="Normal 4 6 2 3 4 3" xfId="6012" xr:uid="{00000000-0005-0000-0000-000038160000}"/>
    <cellStyle name="Normal 4 6 2 3 4 3 2" xfId="14454" xr:uid="{21A83352-EC1E-4079-A2E4-F63560967094}"/>
    <cellStyle name="Normal 4 6 2 3 4 3 3" xfId="22889" xr:uid="{E7C2811B-92CB-4F10-A35B-C823AC3CEF70}"/>
    <cellStyle name="Normal 4 6 2 3 4 4" xfId="10236" xr:uid="{B1A6F805-33A7-499D-A4A8-6814FB00FE8B}"/>
    <cellStyle name="Normal 4 6 2 3 4 5" xfId="18672" xr:uid="{6D5FF883-B6CD-4009-A19B-CA804395E2EF}"/>
    <cellStyle name="Normal 4 6 2 3 5" xfId="2118" xr:uid="{00000000-0005-0000-0000-000039160000}"/>
    <cellStyle name="Normal 4 6 2 3 5 2" xfId="4347" xr:uid="{00000000-0005-0000-0000-00003A160000}"/>
    <cellStyle name="Normal 4 6 2 3 5 2 2" xfId="8570" xr:uid="{00000000-0005-0000-0000-00003B160000}"/>
    <cellStyle name="Normal 4 6 2 3 5 2 2 2" xfId="17012" xr:uid="{4960B756-A5AB-45BF-A3C4-775BDF81F27E}"/>
    <cellStyle name="Normal 4 6 2 3 5 2 2 3" xfId="25447" xr:uid="{5B845913-3ABD-466C-98F4-3563788E5A40}"/>
    <cellStyle name="Normal 4 6 2 3 5 2 3" xfId="12794" xr:uid="{0CD2D62B-3081-40B1-9FDC-EEC7EF2E0E43}"/>
    <cellStyle name="Normal 4 6 2 3 5 2 4" xfId="21230" xr:uid="{5F4A13AA-8C41-4C4B-A1D6-FFCA5FA8A36E}"/>
    <cellStyle name="Normal 4 6 2 3 5 3" xfId="6425" xr:uid="{00000000-0005-0000-0000-00003C160000}"/>
    <cellStyle name="Normal 4 6 2 3 5 3 2" xfId="14867" xr:uid="{BE87BBF8-22C4-4AB3-800E-3619E5931FA4}"/>
    <cellStyle name="Normal 4 6 2 3 5 3 3" xfId="23302" xr:uid="{50A886CC-18E0-4D5F-A7A0-03C352378E48}"/>
    <cellStyle name="Normal 4 6 2 3 5 4" xfId="10649" xr:uid="{CD129673-0F58-40A0-A7EA-9699E10EE822}"/>
    <cellStyle name="Normal 4 6 2 3 5 5" xfId="19085" xr:uid="{770065FB-43D2-4354-B98C-C21776F2FFBC}"/>
    <cellStyle name="Normal 4 6 2 3 6" xfId="2554" xr:uid="{00000000-0005-0000-0000-00003D160000}"/>
    <cellStyle name="Normal 4 6 2 3 6 2" xfId="6838" xr:uid="{00000000-0005-0000-0000-00003E160000}"/>
    <cellStyle name="Normal 4 6 2 3 6 2 2" xfId="15280" xr:uid="{0A2F24F1-4E20-4B82-8352-6E92D6D441B9}"/>
    <cellStyle name="Normal 4 6 2 3 6 2 3" xfId="23715" xr:uid="{AC4722F0-FCDC-4044-B73A-688493457DB5}"/>
    <cellStyle name="Normal 4 6 2 3 6 3" xfId="11062" xr:uid="{3AC89669-2424-4DBA-A296-1C62AC8A97A5}"/>
    <cellStyle name="Normal 4 6 2 3 6 4" xfId="19498" xr:uid="{26136155-4C72-4F63-8473-89543B06AAC5}"/>
    <cellStyle name="Normal 4 6 2 3 7" xfId="4773" xr:uid="{00000000-0005-0000-0000-00003F160000}"/>
    <cellStyle name="Normal 4 6 2 3 7 2" xfId="13215" xr:uid="{74A80A69-914B-4974-B525-6205F4C937C4}"/>
    <cellStyle name="Normal 4 6 2 3 7 3" xfId="21650" xr:uid="{B4B6F2B1-4148-47B8-B8BC-020C4BD3142C}"/>
    <cellStyle name="Normal 4 6 2 3 8" xfId="8997" xr:uid="{7F6F48AF-B403-40F9-9365-71E2E69FA346}"/>
    <cellStyle name="Normal 4 6 2 3 9" xfId="17433" xr:uid="{42E1D782-D1E1-4FA0-A6B2-BCD468DF85F2}"/>
    <cellStyle name="Normal 4 6 2 4" xfId="870" xr:uid="{00000000-0005-0000-0000-000040160000}"/>
    <cellStyle name="Normal 4 6 2 4 2" xfId="3105" xr:uid="{00000000-0005-0000-0000-000041160000}"/>
    <cellStyle name="Normal 4 6 2 4 2 2" xfId="7328" xr:uid="{00000000-0005-0000-0000-000042160000}"/>
    <cellStyle name="Normal 4 6 2 4 2 2 2" xfId="15770" xr:uid="{8B574E4A-2091-4102-80B7-885B228B33AF}"/>
    <cellStyle name="Normal 4 6 2 4 2 2 3" xfId="24205" xr:uid="{BA2448FA-1DDC-4ABF-8567-F7FCD5C01134}"/>
    <cellStyle name="Normal 4 6 2 4 2 3" xfId="11552" xr:uid="{07CB6BFB-A3AD-43F7-A09C-40DA63319C18}"/>
    <cellStyle name="Normal 4 6 2 4 2 4" xfId="19988" xr:uid="{2024A9AE-5CA6-4821-9F52-E86BCF9AA1A7}"/>
    <cellStyle name="Normal 4 6 2 4 3" xfId="5183" xr:uid="{00000000-0005-0000-0000-000043160000}"/>
    <cellStyle name="Normal 4 6 2 4 3 2" xfId="13625" xr:uid="{B5674918-4544-4489-BCAB-76BEEF36D870}"/>
    <cellStyle name="Normal 4 6 2 4 3 3" xfId="22060" xr:uid="{5513A9AE-B0C1-4B1E-92FB-2DCA42B503B4}"/>
    <cellStyle name="Normal 4 6 2 4 4" xfId="9407" xr:uid="{D3D3CECF-961D-4087-AACA-F6B94213303A}"/>
    <cellStyle name="Normal 4 6 2 4 5" xfId="17843" xr:uid="{6A019C15-7BC2-4911-81C5-CAE48F333C11}"/>
    <cellStyle name="Normal 4 6 2 5" xfId="1288" xr:uid="{00000000-0005-0000-0000-000044160000}"/>
    <cellStyle name="Normal 4 6 2 5 2" xfId="3518" xr:uid="{00000000-0005-0000-0000-000045160000}"/>
    <cellStyle name="Normal 4 6 2 5 2 2" xfId="7741" xr:uid="{00000000-0005-0000-0000-000046160000}"/>
    <cellStyle name="Normal 4 6 2 5 2 2 2" xfId="16183" xr:uid="{FAF7D638-E8C1-4C87-8C7A-A9313146C92E}"/>
    <cellStyle name="Normal 4 6 2 5 2 2 3" xfId="24618" xr:uid="{4C4C199B-F3D9-43D0-ADFF-CDA360100F01}"/>
    <cellStyle name="Normal 4 6 2 5 2 3" xfId="11965" xr:uid="{C2EE321D-453D-4030-8A4A-D31E1862725E}"/>
    <cellStyle name="Normal 4 6 2 5 2 4" xfId="20401" xr:uid="{F8E8DED3-68A0-49E0-A8DA-A54E17A94213}"/>
    <cellStyle name="Normal 4 6 2 5 3" xfId="5596" xr:uid="{00000000-0005-0000-0000-000047160000}"/>
    <cellStyle name="Normal 4 6 2 5 3 2" xfId="14038" xr:uid="{7C59057A-AD9F-45D6-B0C4-32FA229DA810}"/>
    <cellStyle name="Normal 4 6 2 5 3 3" xfId="22473" xr:uid="{60D123FF-E9A9-42E8-A8FD-22D0312B1C05}"/>
    <cellStyle name="Normal 4 6 2 5 4" xfId="9820" xr:uid="{939EBC4F-23FE-4D99-B6EC-E6EDEFE81B91}"/>
    <cellStyle name="Normal 4 6 2 5 5" xfId="18256" xr:uid="{96CB828D-933C-45B7-BAF9-8E8A762E321A}"/>
    <cellStyle name="Normal 4 6 2 6" xfId="1701" xr:uid="{00000000-0005-0000-0000-000048160000}"/>
    <cellStyle name="Normal 4 6 2 6 2" xfId="3931" xr:uid="{00000000-0005-0000-0000-000049160000}"/>
    <cellStyle name="Normal 4 6 2 6 2 2" xfId="8154" xr:uid="{00000000-0005-0000-0000-00004A160000}"/>
    <cellStyle name="Normal 4 6 2 6 2 2 2" xfId="16596" xr:uid="{51B7A335-2DF7-4D38-98A6-D6C92FE26ED9}"/>
    <cellStyle name="Normal 4 6 2 6 2 2 3" xfId="25031" xr:uid="{A915B1FC-E42B-4DBF-8632-E243CE5BFC69}"/>
    <cellStyle name="Normal 4 6 2 6 2 3" xfId="12378" xr:uid="{3D7DA907-C33F-4FE2-8CC7-1FEFD6B74F82}"/>
    <cellStyle name="Normal 4 6 2 6 2 4" xfId="20814" xr:uid="{FAA0E197-9FE4-4561-B84B-0F9C7EA8C1CA}"/>
    <cellStyle name="Normal 4 6 2 6 3" xfId="6009" xr:uid="{00000000-0005-0000-0000-00004B160000}"/>
    <cellStyle name="Normal 4 6 2 6 3 2" xfId="14451" xr:uid="{CD9DB94D-3850-46F1-AB3D-9A0A2A351FDF}"/>
    <cellStyle name="Normal 4 6 2 6 3 3" xfId="22886" xr:uid="{982E9131-82A4-4D06-8029-BA45E3E878BB}"/>
    <cellStyle name="Normal 4 6 2 6 4" xfId="10233" xr:uid="{7C76FA02-E148-4C43-A1AD-AF3FBF1CD5E8}"/>
    <cellStyle name="Normal 4 6 2 6 5" xfId="18669" xr:uid="{80CECF9F-32FC-4109-AB1F-8A5BDBBC01BB}"/>
    <cellStyle name="Normal 4 6 2 7" xfId="2115" xr:uid="{00000000-0005-0000-0000-00004C160000}"/>
    <cellStyle name="Normal 4 6 2 7 2" xfId="4344" xr:uid="{00000000-0005-0000-0000-00004D160000}"/>
    <cellStyle name="Normal 4 6 2 7 2 2" xfId="8567" xr:uid="{00000000-0005-0000-0000-00004E160000}"/>
    <cellStyle name="Normal 4 6 2 7 2 2 2" xfId="17009" xr:uid="{AADCC4E0-24E5-4ED0-9B1A-A75658647332}"/>
    <cellStyle name="Normal 4 6 2 7 2 2 3" xfId="25444" xr:uid="{08511BC7-E3EC-4FAD-8135-EA6936200B44}"/>
    <cellStyle name="Normal 4 6 2 7 2 3" xfId="12791" xr:uid="{36DD0B68-83A8-4C71-816E-66D64BE5A0CB}"/>
    <cellStyle name="Normal 4 6 2 7 2 4" xfId="21227" xr:uid="{529682A5-148A-41F1-BCA6-35C120AB1E36}"/>
    <cellStyle name="Normal 4 6 2 7 3" xfId="6422" xr:uid="{00000000-0005-0000-0000-00004F160000}"/>
    <cellStyle name="Normal 4 6 2 7 3 2" xfId="14864" xr:uid="{A0783569-7793-46C2-9E5C-CEA0A6595AF1}"/>
    <cellStyle name="Normal 4 6 2 7 3 3" xfId="23299" xr:uid="{E4FF9251-3C8A-41F6-9B12-F01E86BACCE8}"/>
    <cellStyle name="Normal 4 6 2 7 4" xfId="10646" xr:uid="{039260FD-0A3C-40C4-B115-CE1C264DA1FC}"/>
    <cellStyle name="Normal 4 6 2 7 5" xfId="19082" xr:uid="{41B17A63-20E4-4043-8AA1-C6B06E1E2AB5}"/>
    <cellStyle name="Normal 4 6 2 8" xfId="2551" xr:uid="{00000000-0005-0000-0000-000050160000}"/>
    <cellStyle name="Normal 4 6 2 8 2" xfId="6835" xr:uid="{00000000-0005-0000-0000-000051160000}"/>
    <cellStyle name="Normal 4 6 2 8 2 2" xfId="15277" xr:uid="{4A53449E-0FFC-4CE4-A9DF-939FEA33DC78}"/>
    <cellStyle name="Normal 4 6 2 8 2 3" xfId="23712" xr:uid="{3C37EC4F-9C60-4216-9AF8-DFEA83CFB086}"/>
    <cellStyle name="Normal 4 6 2 8 3" xfId="11059" xr:uid="{8C784035-57E8-4B26-B59A-BEC3747D0D01}"/>
    <cellStyle name="Normal 4 6 2 8 4" xfId="19495" xr:uid="{D87F4FFE-8B8D-4347-8DEE-42398024E6D8}"/>
    <cellStyle name="Normal 4 6 2 9" xfId="4770" xr:uid="{00000000-0005-0000-0000-000052160000}"/>
    <cellStyle name="Normal 4 6 2 9 2" xfId="13212" xr:uid="{93353057-6334-4752-BC1D-4340A758C81F}"/>
    <cellStyle name="Normal 4 6 2 9 3" xfId="21647" xr:uid="{6E68524A-F15A-4A21-9F5A-C702429CAE60}"/>
    <cellStyle name="Normal 4 6 3" xfId="400" xr:uid="{00000000-0005-0000-0000-000053160000}"/>
    <cellStyle name="Normal 4 6 3 10" xfId="17434" xr:uid="{B3961505-8E3F-4ADB-977B-57B469EC7CA2}"/>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2 2 2" xfId="15775" xr:uid="{B7B83DA4-3C55-4CC7-819D-88CD9C273FF7}"/>
    <cellStyle name="Normal 4 6 3 2 2 2 2 3" xfId="24210" xr:uid="{EE677B23-0E84-4D1B-BC62-590525F972FF}"/>
    <cellStyle name="Normal 4 6 3 2 2 2 3" xfId="11557" xr:uid="{5EFAC13B-352E-40B2-A41E-72883FC9D177}"/>
    <cellStyle name="Normal 4 6 3 2 2 2 4" xfId="19993" xr:uid="{BF8BF1B2-3669-4821-A042-5F9D0950BF4C}"/>
    <cellStyle name="Normal 4 6 3 2 2 3" xfId="5188" xr:uid="{00000000-0005-0000-0000-000058160000}"/>
    <cellStyle name="Normal 4 6 3 2 2 3 2" xfId="13630" xr:uid="{B27734A0-8AA4-47CE-9E60-47D38CE06D2A}"/>
    <cellStyle name="Normal 4 6 3 2 2 3 3" xfId="22065" xr:uid="{EFE7F9A1-7530-41CF-8624-A561E5922E78}"/>
    <cellStyle name="Normal 4 6 3 2 2 4" xfId="9412" xr:uid="{42BDF4E3-1C51-4496-8CD1-05582E9DCB54}"/>
    <cellStyle name="Normal 4 6 3 2 2 5" xfId="17848" xr:uid="{7783593B-7C21-465B-982A-DB0BB569DBF9}"/>
    <cellStyle name="Normal 4 6 3 2 3" xfId="1293" xr:uid="{00000000-0005-0000-0000-000059160000}"/>
    <cellStyle name="Normal 4 6 3 2 3 2" xfId="3523" xr:uid="{00000000-0005-0000-0000-00005A160000}"/>
    <cellStyle name="Normal 4 6 3 2 3 2 2" xfId="7746" xr:uid="{00000000-0005-0000-0000-00005B160000}"/>
    <cellStyle name="Normal 4 6 3 2 3 2 2 2" xfId="16188" xr:uid="{ECFBB985-DE13-4DD7-AC7A-5C444F76C3FB}"/>
    <cellStyle name="Normal 4 6 3 2 3 2 2 3" xfId="24623" xr:uid="{874605C7-8BF9-4A96-ABE5-0646D2CFA331}"/>
    <cellStyle name="Normal 4 6 3 2 3 2 3" xfId="11970" xr:uid="{D7F3C329-7052-44C3-9A2B-C1816BABA256}"/>
    <cellStyle name="Normal 4 6 3 2 3 2 4" xfId="20406" xr:uid="{CD1D5BD2-BD49-40B7-9C36-2CE1FC2E3E45}"/>
    <cellStyle name="Normal 4 6 3 2 3 3" xfId="5601" xr:uid="{00000000-0005-0000-0000-00005C160000}"/>
    <cellStyle name="Normal 4 6 3 2 3 3 2" xfId="14043" xr:uid="{24A003F8-8F09-4193-98ED-96C021B6206E}"/>
    <cellStyle name="Normal 4 6 3 2 3 3 3" xfId="22478" xr:uid="{D4B6C934-B17B-4B67-92EF-A2C43BAE1159}"/>
    <cellStyle name="Normal 4 6 3 2 3 4" xfId="9825" xr:uid="{BA8B2FB3-2DFA-499C-8DDD-DEB44A7D9813}"/>
    <cellStyle name="Normal 4 6 3 2 3 5" xfId="18261" xr:uid="{0AF27021-B750-40CD-A49F-60FA536F7DA4}"/>
    <cellStyle name="Normal 4 6 3 2 4" xfId="1706" xr:uid="{00000000-0005-0000-0000-00005D160000}"/>
    <cellStyle name="Normal 4 6 3 2 4 2" xfId="3936" xr:uid="{00000000-0005-0000-0000-00005E160000}"/>
    <cellStyle name="Normal 4 6 3 2 4 2 2" xfId="8159" xr:uid="{00000000-0005-0000-0000-00005F160000}"/>
    <cellStyle name="Normal 4 6 3 2 4 2 2 2" xfId="16601" xr:uid="{FECDD83D-F6B0-4041-A674-172E7B9396AC}"/>
    <cellStyle name="Normal 4 6 3 2 4 2 2 3" xfId="25036" xr:uid="{21829D3D-3E5E-4C41-AF62-F622AA92BAE4}"/>
    <cellStyle name="Normal 4 6 3 2 4 2 3" xfId="12383" xr:uid="{9C62CB70-2356-43B7-8B36-B14C03C2E1F9}"/>
    <cellStyle name="Normal 4 6 3 2 4 2 4" xfId="20819" xr:uid="{579BA45D-27E0-4D1F-8BD4-0A3D341AE17E}"/>
    <cellStyle name="Normal 4 6 3 2 4 3" xfId="6014" xr:uid="{00000000-0005-0000-0000-000060160000}"/>
    <cellStyle name="Normal 4 6 3 2 4 3 2" xfId="14456" xr:uid="{E5712486-485B-45A8-9FB5-507745F545BE}"/>
    <cellStyle name="Normal 4 6 3 2 4 3 3" xfId="22891" xr:uid="{53EE9031-EE7A-4B74-B794-F0F3B50D423B}"/>
    <cellStyle name="Normal 4 6 3 2 4 4" xfId="10238" xr:uid="{8B6604C4-84B5-463D-9661-9A6AF0249311}"/>
    <cellStyle name="Normal 4 6 3 2 4 5" xfId="18674" xr:uid="{B287F0D8-41D3-4FC8-B008-BF5101B66171}"/>
    <cellStyle name="Normal 4 6 3 2 5" xfId="2120" xr:uid="{00000000-0005-0000-0000-000061160000}"/>
    <cellStyle name="Normal 4 6 3 2 5 2" xfId="4349" xr:uid="{00000000-0005-0000-0000-000062160000}"/>
    <cellStyle name="Normal 4 6 3 2 5 2 2" xfId="8572" xr:uid="{00000000-0005-0000-0000-000063160000}"/>
    <cellStyle name="Normal 4 6 3 2 5 2 2 2" xfId="17014" xr:uid="{B673C2D1-1D92-4606-B655-FB5C5E120218}"/>
    <cellStyle name="Normal 4 6 3 2 5 2 2 3" xfId="25449" xr:uid="{5554774F-682A-48ED-B333-E8197EB98C90}"/>
    <cellStyle name="Normal 4 6 3 2 5 2 3" xfId="12796" xr:uid="{0BB38951-65C1-4F0F-85D9-A2D52152B0A1}"/>
    <cellStyle name="Normal 4 6 3 2 5 2 4" xfId="21232" xr:uid="{AEC8F17A-36D6-4F3C-B971-CC6B8EFFC99E}"/>
    <cellStyle name="Normal 4 6 3 2 5 3" xfId="6427" xr:uid="{00000000-0005-0000-0000-000064160000}"/>
    <cellStyle name="Normal 4 6 3 2 5 3 2" xfId="14869" xr:uid="{9D58E6C9-8531-4B77-8092-3747E789B581}"/>
    <cellStyle name="Normal 4 6 3 2 5 3 3" xfId="23304" xr:uid="{0F9BCBDC-DA2F-461E-A479-0E528BB8DEE9}"/>
    <cellStyle name="Normal 4 6 3 2 5 4" xfId="10651" xr:uid="{E55F4D49-33AB-4710-B989-D0C5DB0B0A30}"/>
    <cellStyle name="Normal 4 6 3 2 5 5" xfId="19087" xr:uid="{0261095D-EC30-4CEC-8C7D-3FB00185E339}"/>
    <cellStyle name="Normal 4 6 3 2 6" xfId="2556" xr:uid="{00000000-0005-0000-0000-000065160000}"/>
    <cellStyle name="Normal 4 6 3 2 6 2" xfId="6840" xr:uid="{00000000-0005-0000-0000-000066160000}"/>
    <cellStyle name="Normal 4 6 3 2 6 2 2" xfId="15282" xr:uid="{2DF8017A-34FB-4A2C-B615-928A5AAC3BC9}"/>
    <cellStyle name="Normal 4 6 3 2 6 2 3" xfId="23717" xr:uid="{4F2A5396-F243-4CF4-BDA4-3986AB156594}"/>
    <cellStyle name="Normal 4 6 3 2 6 3" xfId="11064" xr:uid="{AE34F63B-C28A-49EF-BAD2-AED61ABBBF2C}"/>
    <cellStyle name="Normal 4 6 3 2 6 4" xfId="19500" xr:uid="{E3AF7D43-B578-4CF3-A8DC-F5B02C9E4C51}"/>
    <cellStyle name="Normal 4 6 3 2 7" xfId="4775" xr:uid="{00000000-0005-0000-0000-000067160000}"/>
    <cellStyle name="Normal 4 6 3 2 7 2" xfId="13217" xr:uid="{00725005-A26B-45CF-A6E6-902F672C68EB}"/>
    <cellStyle name="Normal 4 6 3 2 7 3" xfId="21652" xr:uid="{8928A9F2-C022-42EB-BE38-3940CE245C97}"/>
    <cellStyle name="Normal 4 6 3 2 8" xfId="8999" xr:uid="{0430329A-DFE7-4777-86AC-E4C8246F7DDD}"/>
    <cellStyle name="Normal 4 6 3 2 9" xfId="17435" xr:uid="{BDC42748-D36C-4094-B92E-7F1E263635C4}"/>
    <cellStyle name="Normal 4 6 3 3" xfId="874" xr:uid="{00000000-0005-0000-0000-000068160000}"/>
    <cellStyle name="Normal 4 6 3 3 2" xfId="3109" xr:uid="{00000000-0005-0000-0000-000069160000}"/>
    <cellStyle name="Normal 4 6 3 3 2 2" xfId="7332" xr:uid="{00000000-0005-0000-0000-00006A160000}"/>
    <cellStyle name="Normal 4 6 3 3 2 2 2" xfId="15774" xr:uid="{FEAC764F-BD87-468E-88D0-7D448F63055C}"/>
    <cellStyle name="Normal 4 6 3 3 2 2 3" xfId="24209" xr:uid="{2FEE8CF6-AEA0-4E46-9ADB-042CB912464E}"/>
    <cellStyle name="Normal 4 6 3 3 2 3" xfId="11556" xr:uid="{191032BD-7EBC-4018-B010-383DE9437205}"/>
    <cellStyle name="Normal 4 6 3 3 2 4" xfId="19992" xr:uid="{DF498A3D-9F08-4773-BAFA-3BDC994A4B08}"/>
    <cellStyle name="Normal 4 6 3 3 3" xfId="5187" xr:uid="{00000000-0005-0000-0000-00006B160000}"/>
    <cellStyle name="Normal 4 6 3 3 3 2" xfId="13629" xr:uid="{CA5D8626-0AFD-4EB7-8199-85A757D0F924}"/>
    <cellStyle name="Normal 4 6 3 3 3 3" xfId="22064" xr:uid="{307195FA-2D60-4ED4-9494-EE18B160C281}"/>
    <cellStyle name="Normal 4 6 3 3 4" xfId="9411" xr:uid="{54B79888-7140-4BCA-9E0F-468661E9E1CF}"/>
    <cellStyle name="Normal 4 6 3 3 5" xfId="17847" xr:uid="{EA41C946-61E6-4FA7-829D-B1BCF18E6D14}"/>
    <cellStyle name="Normal 4 6 3 4" xfId="1292" xr:uid="{00000000-0005-0000-0000-00006C160000}"/>
    <cellStyle name="Normal 4 6 3 4 2" xfId="3522" xr:uid="{00000000-0005-0000-0000-00006D160000}"/>
    <cellStyle name="Normal 4 6 3 4 2 2" xfId="7745" xr:uid="{00000000-0005-0000-0000-00006E160000}"/>
    <cellStyle name="Normal 4 6 3 4 2 2 2" xfId="16187" xr:uid="{BC5C4ECF-EF8E-4197-A693-66191412F159}"/>
    <cellStyle name="Normal 4 6 3 4 2 2 3" xfId="24622" xr:uid="{4F60C311-3B1D-4DFF-9806-1686C4442D52}"/>
    <cellStyle name="Normal 4 6 3 4 2 3" xfId="11969" xr:uid="{01E0E727-C0A8-4B02-BFAE-B28B74E6D743}"/>
    <cellStyle name="Normal 4 6 3 4 2 4" xfId="20405" xr:uid="{E13853BD-D15D-4681-8120-F9A2DDAD3179}"/>
    <cellStyle name="Normal 4 6 3 4 3" xfId="5600" xr:uid="{00000000-0005-0000-0000-00006F160000}"/>
    <cellStyle name="Normal 4 6 3 4 3 2" xfId="14042" xr:uid="{CE42FC03-19A8-48C8-87A4-2B285E180598}"/>
    <cellStyle name="Normal 4 6 3 4 3 3" xfId="22477" xr:uid="{3553B73A-2712-4375-832F-BABCB079C7FD}"/>
    <cellStyle name="Normal 4 6 3 4 4" xfId="9824" xr:uid="{EC097E4C-8859-423F-A4AE-45B4D15A56AE}"/>
    <cellStyle name="Normal 4 6 3 4 5" xfId="18260" xr:uid="{26E124EF-296C-44BF-8405-0BD302E308C5}"/>
    <cellStyle name="Normal 4 6 3 5" xfId="1705" xr:uid="{00000000-0005-0000-0000-000070160000}"/>
    <cellStyle name="Normal 4 6 3 5 2" xfId="3935" xr:uid="{00000000-0005-0000-0000-000071160000}"/>
    <cellStyle name="Normal 4 6 3 5 2 2" xfId="8158" xr:uid="{00000000-0005-0000-0000-000072160000}"/>
    <cellStyle name="Normal 4 6 3 5 2 2 2" xfId="16600" xr:uid="{5C3FC0DA-2128-49C5-A254-0A6475A4B756}"/>
    <cellStyle name="Normal 4 6 3 5 2 2 3" xfId="25035" xr:uid="{5CE709AB-E8F1-499F-854F-F1599907D699}"/>
    <cellStyle name="Normal 4 6 3 5 2 3" xfId="12382" xr:uid="{DA80ADF4-2A2B-431A-893B-5A69F62210C5}"/>
    <cellStyle name="Normal 4 6 3 5 2 4" xfId="20818" xr:uid="{CA1B8569-88AD-40E2-A10B-E98A711E54FE}"/>
    <cellStyle name="Normal 4 6 3 5 3" xfId="6013" xr:uid="{00000000-0005-0000-0000-000073160000}"/>
    <cellStyle name="Normal 4 6 3 5 3 2" xfId="14455" xr:uid="{DAAEAC7D-4202-4637-B3D5-6808850C9BE9}"/>
    <cellStyle name="Normal 4 6 3 5 3 3" xfId="22890" xr:uid="{10BDD5B7-F6D4-4448-B5CD-F1DBA080B455}"/>
    <cellStyle name="Normal 4 6 3 5 4" xfId="10237" xr:uid="{C6F68D23-1DA6-4089-8168-6F8093CC4CA7}"/>
    <cellStyle name="Normal 4 6 3 5 5" xfId="18673" xr:uid="{A90F9D65-B26A-414B-AAEF-F902B3053E06}"/>
    <cellStyle name="Normal 4 6 3 6" xfId="2119" xr:uid="{00000000-0005-0000-0000-000074160000}"/>
    <cellStyle name="Normal 4 6 3 6 2" xfId="4348" xr:uid="{00000000-0005-0000-0000-000075160000}"/>
    <cellStyle name="Normal 4 6 3 6 2 2" xfId="8571" xr:uid="{00000000-0005-0000-0000-000076160000}"/>
    <cellStyle name="Normal 4 6 3 6 2 2 2" xfId="17013" xr:uid="{764E427C-0667-4FAE-908B-0B9AA20AAF0F}"/>
    <cellStyle name="Normal 4 6 3 6 2 2 3" xfId="25448" xr:uid="{28CF334F-E347-4810-AAC1-1EE698CE1ACD}"/>
    <cellStyle name="Normal 4 6 3 6 2 3" xfId="12795" xr:uid="{F959C1CA-C3A2-4067-92E9-3A267F514039}"/>
    <cellStyle name="Normal 4 6 3 6 2 4" xfId="21231" xr:uid="{9CE76C94-B14F-49B9-9AAF-D23CACE8289C}"/>
    <cellStyle name="Normal 4 6 3 6 3" xfId="6426" xr:uid="{00000000-0005-0000-0000-000077160000}"/>
    <cellStyle name="Normal 4 6 3 6 3 2" xfId="14868" xr:uid="{A217DA9B-BB71-49D5-B4E0-A900589BE14D}"/>
    <cellStyle name="Normal 4 6 3 6 3 3" xfId="23303" xr:uid="{CC41A25A-5995-4695-AFA5-41EC64B76C0A}"/>
    <cellStyle name="Normal 4 6 3 6 4" xfId="10650" xr:uid="{AA9BACBF-7ABE-4FAE-9294-E201ACFB4BCE}"/>
    <cellStyle name="Normal 4 6 3 6 5" xfId="19086" xr:uid="{FD9AB8CE-61AD-47E7-B0E2-3D9F7945F95A}"/>
    <cellStyle name="Normal 4 6 3 7" xfId="2555" xr:uid="{00000000-0005-0000-0000-000078160000}"/>
    <cellStyle name="Normal 4 6 3 7 2" xfId="6839" xr:uid="{00000000-0005-0000-0000-000079160000}"/>
    <cellStyle name="Normal 4 6 3 7 2 2" xfId="15281" xr:uid="{43061DE1-3F59-4B07-AE09-6EB3D09F682C}"/>
    <cellStyle name="Normal 4 6 3 7 2 3" xfId="23716" xr:uid="{283076D2-9885-4149-A5A9-8D38C3B52E82}"/>
    <cellStyle name="Normal 4 6 3 7 3" xfId="11063" xr:uid="{59A940D5-C01D-441E-BED9-9D78728966CB}"/>
    <cellStyle name="Normal 4 6 3 7 4" xfId="19499" xr:uid="{A33FDFCC-535C-4A19-89DC-7E3C09C8DCD8}"/>
    <cellStyle name="Normal 4 6 3 8" xfId="4774" xr:uid="{00000000-0005-0000-0000-00007A160000}"/>
    <cellStyle name="Normal 4 6 3 8 2" xfId="13216" xr:uid="{A3A7164D-04D9-403F-A189-12705E1A6A02}"/>
    <cellStyle name="Normal 4 6 3 8 3" xfId="21651" xr:uid="{6B9B4591-57FC-411C-AF85-20188D274FEE}"/>
    <cellStyle name="Normal 4 6 3 9" xfId="8998" xr:uid="{DBF28C95-AB35-4E3B-B60B-228A1200BF2A}"/>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2 2 2" xfId="15776" xr:uid="{9B89BE1D-A281-4B35-95D5-D1A9BACA5C74}"/>
    <cellStyle name="Normal 4 6 4 2 2 2 3" xfId="24211" xr:uid="{C41D470C-159F-4CD6-89B1-3A28B94BE5DD}"/>
    <cellStyle name="Normal 4 6 4 2 2 3" xfId="11558" xr:uid="{01C98D94-4249-449C-8D2F-5526A9EA14B7}"/>
    <cellStyle name="Normal 4 6 4 2 2 4" xfId="19994" xr:uid="{3570C7E2-EE01-475F-AEB3-BF0D0496DE73}"/>
    <cellStyle name="Normal 4 6 4 2 3" xfId="5189" xr:uid="{00000000-0005-0000-0000-00007F160000}"/>
    <cellStyle name="Normal 4 6 4 2 3 2" xfId="13631" xr:uid="{79A8299A-4BB4-4389-8ADC-2E4F623F6D1C}"/>
    <cellStyle name="Normal 4 6 4 2 3 3" xfId="22066" xr:uid="{F3C83502-6520-4998-9CD7-7FEC54AF8B8D}"/>
    <cellStyle name="Normal 4 6 4 2 4" xfId="9413" xr:uid="{60951692-C2FA-48E1-B2AD-A01FB0F843B9}"/>
    <cellStyle name="Normal 4 6 4 2 5" xfId="17849" xr:uid="{0F3C2B06-CB8D-489A-8DB8-2A5DC854AD3B}"/>
    <cellStyle name="Normal 4 6 4 3" xfId="1294" xr:uid="{00000000-0005-0000-0000-000080160000}"/>
    <cellStyle name="Normal 4 6 4 3 2" xfId="3524" xr:uid="{00000000-0005-0000-0000-000081160000}"/>
    <cellStyle name="Normal 4 6 4 3 2 2" xfId="7747" xr:uid="{00000000-0005-0000-0000-000082160000}"/>
    <cellStyle name="Normal 4 6 4 3 2 2 2" xfId="16189" xr:uid="{7C8FF42C-3B5A-4FD9-8F90-624AEC5ECC72}"/>
    <cellStyle name="Normal 4 6 4 3 2 2 3" xfId="24624" xr:uid="{644F6D28-E98C-4896-A5D0-664C05BEAA0D}"/>
    <cellStyle name="Normal 4 6 4 3 2 3" xfId="11971" xr:uid="{3E480C37-4FF6-429D-A07E-92DD2A043E7C}"/>
    <cellStyle name="Normal 4 6 4 3 2 4" xfId="20407" xr:uid="{7BF7F462-36DA-4709-BE00-E139234470FD}"/>
    <cellStyle name="Normal 4 6 4 3 3" xfId="5602" xr:uid="{00000000-0005-0000-0000-000083160000}"/>
    <cellStyle name="Normal 4 6 4 3 3 2" xfId="14044" xr:uid="{60CCD805-19DC-4554-A0BF-0470F595A50B}"/>
    <cellStyle name="Normal 4 6 4 3 3 3" xfId="22479" xr:uid="{4F9C936C-1CDF-41E0-AB17-4DFDA927DBAF}"/>
    <cellStyle name="Normal 4 6 4 3 4" xfId="9826" xr:uid="{A778C37C-C2F4-43B1-9009-64B38E13FFCA}"/>
    <cellStyle name="Normal 4 6 4 3 5" xfId="18262" xr:uid="{F5144B3C-D2B9-4E04-B73D-5A67D8CFC758}"/>
    <cellStyle name="Normal 4 6 4 4" xfId="1707" xr:uid="{00000000-0005-0000-0000-000084160000}"/>
    <cellStyle name="Normal 4 6 4 4 2" xfId="3937" xr:uid="{00000000-0005-0000-0000-000085160000}"/>
    <cellStyle name="Normal 4 6 4 4 2 2" xfId="8160" xr:uid="{00000000-0005-0000-0000-000086160000}"/>
    <cellStyle name="Normal 4 6 4 4 2 2 2" xfId="16602" xr:uid="{186085E5-8B94-41D6-91FB-F75C96BB3A10}"/>
    <cellStyle name="Normal 4 6 4 4 2 2 3" xfId="25037" xr:uid="{A564C5E3-F052-4CB0-8285-109A388F1177}"/>
    <cellStyle name="Normal 4 6 4 4 2 3" xfId="12384" xr:uid="{7920C79E-5AA3-4F06-AA1D-9E60BB6FA276}"/>
    <cellStyle name="Normal 4 6 4 4 2 4" xfId="20820" xr:uid="{794D1A2A-8AED-456F-A198-95B14B6F4271}"/>
    <cellStyle name="Normal 4 6 4 4 3" xfId="6015" xr:uid="{00000000-0005-0000-0000-000087160000}"/>
    <cellStyle name="Normal 4 6 4 4 3 2" xfId="14457" xr:uid="{312F3607-0AD2-47FE-AA0B-625CE25C76AB}"/>
    <cellStyle name="Normal 4 6 4 4 3 3" xfId="22892" xr:uid="{2DDBAD07-C80A-4C2D-9053-0964AEBA78F1}"/>
    <cellStyle name="Normal 4 6 4 4 4" xfId="10239" xr:uid="{8B2F2562-D80E-4E36-8499-E018CA1A3C19}"/>
    <cellStyle name="Normal 4 6 4 4 5" xfId="18675" xr:uid="{AA24266F-394A-4176-975A-2A07C9C156FD}"/>
    <cellStyle name="Normal 4 6 4 5" xfId="2121" xr:uid="{00000000-0005-0000-0000-000088160000}"/>
    <cellStyle name="Normal 4 6 4 5 2" xfId="4350" xr:uid="{00000000-0005-0000-0000-000089160000}"/>
    <cellStyle name="Normal 4 6 4 5 2 2" xfId="8573" xr:uid="{00000000-0005-0000-0000-00008A160000}"/>
    <cellStyle name="Normal 4 6 4 5 2 2 2" xfId="17015" xr:uid="{7A38E5D8-A2E2-4BCC-B206-00BADF30B323}"/>
    <cellStyle name="Normal 4 6 4 5 2 2 3" xfId="25450" xr:uid="{91457580-FDA9-4E3F-A8E4-DAECE606BC4E}"/>
    <cellStyle name="Normal 4 6 4 5 2 3" xfId="12797" xr:uid="{80820BFD-1DBD-42EA-A283-4E67AA9AC554}"/>
    <cellStyle name="Normal 4 6 4 5 2 4" xfId="21233" xr:uid="{FFDE0963-8997-4464-AC33-4299654434C6}"/>
    <cellStyle name="Normal 4 6 4 5 3" xfId="6428" xr:uid="{00000000-0005-0000-0000-00008B160000}"/>
    <cellStyle name="Normal 4 6 4 5 3 2" xfId="14870" xr:uid="{85E33401-7C65-4298-949D-9BB985B0DEED}"/>
    <cellStyle name="Normal 4 6 4 5 3 3" xfId="23305" xr:uid="{9652B4E6-6723-42CD-AA17-3139DD9B47C3}"/>
    <cellStyle name="Normal 4 6 4 5 4" xfId="10652" xr:uid="{EA3C9374-CA6E-483D-9C85-EB81DE4DF96C}"/>
    <cellStyle name="Normal 4 6 4 5 5" xfId="19088" xr:uid="{85751AAE-99A4-45A8-A534-25CB52A6B0B4}"/>
    <cellStyle name="Normal 4 6 4 6" xfId="2557" xr:uid="{00000000-0005-0000-0000-00008C160000}"/>
    <cellStyle name="Normal 4 6 4 6 2" xfId="6841" xr:uid="{00000000-0005-0000-0000-00008D160000}"/>
    <cellStyle name="Normal 4 6 4 6 2 2" xfId="15283" xr:uid="{3656FE1D-554B-4DB2-8631-BF8A59204C37}"/>
    <cellStyle name="Normal 4 6 4 6 2 3" xfId="23718" xr:uid="{3214494A-EE81-4B95-B67C-623B97E8FF64}"/>
    <cellStyle name="Normal 4 6 4 6 3" xfId="11065" xr:uid="{B0B8D473-6DDA-4CD5-B310-B2DE6B9B6825}"/>
    <cellStyle name="Normal 4 6 4 6 4" xfId="19501" xr:uid="{8AEB1C50-19DF-4A14-B8E7-BB1984F00C3B}"/>
    <cellStyle name="Normal 4 6 4 7" xfId="4776" xr:uid="{00000000-0005-0000-0000-00008E160000}"/>
    <cellStyle name="Normal 4 6 4 7 2" xfId="13218" xr:uid="{EDC36A51-6D07-429E-9D7C-3F367D3186A5}"/>
    <cellStyle name="Normal 4 6 4 7 3" xfId="21653" xr:uid="{6D56A6A5-5356-4FA3-A8B8-089196045FFF}"/>
    <cellStyle name="Normal 4 6 4 8" xfId="9000" xr:uid="{A03154A1-00D2-4C9B-80A0-9826790743D3}"/>
    <cellStyle name="Normal 4 6 4 9" xfId="17436" xr:uid="{5DD126B1-22E7-465A-81E7-BA62255A4A0A}"/>
    <cellStyle name="Normal 4 6 5" xfId="869" xr:uid="{00000000-0005-0000-0000-00008F160000}"/>
    <cellStyle name="Normal 4 6 5 2" xfId="3104" xr:uid="{00000000-0005-0000-0000-000090160000}"/>
    <cellStyle name="Normal 4 6 5 2 2" xfId="7327" xr:uid="{00000000-0005-0000-0000-000091160000}"/>
    <cellStyle name="Normal 4 6 5 2 2 2" xfId="15769" xr:uid="{AE276C39-117F-45E3-8780-CFB6825D3445}"/>
    <cellStyle name="Normal 4 6 5 2 2 3" xfId="24204" xr:uid="{1A54E4D8-9BE7-46F3-BE12-FF0FD255137B}"/>
    <cellStyle name="Normal 4 6 5 2 3" xfId="11551" xr:uid="{AD5ABA24-F209-4EAC-90C3-089AE8D4B2C2}"/>
    <cellStyle name="Normal 4 6 5 2 4" xfId="19987" xr:uid="{56744FDA-87E8-435D-A5A9-F309138A1159}"/>
    <cellStyle name="Normal 4 6 5 3" xfId="5182" xr:uid="{00000000-0005-0000-0000-000092160000}"/>
    <cellStyle name="Normal 4 6 5 3 2" xfId="13624" xr:uid="{6676EED6-C394-4BAA-9391-A26328A3CFC7}"/>
    <cellStyle name="Normal 4 6 5 3 3" xfId="22059" xr:uid="{4F26EF8E-BC8B-4190-B57F-57590933E59C}"/>
    <cellStyle name="Normal 4 6 5 4" xfId="9406" xr:uid="{AAC286D7-DA51-48EF-B77C-4D1926374ACF}"/>
    <cellStyle name="Normal 4 6 5 5" xfId="17842" xr:uid="{33F1513C-E332-4E08-BBD3-DBD23BC08F58}"/>
    <cellStyle name="Normal 4 6 6" xfId="1287" xr:uid="{00000000-0005-0000-0000-000093160000}"/>
    <cellStyle name="Normal 4 6 6 2" xfId="3517" xr:uid="{00000000-0005-0000-0000-000094160000}"/>
    <cellStyle name="Normal 4 6 6 2 2" xfId="7740" xr:uid="{00000000-0005-0000-0000-000095160000}"/>
    <cellStyle name="Normal 4 6 6 2 2 2" xfId="16182" xr:uid="{B706AD51-3AA8-4EAD-B184-4579CF4053FB}"/>
    <cellStyle name="Normal 4 6 6 2 2 3" xfId="24617" xr:uid="{7E470EC9-9958-4272-BAE7-C1710852686A}"/>
    <cellStyle name="Normal 4 6 6 2 3" xfId="11964" xr:uid="{0417D783-D3EA-4F95-9A7B-4DCFE7D63689}"/>
    <cellStyle name="Normal 4 6 6 2 4" xfId="20400" xr:uid="{EA27644A-5FCB-483B-A62A-CA4A5ABBF2F3}"/>
    <cellStyle name="Normal 4 6 6 3" xfId="5595" xr:uid="{00000000-0005-0000-0000-000096160000}"/>
    <cellStyle name="Normal 4 6 6 3 2" xfId="14037" xr:uid="{54E54A8E-A495-4634-9436-4D2DE2EB3B2C}"/>
    <cellStyle name="Normal 4 6 6 3 3" xfId="22472" xr:uid="{FDFD063A-8262-4F8D-99CA-642D7B584B53}"/>
    <cellStyle name="Normal 4 6 6 4" xfId="9819" xr:uid="{55CBF8B3-50C7-44C8-B99A-036A094136D4}"/>
    <cellStyle name="Normal 4 6 6 5" xfId="18255" xr:uid="{F7021C4A-BC14-4471-A5C9-A5ED50BC8E62}"/>
    <cellStyle name="Normal 4 6 7" xfId="1700" xr:uid="{00000000-0005-0000-0000-000097160000}"/>
    <cellStyle name="Normal 4 6 7 2" xfId="3930" xr:uid="{00000000-0005-0000-0000-000098160000}"/>
    <cellStyle name="Normal 4 6 7 2 2" xfId="8153" xr:uid="{00000000-0005-0000-0000-000099160000}"/>
    <cellStyle name="Normal 4 6 7 2 2 2" xfId="16595" xr:uid="{EF8F0D3E-AE12-448F-9690-ED363D005A69}"/>
    <cellStyle name="Normal 4 6 7 2 2 3" xfId="25030" xr:uid="{B7DAF4D8-F451-4D3E-8F79-B387DD590E01}"/>
    <cellStyle name="Normal 4 6 7 2 3" xfId="12377" xr:uid="{DF71614E-7180-41C6-BC85-085305732807}"/>
    <cellStyle name="Normal 4 6 7 2 4" xfId="20813" xr:uid="{3DCAC3F9-E8F8-4A1A-87C8-2A6D231CF07C}"/>
    <cellStyle name="Normal 4 6 7 3" xfId="6008" xr:uid="{00000000-0005-0000-0000-00009A160000}"/>
    <cellStyle name="Normal 4 6 7 3 2" xfId="14450" xr:uid="{BD4627EB-AEA0-434E-86DC-D157C402AA43}"/>
    <cellStyle name="Normal 4 6 7 3 3" xfId="22885" xr:uid="{3A4B1C36-8DC2-43FF-8D1A-173221B2EA74}"/>
    <cellStyle name="Normal 4 6 7 4" xfId="10232" xr:uid="{0A1CF682-A30E-4D32-A68A-CD0042A50680}"/>
    <cellStyle name="Normal 4 6 7 5" xfId="18668" xr:uid="{0B059BD9-E6C1-4E02-BB17-F892EA6A4DC0}"/>
    <cellStyle name="Normal 4 6 8" xfId="2114" xr:uid="{00000000-0005-0000-0000-00009B160000}"/>
    <cellStyle name="Normal 4 6 8 2" xfId="4343" xr:uid="{00000000-0005-0000-0000-00009C160000}"/>
    <cellStyle name="Normal 4 6 8 2 2" xfId="8566" xr:uid="{00000000-0005-0000-0000-00009D160000}"/>
    <cellStyle name="Normal 4 6 8 2 2 2" xfId="17008" xr:uid="{59030644-90E2-4806-B088-EB1FDBE1F338}"/>
    <cellStyle name="Normal 4 6 8 2 2 3" xfId="25443" xr:uid="{8897CAA7-7763-454F-998C-D2966D530BBE}"/>
    <cellStyle name="Normal 4 6 8 2 3" xfId="12790" xr:uid="{D8EE2DD6-8EDB-4992-9ADD-3E3CD20E296A}"/>
    <cellStyle name="Normal 4 6 8 2 4" xfId="21226" xr:uid="{3EC5D10D-FDA9-485A-958F-5C6016860494}"/>
    <cellStyle name="Normal 4 6 8 3" xfId="6421" xr:uid="{00000000-0005-0000-0000-00009E160000}"/>
    <cellStyle name="Normal 4 6 8 3 2" xfId="14863" xr:uid="{76D23575-86AC-4DAF-ACD4-321961E3B2F2}"/>
    <cellStyle name="Normal 4 6 8 3 3" xfId="23298" xr:uid="{D0978B36-E9C3-4CDD-A7CD-D7CAE36AA777}"/>
    <cellStyle name="Normal 4 6 8 4" xfId="10645" xr:uid="{5CF288D4-3195-46B1-9A73-FCBB79D8A93D}"/>
    <cellStyle name="Normal 4 6 8 5" xfId="19081" xr:uid="{52F0B2E4-CBDD-444A-B1E6-269BDEDA0DC5}"/>
    <cellStyle name="Normal 4 6 9" xfId="2550" xr:uid="{00000000-0005-0000-0000-00009F160000}"/>
    <cellStyle name="Normal 4 6 9 2" xfId="6834" xr:uid="{00000000-0005-0000-0000-0000A0160000}"/>
    <cellStyle name="Normal 4 6 9 2 2" xfId="15276" xr:uid="{76784096-CEF0-4E46-ACC6-43EEC1E9620E}"/>
    <cellStyle name="Normal 4 6 9 2 3" xfId="23711" xr:uid="{99C35917-4ACC-4CF2-9C26-D9B2AA896516}"/>
    <cellStyle name="Normal 4 6 9 3" xfId="11058" xr:uid="{15459CEC-7FA0-4373-A9DC-34F8C27528ED}"/>
    <cellStyle name="Normal 4 6 9 4" xfId="19494" xr:uid="{2173EB73-4B8B-44BF-9FFF-F4C7D4D07AEB}"/>
    <cellStyle name="Normal 4 7" xfId="403" xr:uid="{00000000-0005-0000-0000-0000A1160000}"/>
    <cellStyle name="Normal 4 7 10" xfId="17437" xr:uid="{889F7BD5-D4AD-4B6D-BB43-64D1126CEB16}"/>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2 2 2" xfId="15778" xr:uid="{5F9AFC97-18E2-4C3A-8107-049D0840F960}"/>
    <cellStyle name="Normal 4 7 2 2 2 2 3" xfId="24213" xr:uid="{C1D61E5A-AA47-46D9-82E8-D1D92DBD050C}"/>
    <cellStyle name="Normal 4 7 2 2 2 3" xfId="11560" xr:uid="{526CF9BC-0AF9-4AD2-AA3D-52E026196C7D}"/>
    <cellStyle name="Normal 4 7 2 2 2 4" xfId="19996" xr:uid="{69CCE94A-774A-404C-8ECB-90028FE2FEC3}"/>
    <cellStyle name="Normal 4 7 2 2 3" xfId="5191" xr:uid="{00000000-0005-0000-0000-0000A6160000}"/>
    <cellStyle name="Normal 4 7 2 2 3 2" xfId="13633" xr:uid="{8665264F-BD66-48B2-A2B2-9EE0E3B5A683}"/>
    <cellStyle name="Normal 4 7 2 2 3 3" xfId="22068" xr:uid="{8DC39F13-8BEE-49F6-ACDD-A3778897772A}"/>
    <cellStyle name="Normal 4 7 2 2 4" xfId="9415" xr:uid="{0D98618E-34CE-48B9-9DE0-360C09E5378D}"/>
    <cellStyle name="Normal 4 7 2 2 5" xfId="17851" xr:uid="{3AED5976-9A29-402B-9120-F5FFF66ED5DD}"/>
    <cellStyle name="Normal 4 7 2 3" xfId="1296" xr:uid="{00000000-0005-0000-0000-0000A7160000}"/>
    <cellStyle name="Normal 4 7 2 3 2" xfId="3526" xr:uid="{00000000-0005-0000-0000-0000A8160000}"/>
    <cellStyle name="Normal 4 7 2 3 2 2" xfId="7749" xr:uid="{00000000-0005-0000-0000-0000A9160000}"/>
    <cellStyle name="Normal 4 7 2 3 2 2 2" xfId="16191" xr:uid="{53333711-6702-4EDB-9B57-015C9443E617}"/>
    <cellStyle name="Normal 4 7 2 3 2 2 3" xfId="24626" xr:uid="{F1532891-8AE7-4E4B-99B5-FA5FEEE1AC61}"/>
    <cellStyle name="Normal 4 7 2 3 2 3" xfId="11973" xr:uid="{405B64E7-87FD-4212-874A-69655C0A730C}"/>
    <cellStyle name="Normal 4 7 2 3 2 4" xfId="20409" xr:uid="{EA68FC3D-3FE7-4E06-A61B-2E37FBD45E4D}"/>
    <cellStyle name="Normal 4 7 2 3 3" xfId="5604" xr:uid="{00000000-0005-0000-0000-0000AA160000}"/>
    <cellStyle name="Normal 4 7 2 3 3 2" xfId="14046" xr:uid="{5E601112-882E-4F0A-8331-031D6E2B3F46}"/>
    <cellStyle name="Normal 4 7 2 3 3 3" xfId="22481" xr:uid="{072BFE17-77D5-4E81-9E6D-71B513C348F5}"/>
    <cellStyle name="Normal 4 7 2 3 4" xfId="9828" xr:uid="{4D41337C-9B64-43EC-8733-8D83705BC615}"/>
    <cellStyle name="Normal 4 7 2 3 5" xfId="18264" xr:uid="{DAFEB27A-CD4E-4F56-A041-7F754AF07E1E}"/>
    <cellStyle name="Normal 4 7 2 4" xfId="1709" xr:uid="{00000000-0005-0000-0000-0000AB160000}"/>
    <cellStyle name="Normal 4 7 2 4 2" xfId="3939" xr:uid="{00000000-0005-0000-0000-0000AC160000}"/>
    <cellStyle name="Normal 4 7 2 4 2 2" xfId="8162" xr:uid="{00000000-0005-0000-0000-0000AD160000}"/>
    <cellStyle name="Normal 4 7 2 4 2 2 2" xfId="16604" xr:uid="{179A9B78-FACB-406D-BB69-C21778B5BA88}"/>
    <cellStyle name="Normal 4 7 2 4 2 2 3" xfId="25039" xr:uid="{5EA02562-9B13-48B9-96C4-CB44EDD35CD7}"/>
    <cellStyle name="Normal 4 7 2 4 2 3" xfId="12386" xr:uid="{82165B67-E7F2-4C0E-BC58-9B64C0319100}"/>
    <cellStyle name="Normal 4 7 2 4 2 4" xfId="20822" xr:uid="{AF1DDB66-980F-40B7-95FE-FED95313A8DF}"/>
    <cellStyle name="Normal 4 7 2 4 3" xfId="6017" xr:uid="{00000000-0005-0000-0000-0000AE160000}"/>
    <cellStyle name="Normal 4 7 2 4 3 2" xfId="14459" xr:uid="{912F8B0A-8373-4D0F-9E62-5439DA052354}"/>
    <cellStyle name="Normal 4 7 2 4 3 3" xfId="22894" xr:uid="{4185E225-3F55-41F9-A8C8-0867F14EE36E}"/>
    <cellStyle name="Normal 4 7 2 4 4" xfId="10241" xr:uid="{E77C984B-C9FE-447C-A1A7-F43F782B2502}"/>
    <cellStyle name="Normal 4 7 2 4 5" xfId="18677" xr:uid="{59D8BF61-D572-4466-8F8F-25494F798370}"/>
    <cellStyle name="Normal 4 7 2 5" xfId="2123" xr:uid="{00000000-0005-0000-0000-0000AF160000}"/>
    <cellStyle name="Normal 4 7 2 5 2" xfId="4352" xr:uid="{00000000-0005-0000-0000-0000B0160000}"/>
    <cellStyle name="Normal 4 7 2 5 2 2" xfId="8575" xr:uid="{00000000-0005-0000-0000-0000B1160000}"/>
    <cellStyle name="Normal 4 7 2 5 2 2 2" xfId="17017" xr:uid="{1B7753AF-7F52-45D0-B9BA-05F335E2A552}"/>
    <cellStyle name="Normal 4 7 2 5 2 2 3" xfId="25452" xr:uid="{06B21F7A-6EE2-4B51-BB01-BCEB63DCB8AB}"/>
    <cellStyle name="Normal 4 7 2 5 2 3" xfId="12799" xr:uid="{CC39426C-774A-4F43-99EC-F6108459C3FC}"/>
    <cellStyle name="Normal 4 7 2 5 2 4" xfId="21235" xr:uid="{17213804-79E4-4DD8-B1FC-EFADAFE8ADF1}"/>
    <cellStyle name="Normal 4 7 2 5 3" xfId="6430" xr:uid="{00000000-0005-0000-0000-0000B2160000}"/>
    <cellStyle name="Normal 4 7 2 5 3 2" xfId="14872" xr:uid="{29103A9E-CEF6-49BB-AE13-238A9B471462}"/>
    <cellStyle name="Normal 4 7 2 5 3 3" xfId="23307" xr:uid="{38114D48-9157-4AD9-A1B4-49AD5C796A1A}"/>
    <cellStyle name="Normal 4 7 2 5 4" xfId="10654" xr:uid="{C53066E5-6CB6-4651-A294-AB143CE280BA}"/>
    <cellStyle name="Normal 4 7 2 5 5" xfId="19090" xr:uid="{3D2EE338-793D-49F7-80AC-F49BAF319CD7}"/>
    <cellStyle name="Normal 4 7 2 6" xfId="2559" xr:uid="{00000000-0005-0000-0000-0000B3160000}"/>
    <cellStyle name="Normal 4 7 2 6 2" xfId="6843" xr:uid="{00000000-0005-0000-0000-0000B4160000}"/>
    <cellStyle name="Normal 4 7 2 6 2 2" xfId="15285" xr:uid="{14F54CA9-E637-415D-A662-468E850159C3}"/>
    <cellStyle name="Normal 4 7 2 6 2 3" xfId="23720" xr:uid="{E42E0407-2A12-454A-A2AB-1C84366DA8C6}"/>
    <cellStyle name="Normal 4 7 2 6 3" xfId="11067" xr:uid="{CF3B58FE-D6E5-4BF2-AC61-BB8B0C1233A9}"/>
    <cellStyle name="Normal 4 7 2 6 4" xfId="19503" xr:uid="{71AA0AC7-380F-4052-9101-AC347E40E6D1}"/>
    <cellStyle name="Normal 4 7 2 7" xfId="4778" xr:uid="{00000000-0005-0000-0000-0000B5160000}"/>
    <cellStyle name="Normal 4 7 2 7 2" xfId="13220" xr:uid="{FD4E7F5B-107D-4F18-B541-4642E13B0D54}"/>
    <cellStyle name="Normal 4 7 2 7 3" xfId="21655" xr:uid="{7A46D41F-9422-4209-AEE7-377D9B800B7D}"/>
    <cellStyle name="Normal 4 7 2 8" xfId="9002" xr:uid="{89E3ADC3-127C-4751-9DFD-8992CCFE6CEA}"/>
    <cellStyle name="Normal 4 7 2 9" xfId="17438" xr:uid="{7D02ED81-017C-4AFE-AD14-2BC21595C6D6}"/>
    <cellStyle name="Normal 4 7 3" xfId="877" xr:uid="{00000000-0005-0000-0000-0000B6160000}"/>
    <cellStyle name="Normal 4 7 3 2" xfId="3112" xr:uid="{00000000-0005-0000-0000-0000B7160000}"/>
    <cellStyle name="Normal 4 7 3 2 2" xfId="7335" xr:uid="{00000000-0005-0000-0000-0000B8160000}"/>
    <cellStyle name="Normal 4 7 3 2 2 2" xfId="15777" xr:uid="{66556AF3-464A-40AC-B981-8E6D5F1EF7D0}"/>
    <cellStyle name="Normal 4 7 3 2 2 3" xfId="24212" xr:uid="{9622F535-7428-4461-B911-0E9C25EAC137}"/>
    <cellStyle name="Normal 4 7 3 2 3" xfId="11559" xr:uid="{8914AF4E-2886-4C73-8987-D6D07D379F7B}"/>
    <cellStyle name="Normal 4 7 3 2 4" xfId="19995" xr:uid="{F6BCE50C-70C9-4498-8679-511BE0BE79E4}"/>
    <cellStyle name="Normal 4 7 3 3" xfId="5190" xr:uid="{00000000-0005-0000-0000-0000B9160000}"/>
    <cellStyle name="Normal 4 7 3 3 2" xfId="13632" xr:uid="{38A5187B-7E52-4275-A011-E0EA3033946E}"/>
    <cellStyle name="Normal 4 7 3 3 3" xfId="22067" xr:uid="{FD1F7508-7C3F-4970-A283-1BB53D3F7B27}"/>
    <cellStyle name="Normal 4 7 3 4" xfId="9414" xr:uid="{2F950DD6-905B-4A43-810A-734EE09C64A0}"/>
    <cellStyle name="Normal 4 7 3 5" xfId="17850" xr:uid="{1618C920-99B7-40C3-93F8-E8D27C9AE172}"/>
    <cellStyle name="Normal 4 7 4" xfId="1295" xr:uid="{00000000-0005-0000-0000-0000BA160000}"/>
    <cellStyle name="Normal 4 7 4 2" xfId="3525" xr:uid="{00000000-0005-0000-0000-0000BB160000}"/>
    <cellStyle name="Normal 4 7 4 2 2" xfId="7748" xr:uid="{00000000-0005-0000-0000-0000BC160000}"/>
    <cellStyle name="Normal 4 7 4 2 2 2" xfId="16190" xr:uid="{044C1835-16DB-4E49-9D08-3C6E22D90810}"/>
    <cellStyle name="Normal 4 7 4 2 2 3" xfId="24625" xr:uid="{B687F711-D74B-4916-9643-6956A9517612}"/>
    <cellStyle name="Normal 4 7 4 2 3" xfId="11972" xr:uid="{8C69CE09-4C05-49AB-81E4-5404BF7C80B7}"/>
    <cellStyle name="Normal 4 7 4 2 4" xfId="20408" xr:uid="{EC6A1E28-54B6-4293-95D0-7783729F2C88}"/>
    <cellStyle name="Normal 4 7 4 3" xfId="5603" xr:uid="{00000000-0005-0000-0000-0000BD160000}"/>
    <cellStyle name="Normal 4 7 4 3 2" xfId="14045" xr:uid="{CD07A08E-C344-470D-882C-D0EBD06C8761}"/>
    <cellStyle name="Normal 4 7 4 3 3" xfId="22480" xr:uid="{7E34FC7F-1651-4CA3-8C60-7F213E693039}"/>
    <cellStyle name="Normal 4 7 4 4" xfId="9827" xr:uid="{1E7E8303-C6FE-43A8-90C0-BB2E36317BDF}"/>
    <cellStyle name="Normal 4 7 4 5" xfId="18263" xr:uid="{F5F016F6-B083-4C88-ACFE-8AE0E3AB2E9F}"/>
    <cellStyle name="Normal 4 7 5" xfId="1708" xr:uid="{00000000-0005-0000-0000-0000BE160000}"/>
    <cellStyle name="Normal 4 7 5 2" xfId="3938" xr:uid="{00000000-0005-0000-0000-0000BF160000}"/>
    <cellStyle name="Normal 4 7 5 2 2" xfId="8161" xr:uid="{00000000-0005-0000-0000-0000C0160000}"/>
    <cellStyle name="Normal 4 7 5 2 2 2" xfId="16603" xr:uid="{A816AAEB-92E1-44F7-BC10-ACD9832C48C5}"/>
    <cellStyle name="Normal 4 7 5 2 2 3" xfId="25038" xr:uid="{06919201-E38A-4F6B-8808-9B7EF7FF4788}"/>
    <cellStyle name="Normal 4 7 5 2 3" xfId="12385" xr:uid="{575F905D-839A-44D3-B8F0-F9F7D5AC8DBE}"/>
    <cellStyle name="Normal 4 7 5 2 4" xfId="20821" xr:uid="{DFE026AB-DED2-4CF5-8B24-DD8E580153FF}"/>
    <cellStyle name="Normal 4 7 5 3" xfId="6016" xr:uid="{00000000-0005-0000-0000-0000C1160000}"/>
    <cellStyle name="Normal 4 7 5 3 2" xfId="14458" xr:uid="{EA8D0DA6-3D81-4A55-B6CE-AEC9CB51BA41}"/>
    <cellStyle name="Normal 4 7 5 3 3" xfId="22893" xr:uid="{8384915A-C85A-4081-AA07-F7403AD0B7FE}"/>
    <cellStyle name="Normal 4 7 5 4" xfId="10240" xr:uid="{E97ED550-29F6-43C0-8209-9B6B4BCFA3F0}"/>
    <cellStyle name="Normal 4 7 5 5" xfId="18676" xr:uid="{065D1A7B-4A3B-4047-97D6-17DEDA83E22E}"/>
    <cellStyle name="Normal 4 7 6" xfId="2122" xr:uid="{00000000-0005-0000-0000-0000C2160000}"/>
    <cellStyle name="Normal 4 7 6 2" xfId="4351" xr:uid="{00000000-0005-0000-0000-0000C3160000}"/>
    <cellStyle name="Normal 4 7 6 2 2" xfId="8574" xr:uid="{00000000-0005-0000-0000-0000C4160000}"/>
    <cellStyle name="Normal 4 7 6 2 2 2" xfId="17016" xr:uid="{0CEEA663-FB55-4AB3-A077-60E2420C4B54}"/>
    <cellStyle name="Normal 4 7 6 2 2 3" xfId="25451" xr:uid="{14C6F49E-6A12-414B-98C3-52E0AD20F3A0}"/>
    <cellStyle name="Normal 4 7 6 2 3" xfId="12798" xr:uid="{BCD38399-7CDB-4215-876B-038A10A57CF8}"/>
    <cellStyle name="Normal 4 7 6 2 4" xfId="21234" xr:uid="{63FF9B5F-E842-46E1-B140-5147B2919466}"/>
    <cellStyle name="Normal 4 7 6 3" xfId="6429" xr:uid="{00000000-0005-0000-0000-0000C5160000}"/>
    <cellStyle name="Normal 4 7 6 3 2" xfId="14871" xr:uid="{B265B23A-EE9D-407D-AD07-366907AE935C}"/>
    <cellStyle name="Normal 4 7 6 3 3" xfId="23306" xr:uid="{ECF65887-FFD7-45B9-91DA-91099389E500}"/>
    <cellStyle name="Normal 4 7 6 4" xfId="10653" xr:uid="{0BE3BD44-749B-4601-9B97-DD81085A74A0}"/>
    <cellStyle name="Normal 4 7 6 5" xfId="19089" xr:uid="{B095756B-3E3E-4D3F-9745-0D95EFD2EA15}"/>
    <cellStyle name="Normal 4 7 7" xfId="2558" xr:uid="{00000000-0005-0000-0000-0000C6160000}"/>
    <cellStyle name="Normal 4 7 7 2" xfId="6842" xr:uid="{00000000-0005-0000-0000-0000C7160000}"/>
    <cellStyle name="Normal 4 7 7 2 2" xfId="15284" xr:uid="{1E2101D8-7766-4355-AD2F-09A58CBE955D}"/>
    <cellStyle name="Normal 4 7 7 2 3" xfId="23719" xr:uid="{596FCC1A-272D-4D8B-BEBA-B974E4EDC6BD}"/>
    <cellStyle name="Normal 4 7 7 3" xfId="11066" xr:uid="{3538BD7F-B4DE-4508-BB00-A718C1B84641}"/>
    <cellStyle name="Normal 4 7 7 4" xfId="19502" xr:uid="{BD9B987E-0CAB-4AA6-BC60-8D663EDFF9AF}"/>
    <cellStyle name="Normal 4 7 8" xfId="4777" xr:uid="{00000000-0005-0000-0000-0000C8160000}"/>
    <cellStyle name="Normal 4 7 8 2" xfId="13219" xr:uid="{A114535A-5B66-4219-B33B-CB617F936593}"/>
    <cellStyle name="Normal 4 7 8 3" xfId="21654" xr:uid="{9C69D12C-5ECA-487B-B48A-FF573B6AE0F8}"/>
    <cellStyle name="Normal 4 7 9" xfId="9001" xr:uid="{D7A14DDF-2A18-4B02-B295-83302151BA15}"/>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2 2 2" xfId="15779" xr:uid="{90F6469D-54A2-40E1-AF1B-BD64CD6BA614}"/>
    <cellStyle name="Normal 4 8 2 2 2 3" xfId="24214" xr:uid="{278B025D-23F4-4F39-AC9B-79AD7032F0A5}"/>
    <cellStyle name="Normal 4 8 2 2 3" xfId="11561" xr:uid="{02CDB050-9057-4346-9F9C-2BB526B002C4}"/>
    <cellStyle name="Normal 4 8 2 2 4" xfId="19997" xr:uid="{84A94568-F4BF-4598-9215-2846A18666DE}"/>
    <cellStyle name="Normal 4 8 2 3" xfId="5192" xr:uid="{00000000-0005-0000-0000-0000CD160000}"/>
    <cellStyle name="Normal 4 8 2 3 2" xfId="13634" xr:uid="{051F72AB-66CA-4F9C-A53C-B8C4A17BE793}"/>
    <cellStyle name="Normal 4 8 2 3 3" xfId="22069" xr:uid="{C0C83B19-51F9-4490-9B0F-B2FE6BF6B006}"/>
    <cellStyle name="Normal 4 8 2 4" xfId="9416" xr:uid="{6BE7D931-FE7F-4A4A-8302-5CF6B97D18CC}"/>
    <cellStyle name="Normal 4 8 2 5" xfId="17852" xr:uid="{8DECC3FD-EBCB-427F-8223-D2B35EAEC322}"/>
    <cellStyle name="Normal 4 8 3" xfId="1297" xr:uid="{00000000-0005-0000-0000-0000CE160000}"/>
    <cellStyle name="Normal 4 8 3 2" xfId="3527" xr:uid="{00000000-0005-0000-0000-0000CF160000}"/>
    <cellStyle name="Normal 4 8 3 2 2" xfId="7750" xr:uid="{00000000-0005-0000-0000-0000D0160000}"/>
    <cellStyle name="Normal 4 8 3 2 2 2" xfId="16192" xr:uid="{431F1E5E-FF18-4EBB-991C-F22CBEB1F4B1}"/>
    <cellStyle name="Normal 4 8 3 2 2 3" xfId="24627" xr:uid="{EB3DF87D-95E6-49BF-A063-3B729FED6E4D}"/>
    <cellStyle name="Normal 4 8 3 2 3" xfId="11974" xr:uid="{DB4E1DE6-0AF2-44F6-BAC3-A72F6987E274}"/>
    <cellStyle name="Normal 4 8 3 2 4" xfId="20410" xr:uid="{E3370D77-4E4D-4DA2-B73A-E5E01325D0E9}"/>
    <cellStyle name="Normal 4 8 3 3" xfId="5605" xr:uid="{00000000-0005-0000-0000-0000D1160000}"/>
    <cellStyle name="Normal 4 8 3 3 2" xfId="14047" xr:uid="{96DBFE7E-92B2-43B1-B041-603978CFE9E4}"/>
    <cellStyle name="Normal 4 8 3 3 3" xfId="22482" xr:uid="{52307AA0-4C19-4EE2-B7C5-69788AA3CCDF}"/>
    <cellStyle name="Normal 4 8 3 4" xfId="9829" xr:uid="{F45D5880-1ED0-4CF0-8B31-DA80A0D98140}"/>
    <cellStyle name="Normal 4 8 3 5" xfId="18265" xr:uid="{A8FC4D51-7ADD-438C-A1B9-730F634966D1}"/>
    <cellStyle name="Normal 4 8 4" xfId="1710" xr:uid="{00000000-0005-0000-0000-0000D2160000}"/>
    <cellStyle name="Normal 4 8 4 2" xfId="3940" xr:uid="{00000000-0005-0000-0000-0000D3160000}"/>
    <cellStyle name="Normal 4 8 4 2 2" xfId="8163" xr:uid="{00000000-0005-0000-0000-0000D4160000}"/>
    <cellStyle name="Normal 4 8 4 2 2 2" xfId="16605" xr:uid="{BB690CD7-8A4E-4C7E-8BC2-026452A0ABCF}"/>
    <cellStyle name="Normal 4 8 4 2 2 3" xfId="25040" xr:uid="{2D3A5E58-4631-45BB-A403-5303F87BD3BC}"/>
    <cellStyle name="Normal 4 8 4 2 3" xfId="12387" xr:uid="{092787FB-CA74-4F4C-A085-19C2B9A34477}"/>
    <cellStyle name="Normal 4 8 4 2 4" xfId="20823" xr:uid="{173303C6-BA47-4103-A4B1-FC4F8611284C}"/>
    <cellStyle name="Normal 4 8 4 3" xfId="6018" xr:uid="{00000000-0005-0000-0000-0000D5160000}"/>
    <cellStyle name="Normal 4 8 4 3 2" xfId="14460" xr:uid="{0EDB25A6-E6E7-441F-A98E-B24DBF83C4C4}"/>
    <cellStyle name="Normal 4 8 4 3 3" xfId="22895" xr:uid="{57AF7071-49F9-44F9-BCF2-BC2AACB82D0A}"/>
    <cellStyle name="Normal 4 8 4 4" xfId="10242" xr:uid="{99CB88EA-14FE-4156-9EA6-73A9BFD737B8}"/>
    <cellStyle name="Normal 4 8 4 5" xfId="18678" xr:uid="{EF98A4C1-59CC-4BAE-AF7F-9CD7249F9678}"/>
    <cellStyle name="Normal 4 8 5" xfId="2124" xr:uid="{00000000-0005-0000-0000-0000D6160000}"/>
    <cellStyle name="Normal 4 8 5 2" xfId="4353" xr:uid="{00000000-0005-0000-0000-0000D7160000}"/>
    <cellStyle name="Normal 4 8 5 2 2" xfId="8576" xr:uid="{00000000-0005-0000-0000-0000D8160000}"/>
    <cellStyle name="Normal 4 8 5 2 2 2" xfId="17018" xr:uid="{0F6DB61C-A641-4F6E-B819-67B3E6D6D611}"/>
    <cellStyle name="Normal 4 8 5 2 2 3" xfId="25453" xr:uid="{3C8B5C45-5D6F-469B-9F20-5C1286B37BCB}"/>
    <cellStyle name="Normal 4 8 5 2 3" xfId="12800" xr:uid="{56FD73D5-3CC9-4213-A0EF-193A65B2E1B0}"/>
    <cellStyle name="Normal 4 8 5 2 4" xfId="21236" xr:uid="{9FCB5DA8-0BCC-4BF6-964A-EF155898950D}"/>
    <cellStyle name="Normal 4 8 5 3" xfId="6431" xr:uid="{00000000-0005-0000-0000-0000D9160000}"/>
    <cellStyle name="Normal 4 8 5 3 2" xfId="14873" xr:uid="{820547A4-B34F-4844-AEB8-B789D0A264BD}"/>
    <cellStyle name="Normal 4 8 5 3 3" xfId="23308" xr:uid="{5B59C73C-6F22-42EF-86B6-D12EB8A98578}"/>
    <cellStyle name="Normal 4 8 5 4" xfId="10655" xr:uid="{10CDFC81-F89C-467D-BE88-D7627A2117AB}"/>
    <cellStyle name="Normal 4 8 5 5" xfId="19091" xr:uid="{A2BEE333-BAE6-446E-9BE2-DEB241B51BD4}"/>
    <cellStyle name="Normal 4 8 6" xfId="2560" xr:uid="{00000000-0005-0000-0000-0000DA160000}"/>
    <cellStyle name="Normal 4 8 6 2" xfId="6844" xr:uid="{00000000-0005-0000-0000-0000DB160000}"/>
    <cellStyle name="Normal 4 8 6 2 2" xfId="15286" xr:uid="{3D174EAB-DA90-4B9D-84B8-7EADE4F1BE8A}"/>
    <cellStyle name="Normal 4 8 6 2 3" xfId="23721" xr:uid="{92A6D5F7-A614-4DD1-9792-666580055C7E}"/>
    <cellStyle name="Normal 4 8 6 3" xfId="11068" xr:uid="{5D3D39B8-C136-49FC-97A4-644C914C2D74}"/>
    <cellStyle name="Normal 4 8 6 4" xfId="19504" xr:uid="{8D5887F6-FC6B-47A3-B70D-59C06ACFB344}"/>
    <cellStyle name="Normal 4 8 7" xfId="4779" xr:uid="{00000000-0005-0000-0000-0000DC160000}"/>
    <cellStyle name="Normal 4 8 7 2" xfId="13221" xr:uid="{620DC8B6-31E1-4958-9B0A-C1E227C91A5E}"/>
    <cellStyle name="Normal 4 8 7 3" xfId="21656" xr:uid="{D1C8DE89-EA87-485D-93E9-683D5DE41FE0}"/>
    <cellStyle name="Normal 4 8 8" xfId="9003" xr:uid="{648F69B1-3528-457B-B525-BE66E512CB15}"/>
    <cellStyle name="Normal 4 8 9" xfId="17439" xr:uid="{7022FA53-898A-413F-97AA-EEC17CA80DFB}"/>
    <cellStyle name="Normal 4 9" xfId="4716" xr:uid="{00000000-0005-0000-0000-0000DD160000}"/>
    <cellStyle name="Normal 4 9 2" xfId="13158" xr:uid="{C104AC43-E20C-49E6-95CD-69A7E539784F}"/>
    <cellStyle name="Normal 4 9 3" xfId="21593" xr:uid="{28FBA640-93DE-4F43-91EE-D0EC6AE27F38}"/>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2 2 2" xfId="16606" xr:uid="{C507E453-1747-4624-8512-65014C9BCB3F}"/>
    <cellStyle name="Normal 5 10 2 2 3" xfId="25041" xr:uid="{2DF3DD7F-8898-498B-86C9-C016798E3B5E}"/>
    <cellStyle name="Normal 5 10 2 3" xfId="12388" xr:uid="{7C20C2A6-D38F-4741-9D3A-822A19CB1E6F}"/>
    <cellStyle name="Normal 5 10 2 4" xfId="20824" xr:uid="{6908281B-E073-4D83-9E70-E18D60F453B5}"/>
    <cellStyle name="Normal 5 10 3" xfId="6019" xr:uid="{00000000-0005-0000-0000-0000E2160000}"/>
    <cellStyle name="Normal 5 10 3 2" xfId="14461" xr:uid="{F04C1A30-62C0-4A5E-BD5B-B1E9C316C181}"/>
    <cellStyle name="Normal 5 10 3 3" xfId="22896" xr:uid="{04EBA8F1-3B39-4442-BA7C-AA68D009B193}"/>
    <cellStyle name="Normal 5 10 4" xfId="10243" xr:uid="{9BCDEED5-9344-4426-A555-F9E68313AF17}"/>
    <cellStyle name="Normal 5 10 5" xfId="18679" xr:uid="{875E4C48-A8FC-4DAA-9286-5749DC40BD04}"/>
    <cellStyle name="Normal 5 11" xfId="2125" xr:uid="{00000000-0005-0000-0000-0000E3160000}"/>
    <cellStyle name="Normal 5 11 2" xfId="4354" xr:uid="{00000000-0005-0000-0000-0000E4160000}"/>
    <cellStyle name="Normal 5 11 2 2" xfId="8577" xr:uid="{00000000-0005-0000-0000-0000E5160000}"/>
    <cellStyle name="Normal 5 11 2 2 2" xfId="17019" xr:uid="{AC91553B-39FD-4363-85EA-2D3FBB3DF18D}"/>
    <cellStyle name="Normal 5 11 2 2 3" xfId="25454" xr:uid="{197C7549-1B02-4693-AF08-CED41954AB90}"/>
    <cellStyle name="Normal 5 11 2 3" xfId="12801" xr:uid="{EC3918F7-CABF-4FF1-B113-F9CF3944FD35}"/>
    <cellStyle name="Normal 5 11 2 4" xfId="21237" xr:uid="{0EB7A5F1-A2CD-419B-8FF5-B62C86A1245F}"/>
    <cellStyle name="Normal 5 11 3" xfId="6432" xr:uid="{00000000-0005-0000-0000-0000E6160000}"/>
    <cellStyle name="Normal 5 11 3 2" xfId="14874" xr:uid="{35D08F5A-7D25-4F3A-96F3-2B957607FE96}"/>
    <cellStyle name="Normal 5 11 3 3" xfId="23309" xr:uid="{AF3C01FB-8959-4E06-AE94-51EBE371C162}"/>
    <cellStyle name="Normal 5 11 4" xfId="10656" xr:uid="{06D1DC96-94A1-499B-897A-9F09C84CD48E}"/>
    <cellStyle name="Normal 5 11 5" xfId="19092" xr:uid="{0519948B-EAFD-444A-B915-628BBFEA1DB4}"/>
    <cellStyle name="Normal 5 12" xfId="2561" xr:uid="{00000000-0005-0000-0000-0000E7160000}"/>
    <cellStyle name="Normal 5 12 2" xfId="6845" xr:uid="{00000000-0005-0000-0000-0000E8160000}"/>
    <cellStyle name="Normal 5 12 2 2" xfId="15287" xr:uid="{EA72310B-B677-4269-89D1-76650F97DDE0}"/>
    <cellStyle name="Normal 5 12 2 3" xfId="23722" xr:uid="{9D1AFF28-F364-4B5A-8625-9849130C9F31}"/>
    <cellStyle name="Normal 5 12 3" xfId="11069" xr:uid="{568A75D6-AFD4-4A38-A25F-632E36AFDC97}"/>
    <cellStyle name="Normal 5 12 4" xfId="19505" xr:uid="{DE3A1E5E-791C-4118-9E18-0D8DC98AF083}"/>
    <cellStyle name="Normal 5 13" xfId="4780" xr:uid="{00000000-0005-0000-0000-0000E9160000}"/>
    <cellStyle name="Normal 5 13 2" xfId="13222" xr:uid="{7D9023E0-7B74-4557-9F25-7C92804803D0}"/>
    <cellStyle name="Normal 5 13 3" xfId="21657" xr:uid="{0DF99C0D-6BEA-41BE-B078-783E82472A43}"/>
    <cellStyle name="Normal 5 14" xfId="9004" xr:uid="{C0D4AFD8-6B44-4457-B5FA-E2A116C814E4}"/>
    <cellStyle name="Normal 5 15" xfId="17440" xr:uid="{D89ADBD9-F417-446F-B1A3-9FDE68B1CB39}"/>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2 2 2" xfId="17020" xr:uid="{1C4EC2B6-B5D7-4A6B-B7D5-5DAA8E250873}"/>
    <cellStyle name="Normal 5 2 10 2 2 3" xfId="25455" xr:uid="{82D10853-5FF2-4655-AAC7-59C89A8BBD04}"/>
    <cellStyle name="Normal 5 2 10 2 3" xfId="12802" xr:uid="{ECEFF1CF-CD73-44E2-924D-6C80CA8D055E}"/>
    <cellStyle name="Normal 5 2 10 2 4" xfId="21238" xr:uid="{9F3E6445-FA31-45A9-8BBA-D9AD61FD9DB4}"/>
    <cellStyle name="Normal 5 2 10 3" xfId="6433" xr:uid="{00000000-0005-0000-0000-0000EE160000}"/>
    <cellStyle name="Normal 5 2 10 3 2" xfId="14875" xr:uid="{1BBB6645-BF29-429F-8B07-1E3D4540E9F6}"/>
    <cellStyle name="Normal 5 2 10 3 3" xfId="23310" xr:uid="{C73CFDD3-EAEA-4FF6-B22D-7D7C55EC12FC}"/>
    <cellStyle name="Normal 5 2 10 4" xfId="10657" xr:uid="{22806542-ACE1-436A-B9F0-701660ACB41C}"/>
    <cellStyle name="Normal 5 2 10 5" xfId="19093" xr:uid="{F3850391-35BA-4829-BC06-B0E186529C60}"/>
    <cellStyle name="Normal 5 2 11" xfId="2562" xr:uid="{00000000-0005-0000-0000-0000EF160000}"/>
    <cellStyle name="Normal 5 2 11 2" xfId="6846" xr:uid="{00000000-0005-0000-0000-0000F0160000}"/>
    <cellStyle name="Normal 5 2 11 2 2" xfId="15288" xr:uid="{5DAC6BF9-9E48-478B-B348-C016A3F12ADD}"/>
    <cellStyle name="Normal 5 2 11 2 3" xfId="23723" xr:uid="{DAC9B2B3-A927-44CA-84D7-CF55CE8D9210}"/>
    <cellStyle name="Normal 5 2 11 3" xfId="11070" xr:uid="{6C4BBCB9-6417-4087-8DE7-B1F61A8D3FA2}"/>
    <cellStyle name="Normal 5 2 11 4" xfId="19506" xr:uid="{62C11600-50A7-4F9B-BDE2-BEDB61DC208C}"/>
    <cellStyle name="Normal 5 2 12" xfId="4781" xr:uid="{00000000-0005-0000-0000-0000F1160000}"/>
    <cellStyle name="Normal 5 2 12 2" xfId="13223" xr:uid="{C88E1796-B4E6-4AF1-AC3E-61B1D68A00B0}"/>
    <cellStyle name="Normal 5 2 12 3" xfId="21658" xr:uid="{D7B4AEFC-CF61-4064-9E2E-D962319025EA}"/>
    <cellStyle name="Normal 5 2 13" xfId="9005" xr:uid="{D5C1D20F-C823-4190-9159-33D01BF42DB0}"/>
    <cellStyle name="Normal 5 2 14" xfId="17441" xr:uid="{8DCFD02C-FB32-491A-87EE-1A2D48C55A7C}"/>
    <cellStyle name="Normal 5 2 2" xfId="408" xr:uid="{00000000-0005-0000-0000-0000F2160000}"/>
    <cellStyle name="Normal 5 2 2 10" xfId="2563" xr:uid="{00000000-0005-0000-0000-0000F3160000}"/>
    <cellStyle name="Normal 5 2 2 10 2" xfId="6847" xr:uid="{00000000-0005-0000-0000-0000F4160000}"/>
    <cellStyle name="Normal 5 2 2 10 2 2" xfId="15289" xr:uid="{B4AB3B76-0ABF-4770-962A-8A000BF08D60}"/>
    <cellStyle name="Normal 5 2 2 10 2 3" xfId="23724" xr:uid="{2262699E-5C9C-4038-B0E5-73CDE8D52CC1}"/>
    <cellStyle name="Normal 5 2 2 10 3" xfId="11071" xr:uid="{AE559DF7-0B56-4219-9E4F-46F1B5658CD4}"/>
    <cellStyle name="Normal 5 2 2 10 4" xfId="19507" xr:uid="{B904565D-3E8D-4CB9-8E32-0245993E5151}"/>
    <cellStyle name="Normal 5 2 2 11" xfId="4782" xr:uid="{00000000-0005-0000-0000-0000F5160000}"/>
    <cellStyle name="Normal 5 2 2 11 2" xfId="13224" xr:uid="{E6B4B505-DD0C-40A5-BC82-2E82D9690E95}"/>
    <cellStyle name="Normal 5 2 2 11 3" xfId="21659" xr:uid="{D0249D12-88B7-4113-9323-68F1A1509525}"/>
    <cellStyle name="Normal 5 2 2 12" xfId="9006" xr:uid="{81195A60-18AB-478B-B7AF-E778092D88C8}"/>
    <cellStyle name="Normal 5 2 2 13" xfId="17442" xr:uid="{2C2C07FD-A840-461A-A69C-9E52BC683003}"/>
    <cellStyle name="Normal 5 2 2 2" xfId="409" xr:uid="{00000000-0005-0000-0000-0000F6160000}"/>
    <cellStyle name="Normal 5 2 2 2 10" xfId="4783" xr:uid="{00000000-0005-0000-0000-0000F7160000}"/>
    <cellStyle name="Normal 5 2 2 2 10 2" xfId="13225" xr:uid="{D1672F58-288C-49D4-AB23-4258E4462485}"/>
    <cellStyle name="Normal 5 2 2 2 10 3" xfId="21660" xr:uid="{A7123BC6-A6AE-40D1-8736-5473F9E67048}"/>
    <cellStyle name="Normal 5 2 2 2 11" xfId="9007" xr:uid="{1E3DD78E-389E-4C4D-88E4-B305EE001A7D}"/>
    <cellStyle name="Normal 5 2 2 2 12" xfId="17443" xr:uid="{2B40D5FD-DED6-4DCF-A5D5-197F0FCE261F}"/>
    <cellStyle name="Normal 5 2 2 2 2" xfId="410" xr:uid="{00000000-0005-0000-0000-0000F8160000}"/>
    <cellStyle name="Normal 5 2 2 2 2 10" xfId="9008" xr:uid="{F5C07091-8C27-4D91-B837-6BCF86D20AEB}"/>
    <cellStyle name="Normal 5 2 2 2 2 11" xfId="17444" xr:uid="{ED611783-D1B7-4B50-B591-2763A053EB66}"/>
    <cellStyle name="Normal 5 2 2 2 2 2" xfId="411" xr:uid="{00000000-0005-0000-0000-0000F9160000}"/>
    <cellStyle name="Normal 5 2 2 2 2 2 10" xfId="17445" xr:uid="{BEA0FA4F-1340-4297-A1D2-004404AA60E5}"/>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2 2 2" xfId="15786" xr:uid="{75E30FA4-549D-46DA-AF31-BEF40C50DAC7}"/>
    <cellStyle name="Normal 5 2 2 2 2 2 2 2 2 2 3" xfId="24221" xr:uid="{4EAE267F-7624-45B7-B26B-8804A72A39E1}"/>
    <cellStyle name="Normal 5 2 2 2 2 2 2 2 2 3" xfId="11568" xr:uid="{FCD6970F-334A-4A73-90A1-FE98464F3BF2}"/>
    <cellStyle name="Normal 5 2 2 2 2 2 2 2 2 4" xfId="20004" xr:uid="{9DBA7D4B-1DDA-4C48-91C7-21595190E561}"/>
    <cellStyle name="Normal 5 2 2 2 2 2 2 2 3" xfId="5199" xr:uid="{00000000-0005-0000-0000-0000FE160000}"/>
    <cellStyle name="Normal 5 2 2 2 2 2 2 2 3 2" xfId="13641" xr:uid="{DCF0690C-B899-43BC-B8A2-0CEA58A066A9}"/>
    <cellStyle name="Normal 5 2 2 2 2 2 2 2 3 3" xfId="22076" xr:uid="{6EBB283E-16F8-4378-AA69-E2327DCE9349}"/>
    <cellStyle name="Normal 5 2 2 2 2 2 2 2 4" xfId="9423" xr:uid="{0457F371-96CE-499E-8425-6AB319F2A728}"/>
    <cellStyle name="Normal 5 2 2 2 2 2 2 2 5" xfId="17859" xr:uid="{85DD65BC-EEC5-4C00-9E2E-2142EECAEA16}"/>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2 2 2" xfId="16199" xr:uid="{BE20C04A-8997-4C39-AD48-A2F2A8CAAED2}"/>
    <cellStyle name="Normal 5 2 2 2 2 2 2 3 2 2 3" xfId="24634" xr:uid="{16918799-C43A-40BE-BD5B-F50D62446D3D}"/>
    <cellStyle name="Normal 5 2 2 2 2 2 2 3 2 3" xfId="11981" xr:uid="{11CCA20B-BD5F-429B-9624-627E167FB086}"/>
    <cellStyle name="Normal 5 2 2 2 2 2 2 3 2 4" xfId="20417" xr:uid="{784489B8-81DB-4AC7-901C-2FDA5387939C}"/>
    <cellStyle name="Normal 5 2 2 2 2 2 2 3 3" xfId="5612" xr:uid="{00000000-0005-0000-0000-000002170000}"/>
    <cellStyle name="Normal 5 2 2 2 2 2 2 3 3 2" xfId="14054" xr:uid="{360891B0-A1B7-4289-A900-0CFA131E275C}"/>
    <cellStyle name="Normal 5 2 2 2 2 2 2 3 3 3" xfId="22489" xr:uid="{9E0C6AD2-5263-40E7-A1B0-D69EE15C531E}"/>
    <cellStyle name="Normal 5 2 2 2 2 2 2 3 4" xfId="9836" xr:uid="{3BE8C268-18E9-4A64-93AC-93521A7ED2BD}"/>
    <cellStyle name="Normal 5 2 2 2 2 2 2 3 5" xfId="18272" xr:uid="{02614636-647D-403D-A652-0257FA400614}"/>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2 2 2" xfId="16612" xr:uid="{89462C9B-7119-44EE-97C5-37978BD50C2F}"/>
    <cellStyle name="Normal 5 2 2 2 2 2 2 4 2 2 3" xfId="25047" xr:uid="{254CE567-4E31-4390-99D4-863770372B0E}"/>
    <cellStyle name="Normal 5 2 2 2 2 2 2 4 2 3" xfId="12394" xr:uid="{BE967DC3-949E-43EC-8275-1FA4A44E83E1}"/>
    <cellStyle name="Normal 5 2 2 2 2 2 2 4 2 4" xfId="20830" xr:uid="{D3594EC1-87A7-4A69-BE90-1E07E919090B}"/>
    <cellStyle name="Normal 5 2 2 2 2 2 2 4 3" xfId="6025" xr:uid="{00000000-0005-0000-0000-000006170000}"/>
    <cellStyle name="Normal 5 2 2 2 2 2 2 4 3 2" xfId="14467" xr:uid="{06A768E1-D687-422C-A2BE-C437AE0B6E60}"/>
    <cellStyle name="Normal 5 2 2 2 2 2 2 4 3 3" xfId="22902" xr:uid="{AB1335F7-B4AF-4C94-95CF-45B90DE03727}"/>
    <cellStyle name="Normal 5 2 2 2 2 2 2 4 4" xfId="10249" xr:uid="{FACE66DF-35AE-447B-A05D-E22C864DAA01}"/>
    <cellStyle name="Normal 5 2 2 2 2 2 2 4 5" xfId="18685" xr:uid="{3C4B67FB-259E-4432-BAF8-075486E04C1A}"/>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2 2 2" xfId="17025" xr:uid="{8A73EBA0-E87E-462B-85D3-2CFC86F48E15}"/>
    <cellStyle name="Normal 5 2 2 2 2 2 2 5 2 2 3" xfId="25460" xr:uid="{35B28E5B-E05F-4193-ACBE-BB67D2886781}"/>
    <cellStyle name="Normal 5 2 2 2 2 2 2 5 2 3" xfId="12807" xr:uid="{FC5BC7D9-D855-4E23-8F70-5BEF403B7EB9}"/>
    <cellStyle name="Normal 5 2 2 2 2 2 2 5 2 4" xfId="21243" xr:uid="{6C5BAD68-ACEC-4DBD-B6F2-5E6B2C4AB0D6}"/>
    <cellStyle name="Normal 5 2 2 2 2 2 2 5 3" xfId="6438" xr:uid="{00000000-0005-0000-0000-00000A170000}"/>
    <cellStyle name="Normal 5 2 2 2 2 2 2 5 3 2" xfId="14880" xr:uid="{B634C319-E000-4AF4-AD34-63103312237D}"/>
    <cellStyle name="Normal 5 2 2 2 2 2 2 5 3 3" xfId="23315" xr:uid="{C95B407C-40DC-49B8-99BC-5C4F1FDDD9D6}"/>
    <cellStyle name="Normal 5 2 2 2 2 2 2 5 4" xfId="10662" xr:uid="{A25D709A-94B7-40AD-94E3-03814FA69C24}"/>
    <cellStyle name="Normal 5 2 2 2 2 2 2 5 5" xfId="19098" xr:uid="{300C17A0-379C-4E72-A638-40921C4F4F38}"/>
    <cellStyle name="Normal 5 2 2 2 2 2 2 6" xfId="2567" xr:uid="{00000000-0005-0000-0000-00000B170000}"/>
    <cellStyle name="Normal 5 2 2 2 2 2 2 6 2" xfId="6851" xr:uid="{00000000-0005-0000-0000-00000C170000}"/>
    <cellStyle name="Normal 5 2 2 2 2 2 2 6 2 2" xfId="15293" xr:uid="{4873CBB7-9FEF-4AE5-9E2C-5A116CC5771E}"/>
    <cellStyle name="Normal 5 2 2 2 2 2 2 6 2 3" xfId="23728" xr:uid="{B647E2D8-20A1-42FD-94CB-CE49249C3BF8}"/>
    <cellStyle name="Normal 5 2 2 2 2 2 2 6 3" xfId="11075" xr:uid="{0680896E-CCFA-41EC-9D23-98834E47AF0C}"/>
    <cellStyle name="Normal 5 2 2 2 2 2 2 6 4" xfId="19511" xr:uid="{6D20081A-678B-4F11-8E1A-9AA70A279273}"/>
    <cellStyle name="Normal 5 2 2 2 2 2 2 7" xfId="4786" xr:uid="{00000000-0005-0000-0000-00000D170000}"/>
    <cellStyle name="Normal 5 2 2 2 2 2 2 7 2" xfId="13228" xr:uid="{16E596ED-1714-49D1-A9A0-9B29C555D59A}"/>
    <cellStyle name="Normal 5 2 2 2 2 2 2 7 3" xfId="21663" xr:uid="{D322893A-1982-4875-907F-DB6FB2921A9E}"/>
    <cellStyle name="Normal 5 2 2 2 2 2 2 8" xfId="9010" xr:uid="{06B257ED-2075-43F4-B654-84D986799474}"/>
    <cellStyle name="Normal 5 2 2 2 2 2 2 9" xfId="17446" xr:uid="{3D077FDE-D9CE-49A3-943D-A061146EE449}"/>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2 2 2" xfId="15785" xr:uid="{457EBD16-309A-417D-BF12-4D001B6BDB23}"/>
    <cellStyle name="Normal 5 2 2 2 2 2 3 2 2 3" xfId="24220" xr:uid="{1164F454-D6C9-426A-BBDB-0E2D76142279}"/>
    <cellStyle name="Normal 5 2 2 2 2 2 3 2 3" xfId="11567" xr:uid="{7669A38A-5646-4375-AFB5-45D29282258A}"/>
    <cellStyle name="Normal 5 2 2 2 2 2 3 2 4" xfId="20003" xr:uid="{4E1B83C9-F212-4BD4-A0F6-151DF4B17DFB}"/>
    <cellStyle name="Normal 5 2 2 2 2 2 3 3" xfId="5198" xr:uid="{00000000-0005-0000-0000-000011170000}"/>
    <cellStyle name="Normal 5 2 2 2 2 2 3 3 2" xfId="13640" xr:uid="{EA037BBE-79AC-4D96-B55A-AC64235142E6}"/>
    <cellStyle name="Normal 5 2 2 2 2 2 3 3 3" xfId="22075" xr:uid="{D77BFD7B-DB81-445B-BF82-2A1F42A44002}"/>
    <cellStyle name="Normal 5 2 2 2 2 2 3 4" xfId="9422" xr:uid="{5F3B5C04-3D68-4780-B06F-72CE89A1B8C6}"/>
    <cellStyle name="Normal 5 2 2 2 2 2 3 5" xfId="17858" xr:uid="{339793B0-5D9C-46B2-8288-9B0A8AECB25F}"/>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2 2 2" xfId="16198" xr:uid="{D943C505-9DA1-4746-AEB2-66180FA622A2}"/>
    <cellStyle name="Normal 5 2 2 2 2 2 4 2 2 3" xfId="24633" xr:uid="{C788102D-B4B1-4140-8902-7E07B112CD48}"/>
    <cellStyle name="Normal 5 2 2 2 2 2 4 2 3" xfId="11980" xr:uid="{5E1DEE6F-F6FC-45E0-9116-4067FC827827}"/>
    <cellStyle name="Normal 5 2 2 2 2 2 4 2 4" xfId="20416" xr:uid="{BD62A367-28C4-41F7-B0FD-BCC19825C838}"/>
    <cellStyle name="Normal 5 2 2 2 2 2 4 3" xfId="5611" xr:uid="{00000000-0005-0000-0000-000015170000}"/>
    <cellStyle name="Normal 5 2 2 2 2 2 4 3 2" xfId="14053" xr:uid="{9389873E-F933-45CF-9118-667B533A1F0A}"/>
    <cellStyle name="Normal 5 2 2 2 2 2 4 3 3" xfId="22488" xr:uid="{373CFCEC-6A4C-4F60-A1A6-3555D59EE58B}"/>
    <cellStyle name="Normal 5 2 2 2 2 2 4 4" xfId="9835" xr:uid="{A65A486D-7F3E-43B8-85D9-37D3CC8FABAE}"/>
    <cellStyle name="Normal 5 2 2 2 2 2 4 5" xfId="18271" xr:uid="{A3BBCA6B-71BE-41CF-A5CE-198E99E2051A}"/>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2 2 2" xfId="16611" xr:uid="{559B81E1-27A4-4F70-AC9C-735E59EE7CB8}"/>
    <cellStyle name="Normal 5 2 2 2 2 2 5 2 2 3" xfId="25046" xr:uid="{62327076-C251-4597-AD62-1FB8FDC85D03}"/>
    <cellStyle name="Normal 5 2 2 2 2 2 5 2 3" xfId="12393" xr:uid="{D0259B5C-96F0-4A6D-9A2E-366E44B661FB}"/>
    <cellStyle name="Normal 5 2 2 2 2 2 5 2 4" xfId="20829" xr:uid="{6449BAB8-326A-4473-BEF7-C09CD0A3718B}"/>
    <cellStyle name="Normal 5 2 2 2 2 2 5 3" xfId="6024" xr:uid="{00000000-0005-0000-0000-000019170000}"/>
    <cellStyle name="Normal 5 2 2 2 2 2 5 3 2" xfId="14466" xr:uid="{175BE79F-E1BE-46D7-8939-2849A15EAD3E}"/>
    <cellStyle name="Normal 5 2 2 2 2 2 5 3 3" xfId="22901" xr:uid="{21659D62-87D7-4FED-903E-53EBCAD884CC}"/>
    <cellStyle name="Normal 5 2 2 2 2 2 5 4" xfId="10248" xr:uid="{8C99F267-AEB7-4FE6-BB38-5BEF17800F80}"/>
    <cellStyle name="Normal 5 2 2 2 2 2 5 5" xfId="18684" xr:uid="{1A97A428-5E59-4FA2-9E84-23848F326289}"/>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2 2 2" xfId="17024" xr:uid="{FCABF468-4FD3-407B-B522-75C10E64E866}"/>
    <cellStyle name="Normal 5 2 2 2 2 2 6 2 2 3" xfId="25459" xr:uid="{113F8AD8-040C-4C8A-8D9B-054E6B162A59}"/>
    <cellStyle name="Normal 5 2 2 2 2 2 6 2 3" xfId="12806" xr:uid="{1EE62C3B-8206-40C6-B082-FEBE2F6ED619}"/>
    <cellStyle name="Normal 5 2 2 2 2 2 6 2 4" xfId="21242" xr:uid="{AD067F99-1AD5-4248-8372-E8FD16B60C80}"/>
    <cellStyle name="Normal 5 2 2 2 2 2 6 3" xfId="6437" xr:uid="{00000000-0005-0000-0000-00001D170000}"/>
    <cellStyle name="Normal 5 2 2 2 2 2 6 3 2" xfId="14879" xr:uid="{0BA32523-E446-4FA1-A98B-28EDD1FB0FA4}"/>
    <cellStyle name="Normal 5 2 2 2 2 2 6 3 3" xfId="23314" xr:uid="{E9CA6EBA-2C66-4AC2-8302-D7F438A2CB29}"/>
    <cellStyle name="Normal 5 2 2 2 2 2 6 4" xfId="10661" xr:uid="{A2A6BEB2-D7D3-40D1-BB91-878D036957DE}"/>
    <cellStyle name="Normal 5 2 2 2 2 2 6 5" xfId="19097" xr:uid="{E67FDFC8-8E01-475C-853D-01FE056E2D1F}"/>
    <cellStyle name="Normal 5 2 2 2 2 2 7" xfId="2566" xr:uid="{00000000-0005-0000-0000-00001E170000}"/>
    <cellStyle name="Normal 5 2 2 2 2 2 7 2" xfId="6850" xr:uid="{00000000-0005-0000-0000-00001F170000}"/>
    <cellStyle name="Normal 5 2 2 2 2 2 7 2 2" xfId="15292" xr:uid="{132C587D-4DC7-4B34-B2D4-76FC19BC368A}"/>
    <cellStyle name="Normal 5 2 2 2 2 2 7 2 3" xfId="23727" xr:uid="{128596FA-1002-4CFB-B763-1CC8A8AFA57E}"/>
    <cellStyle name="Normal 5 2 2 2 2 2 7 3" xfId="11074" xr:uid="{1BC6EF07-FC0A-4808-8A00-FBE55868D420}"/>
    <cellStyle name="Normal 5 2 2 2 2 2 7 4" xfId="19510" xr:uid="{75CF766B-A51D-452B-A2B1-B027967128CC}"/>
    <cellStyle name="Normal 5 2 2 2 2 2 8" xfId="4785" xr:uid="{00000000-0005-0000-0000-000020170000}"/>
    <cellStyle name="Normal 5 2 2 2 2 2 8 2" xfId="13227" xr:uid="{C075562D-69BB-40EC-9E53-1EBC8B406CFB}"/>
    <cellStyle name="Normal 5 2 2 2 2 2 8 3" xfId="21662" xr:uid="{18B3AC57-5210-4703-99A8-DD3C5203329A}"/>
    <cellStyle name="Normal 5 2 2 2 2 2 9" xfId="9009" xr:uid="{A0AD225E-DC16-433A-B200-730E9C7705B1}"/>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2 2 2" xfId="15787" xr:uid="{AA84D471-A40F-4ECE-A776-D3659022AF9D}"/>
    <cellStyle name="Normal 5 2 2 2 2 3 2 2 2 3" xfId="24222" xr:uid="{A1896C11-2970-4FBB-959C-B8B5B8E51342}"/>
    <cellStyle name="Normal 5 2 2 2 2 3 2 2 3" xfId="11569" xr:uid="{58AFE556-6CA3-4944-9645-6116339B0020}"/>
    <cellStyle name="Normal 5 2 2 2 2 3 2 2 4" xfId="20005" xr:uid="{D503FBE1-32AF-4112-B9F6-FC7434C3C0DA}"/>
    <cellStyle name="Normal 5 2 2 2 2 3 2 3" xfId="5200" xr:uid="{00000000-0005-0000-0000-000025170000}"/>
    <cellStyle name="Normal 5 2 2 2 2 3 2 3 2" xfId="13642" xr:uid="{5756C93A-282D-4024-95D3-EA9234D1A380}"/>
    <cellStyle name="Normal 5 2 2 2 2 3 2 3 3" xfId="22077" xr:uid="{460A209A-D26D-4EE8-AC6D-26D80548E9D3}"/>
    <cellStyle name="Normal 5 2 2 2 2 3 2 4" xfId="9424" xr:uid="{DCD6ACDD-050A-44B8-BAE4-B8B5A6F40AFF}"/>
    <cellStyle name="Normal 5 2 2 2 2 3 2 5" xfId="17860" xr:uid="{6BD65675-7CC4-493A-8703-663D2AE64334}"/>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2 2 2" xfId="16200" xr:uid="{E3ABD978-F8FF-4AC5-AE45-A1EF877F010D}"/>
    <cellStyle name="Normal 5 2 2 2 2 3 3 2 2 3" xfId="24635" xr:uid="{5B16CA0F-970C-4087-B816-2B548B3FA446}"/>
    <cellStyle name="Normal 5 2 2 2 2 3 3 2 3" xfId="11982" xr:uid="{31785FD3-D071-4A15-A77C-A3D7C123675A}"/>
    <cellStyle name="Normal 5 2 2 2 2 3 3 2 4" xfId="20418" xr:uid="{6BB93832-C7C2-4137-BFC7-8B595E9D0980}"/>
    <cellStyle name="Normal 5 2 2 2 2 3 3 3" xfId="5613" xr:uid="{00000000-0005-0000-0000-000029170000}"/>
    <cellStyle name="Normal 5 2 2 2 2 3 3 3 2" xfId="14055" xr:uid="{E1253750-ABD0-4E7F-A7BA-E924678E76E7}"/>
    <cellStyle name="Normal 5 2 2 2 2 3 3 3 3" xfId="22490" xr:uid="{F8C24694-9BBA-48B1-9BD2-D2DA30CC3C0C}"/>
    <cellStyle name="Normal 5 2 2 2 2 3 3 4" xfId="9837" xr:uid="{89D0056A-1AB9-4D33-8ADA-777C1E12D24F}"/>
    <cellStyle name="Normal 5 2 2 2 2 3 3 5" xfId="18273" xr:uid="{39759CA7-CCB9-4F21-930B-9919A5CF51E2}"/>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2 2 2" xfId="16613" xr:uid="{E43D8269-526F-456C-BBE7-D66650C8BA79}"/>
    <cellStyle name="Normal 5 2 2 2 2 3 4 2 2 3" xfId="25048" xr:uid="{3666F8FE-66D4-4C3F-A40A-386B844AA273}"/>
    <cellStyle name="Normal 5 2 2 2 2 3 4 2 3" xfId="12395" xr:uid="{CA5BA62C-6338-40CF-A660-06FD9051492A}"/>
    <cellStyle name="Normal 5 2 2 2 2 3 4 2 4" xfId="20831" xr:uid="{CF193F63-CF95-4BCE-AA79-730E525743F8}"/>
    <cellStyle name="Normal 5 2 2 2 2 3 4 3" xfId="6026" xr:uid="{00000000-0005-0000-0000-00002D170000}"/>
    <cellStyle name="Normal 5 2 2 2 2 3 4 3 2" xfId="14468" xr:uid="{2966D40E-8B30-4015-92D4-EE0DF909CA9E}"/>
    <cellStyle name="Normal 5 2 2 2 2 3 4 3 3" xfId="22903" xr:uid="{E5D8E5AC-CFCB-4327-A9C4-A3D102867A9E}"/>
    <cellStyle name="Normal 5 2 2 2 2 3 4 4" xfId="10250" xr:uid="{51815D4C-CF5B-4818-B5EC-E7DB66139C9E}"/>
    <cellStyle name="Normal 5 2 2 2 2 3 4 5" xfId="18686" xr:uid="{F57FCD80-6094-4718-B34F-2B0EBD1E797C}"/>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2 2 2" xfId="17026" xr:uid="{082867FF-5782-4747-A243-3E46EA0C8658}"/>
    <cellStyle name="Normal 5 2 2 2 2 3 5 2 2 3" xfId="25461" xr:uid="{36C966C6-AF0B-48D7-B554-83CB10F4625C}"/>
    <cellStyle name="Normal 5 2 2 2 2 3 5 2 3" xfId="12808" xr:uid="{C5C6905D-3045-4D53-A5D1-94F633750946}"/>
    <cellStyle name="Normal 5 2 2 2 2 3 5 2 4" xfId="21244" xr:uid="{824849EF-3582-4C66-BD4C-37B666AB2224}"/>
    <cellStyle name="Normal 5 2 2 2 2 3 5 3" xfId="6439" xr:uid="{00000000-0005-0000-0000-000031170000}"/>
    <cellStyle name="Normal 5 2 2 2 2 3 5 3 2" xfId="14881" xr:uid="{6CA8CA94-E3C7-4460-92E6-6B465E5BBE5A}"/>
    <cellStyle name="Normal 5 2 2 2 2 3 5 3 3" xfId="23316" xr:uid="{372605FF-BA2B-4407-80C8-611D3F56E447}"/>
    <cellStyle name="Normal 5 2 2 2 2 3 5 4" xfId="10663" xr:uid="{B5857994-3F1E-48B5-85AF-371B92D72FCD}"/>
    <cellStyle name="Normal 5 2 2 2 2 3 5 5" xfId="19099" xr:uid="{95913214-2C4F-45D2-B793-3582EA36D506}"/>
    <cellStyle name="Normal 5 2 2 2 2 3 6" xfId="2568" xr:uid="{00000000-0005-0000-0000-000032170000}"/>
    <cellStyle name="Normal 5 2 2 2 2 3 6 2" xfId="6852" xr:uid="{00000000-0005-0000-0000-000033170000}"/>
    <cellStyle name="Normal 5 2 2 2 2 3 6 2 2" xfId="15294" xr:uid="{BD822B06-71B8-466F-8D98-5E93B7D7FBF8}"/>
    <cellStyle name="Normal 5 2 2 2 2 3 6 2 3" xfId="23729" xr:uid="{BE64F7EA-4FCB-4A1F-8262-5F3DBCF4809E}"/>
    <cellStyle name="Normal 5 2 2 2 2 3 6 3" xfId="11076" xr:uid="{0EA44ABC-2712-4E1E-8076-E1CF2BC2F1F3}"/>
    <cellStyle name="Normal 5 2 2 2 2 3 6 4" xfId="19512" xr:uid="{506636EC-1252-4DD7-8205-20B7448F5376}"/>
    <cellStyle name="Normal 5 2 2 2 2 3 7" xfId="4787" xr:uid="{00000000-0005-0000-0000-000034170000}"/>
    <cellStyle name="Normal 5 2 2 2 2 3 7 2" xfId="13229" xr:uid="{81E7A9A2-6BC0-4301-8B9D-54E9C54C460B}"/>
    <cellStyle name="Normal 5 2 2 2 2 3 7 3" xfId="21664" xr:uid="{300D8BC6-523B-419D-B6D3-14D6C07688DE}"/>
    <cellStyle name="Normal 5 2 2 2 2 3 8" xfId="9011" xr:uid="{BF8DC551-240E-430E-BC24-374F1C9AAE99}"/>
    <cellStyle name="Normal 5 2 2 2 2 3 9" xfId="17447" xr:uid="{8AA6263A-8034-4210-AD44-9FD6D348C45D}"/>
    <cellStyle name="Normal 5 2 2 2 2 4" xfId="884" xr:uid="{00000000-0005-0000-0000-000035170000}"/>
    <cellStyle name="Normal 5 2 2 2 2 4 2" xfId="3119" xr:uid="{00000000-0005-0000-0000-000036170000}"/>
    <cellStyle name="Normal 5 2 2 2 2 4 2 2" xfId="7342" xr:uid="{00000000-0005-0000-0000-000037170000}"/>
    <cellStyle name="Normal 5 2 2 2 2 4 2 2 2" xfId="15784" xr:uid="{474E857E-161E-4B2F-8257-08EFDD0C01B4}"/>
    <cellStyle name="Normal 5 2 2 2 2 4 2 2 3" xfId="24219" xr:uid="{473D7619-4601-44C6-805B-67CC9672BD7E}"/>
    <cellStyle name="Normal 5 2 2 2 2 4 2 3" xfId="11566" xr:uid="{56888AE8-38EF-462F-9C93-A6E10E0E2A68}"/>
    <cellStyle name="Normal 5 2 2 2 2 4 2 4" xfId="20002" xr:uid="{86805495-562A-4726-96D7-051B384977EC}"/>
    <cellStyle name="Normal 5 2 2 2 2 4 3" xfId="5197" xr:uid="{00000000-0005-0000-0000-000038170000}"/>
    <cellStyle name="Normal 5 2 2 2 2 4 3 2" xfId="13639" xr:uid="{6895CC2A-95C5-4985-BC53-D94B936160D1}"/>
    <cellStyle name="Normal 5 2 2 2 2 4 3 3" xfId="22074" xr:uid="{D38DC44D-6F90-47BB-9610-70BD3F56CB08}"/>
    <cellStyle name="Normal 5 2 2 2 2 4 4" xfId="9421" xr:uid="{B6875282-1030-4617-959B-BB4E89EFCA5F}"/>
    <cellStyle name="Normal 5 2 2 2 2 4 5" xfId="17857" xr:uid="{5B63F4FF-F0DB-40DF-BAF4-D701A1CE5EFF}"/>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2 2 2" xfId="16197" xr:uid="{D51A2873-B28A-4791-985F-C2179A3E0D74}"/>
    <cellStyle name="Normal 5 2 2 2 2 5 2 2 3" xfId="24632" xr:uid="{47C397A9-B0E9-4E18-BC8B-FD1CDF04F3B8}"/>
    <cellStyle name="Normal 5 2 2 2 2 5 2 3" xfId="11979" xr:uid="{D6944DDC-AD5C-47A9-85A7-61AE31C6EFB9}"/>
    <cellStyle name="Normal 5 2 2 2 2 5 2 4" xfId="20415" xr:uid="{A0C25B99-8A33-4A76-800B-22F6FEBB831B}"/>
    <cellStyle name="Normal 5 2 2 2 2 5 3" xfId="5610" xr:uid="{00000000-0005-0000-0000-00003C170000}"/>
    <cellStyle name="Normal 5 2 2 2 2 5 3 2" xfId="14052" xr:uid="{C71633FD-C3E9-4C99-B593-FC228EDD84D8}"/>
    <cellStyle name="Normal 5 2 2 2 2 5 3 3" xfId="22487" xr:uid="{AAB5BF70-BCDB-4B0F-A798-812F59076FC1}"/>
    <cellStyle name="Normal 5 2 2 2 2 5 4" xfId="9834" xr:uid="{BB4A540A-F81F-4059-9B24-816A00BB8EAF}"/>
    <cellStyle name="Normal 5 2 2 2 2 5 5" xfId="18270" xr:uid="{C2C1F359-9BE5-4F55-878B-106B4FD78158}"/>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2 2 2" xfId="16610" xr:uid="{C6FEB81A-1C93-4B13-B2A4-0541B51DCC1D}"/>
    <cellStyle name="Normal 5 2 2 2 2 6 2 2 3" xfId="25045" xr:uid="{8A012A10-53C4-4FE4-94FF-6A464580F11A}"/>
    <cellStyle name="Normal 5 2 2 2 2 6 2 3" xfId="12392" xr:uid="{A4BC174A-4244-4905-B20A-EB6C5B5C752A}"/>
    <cellStyle name="Normal 5 2 2 2 2 6 2 4" xfId="20828" xr:uid="{1126A98D-AC60-413A-9B03-B77FD3FFD025}"/>
    <cellStyle name="Normal 5 2 2 2 2 6 3" xfId="6023" xr:uid="{00000000-0005-0000-0000-000040170000}"/>
    <cellStyle name="Normal 5 2 2 2 2 6 3 2" xfId="14465" xr:uid="{A281C95B-4ABF-47C1-96F7-38DF7987BFD0}"/>
    <cellStyle name="Normal 5 2 2 2 2 6 3 3" xfId="22900" xr:uid="{36487D2C-DD1A-475D-AB31-8FB6B3B6C4D6}"/>
    <cellStyle name="Normal 5 2 2 2 2 6 4" xfId="10247" xr:uid="{F52E5214-213B-42E9-A27E-B24D9917A4A0}"/>
    <cellStyle name="Normal 5 2 2 2 2 6 5" xfId="18683" xr:uid="{5F8AC092-5CBC-4AE3-B6A4-69B9649FD6B1}"/>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2 2 2" xfId="17023" xr:uid="{6EFC5CBD-07EC-4421-9986-C16EBA8FBE3D}"/>
    <cellStyle name="Normal 5 2 2 2 2 7 2 2 3" xfId="25458" xr:uid="{63AA39EC-678D-443F-ABE0-D3594BD25FB7}"/>
    <cellStyle name="Normal 5 2 2 2 2 7 2 3" xfId="12805" xr:uid="{52F066FA-C808-42CA-8F4A-7FEED3CD5996}"/>
    <cellStyle name="Normal 5 2 2 2 2 7 2 4" xfId="21241" xr:uid="{E187A0AA-78C6-4F50-AB93-A7FAE4FD9EC5}"/>
    <cellStyle name="Normal 5 2 2 2 2 7 3" xfId="6436" xr:uid="{00000000-0005-0000-0000-000044170000}"/>
    <cellStyle name="Normal 5 2 2 2 2 7 3 2" xfId="14878" xr:uid="{F8B22BB7-5BA3-41B1-ACEE-0E3E0B554FAC}"/>
    <cellStyle name="Normal 5 2 2 2 2 7 3 3" xfId="23313" xr:uid="{3C81BB67-502D-4CA8-96FC-23F4D7124BBC}"/>
    <cellStyle name="Normal 5 2 2 2 2 7 4" xfId="10660" xr:uid="{1C4D6AE7-082F-4153-A2C3-0B367990B7C5}"/>
    <cellStyle name="Normal 5 2 2 2 2 7 5" xfId="19096" xr:uid="{A87CE980-FA03-48A2-90A5-1A96FB866AF6}"/>
    <cellStyle name="Normal 5 2 2 2 2 8" xfId="2565" xr:uid="{00000000-0005-0000-0000-000045170000}"/>
    <cellStyle name="Normal 5 2 2 2 2 8 2" xfId="6849" xr:uid="{00000000-0005-0000-0000-000046170000}"/>
    <cellStyle name="Normal 5 2 2 2 2 8 2 2" xfId="15291" xr:uid="{0DF54F1F-1239-4F18-9ABB-C99A705C3154}"/>
    <cellStyle name="Normal 5 2 2 2 2 8 2 3" xfId="23726" xr:uid="{875665AC-8618-47FC-8C6E-994FC9875360}"/>
    <cellStyle name="Normal 5 2 2 2 2 8 3" xfId="11073" xr:uid="{2D08166B-B75E-4925-8F16-58FF78516D94}"/>
    <cellStyle name="Normal 5 2 2 2 2 8 4" xfId="19509" xr:uid="{F1DF29D9-C8B1-409E-8571-0CECE625958E}"/>
    <cellStyle name="Normal 5 2 2 2 2 9" xfId="4784" xr:uid="{00000000-0005-0000-0000-000047170000}"/>
    <cellStyle name="Normal 5 2 2 2 2 9 2" xfId="13226" xr:uid="{BAE84994-348D-438F-B472-CB0A00CE8F80}"/>
    <cellStyle name="Normal 5 2 2 2 2 9 3" xfId="21661" xr:uid="{6A52E808-3709-440D-9AA8-690E3DE2A99F}"/>
    <cellStyle name="Normal 5 2 2 2 3" xfId="414" xr:uid="{00000000-0005-0000-0000-000048170000}"/>
    <cellStyle name="Normal 5 2 2 2 3 10" xfId="17448" xr:uid="{34CB3973-B54A-422A-91FA-896A6E5620DA}"/>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2 2 2" xfId="15789" xr:uid="{2A32BAA0-46AA-4988-8ECC-EA62CE14E390}"/>
    <cellStyle name="Normal 5 2 2 2 3 2 2 2 2 3" xfId="24224" xr:uid="{D8AC0C41-FBCD-4D0B-95A9-0913A0C5397C}"/>
    <cellStyle name="Normal 5 2 2 2 3 2 2 2 3" xfId="11571" xr:uid="{74250BC2-F560-4FAA-B3F1-2A71BCC700D6}"/>
    <cellStyle name="Normal 5 2 2 2 3 2 2 2 4" xfId="20007" xr:uid="{B1E3BE02-B37D-475E-8225-25BD5E590D88}"/>
    <cellStyle name="Normal 5 2 2 2 3 2 2 3" xfId="5202" xr:uid="{00000000-0005-0000-0000-00004D170000}"/>
    <cellStyle name="Normal 5 2 2 2 3 2 2 3 2" xfId="13644" xr:uid="{BD9AA1B6-4BEE-40CB-B338-33D6E86CF1E8}"/>
    <cellStyle name="Normal 5 2 2 2 3 2 2 3 3" xfId="22079" xr:uid="{CD9C3E9A-8604-4768-A94B-574BB53D498C}"/>
    <cellStyle name="Normal 5 2 2 2 3 2 2 4" xfId="9426" xr:uid="{1C047339-4D58-4E53-AA86-622DF71196ED}"/>
    <cellStyle name="Normal 5 2 2 2 3 2 2 5" xfId="17862" xr:uid="{E05506A7-464F-4088-9021-51F81025088F}"/>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2 2 2" xfId="16202" xr:uid="{80A8930F-4D44-498E-A512-32E172690334}"/>
    <cellStyle name="Normal 5 2 2 2 3 2 3 2 2 3" xfId="24637" xr:uid="{7053C927-C0BF-44DF-82A7-A44200094559}"/>
    <cellStyle name="Normal 5 2 2 2 3 2 3 2 3" xfId="11984" xr:uid="{F3280AD4-CCF5-4854-ACC6-2488B69E4C9A}"/>
    <cellStyle name="Normal 5 2 2 2 3 2 3 2 4" xfId="20420" xr:uid="{3C7C2426-323E-4CBE-A5B5-8DC1DAA75A6F}"/>
    <cellStyle name="Normal 5 2 2 2 3 2 3 3" xfId="5615" xr:uid="{00000000-0005-0000-0000-000051170000}"/>
    <cellStyle name="Normal 5 2 2 2 3 2 3 3 2" xfId="14057" xr:uid="{F3179E7A-DDD2-4A12-A3D3-1CD14EBDCC3D}"/>
    <cellStyle name="Normal 5 2 2 2 3 2 3 3 3" xfId="22492" xr:uid="{BA10B494-19D4-44C9-BE9B-CB8F658F0B9C}"/>
    <cellStyle name="Normal 5 2 2 2 3 2 3 4" xfId="9839" xr:uid="{2064E063-A547-49DD-B3BB-9FFB4638D949}"/>
    <cellStyle name="Normal 5 2 2 2 3 2 3 5" xfId="18275" xr:uid="{5D258F63-6144-4BB8-9887-64F49A9C31B8}"/>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2 2 2" xfId="16615" xr:uid="{FF438F5A-4BE4-40D0-8040-801DA693F1D9}"/>
    <cellStyle name="Normal 5 2 2 2 3 2 4 2 2 3" xfId="25050" xr:uid="{85E6538C-FF45-469E-9757-62E28A0F9854}"/>
    <cellStyle name="Normal 5 2 2 2 3 2 4 2 3" xfId="12397" xr:uid="{B0A4824E-1567-4F45-A1C5-66941E00E796}"/>
    <cellStyle name="Normal 5 2 2 2 3 2 4 2 4" xfId="20833" xr:uid="{14BF00E7-FB4E-4561-804F-EE4DA5BEBBE9}"/>
    <cellStyle name="Normal 5 2 2 2 3 2 4 3" xfId="6028" xr:uid="{00000000-0005-0000-0000-000055170000}"/>
    <cellStyle name="Normal 5 2 2 2 3 2 4 3 2" xfId="14470" xr:uid="{A6E60A09-BA4F-4306-A27C-738877BBFE09}"/>
    <cellStyle name="Normal 5 2 2 2 3 2 4 3 3" xfId="22905" xr:uid="{03EE2E48-B5B2-466D-BE92-E26DCA456568}"/>
    <cellStyle name="Normal 5 2 2 2 3 2 4 4" xfId="10252" xr:uid="{6EF055F6-1F19-47CA-92C4-B2363A0581E0}"/>
    <cellStyle name="Normal 5 2 2 2 3 2 4 5" xfId="18688" xr:uid="{900AB1F6-ED7C-412F-9350-D8FE91FE5406}"/>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2 2 2" xfId="17028" xr:uid="{5AE2C07A-CA33-4398-AFE2-BFECF268AE44}"/>
    <cellStyle name="Normal 5 2 2 2 3 2 5 2 2 3" xfId="25463" xr:uid="{6138F277-5822-4FB1-A15D-7E7FFF882A30}"/>
    <cellStyle name="Normal 5 2 2 2 3 2 5 2 3" xfId="12810" xr:uid="{92964142-05C5-46B9-B448-5B314E1FD385}"/>
    <cellStyle name="Normal 5 2 2 2 3 2 5 2 4" xfId="21246" xr:uid="{ECB9F746-DB42-42C1-90CE-A4C3BE24F7AF}"/>
    <cellStyle name="Normal 5 2 2 2 3 2 5 3" xfId="6441" xr:uid="{00000000-0005-0000-0000-000059170000}"/>
    <cellStyle name="Normal 5 2 2 2 3 2 5 3 2" xfId="14883" xr:uid="{8CB233AA-A6F7-4143-9FBF-1B721090EDCC}"/>
    <cellStyle name="Normal 5 2 2 2 3 2 5 3 3" xfId="23318" xr:uid="{609E417F-9F59-4E3D-A4BB-3E33BE997541}"/>
    <cellStyle name="Normal 5 2 2 2 3 2 5 4" xfId="10665" xr:uid="{B0A48CCF-19CE-4FA6-8A0E-5CF1C3521A88}"/>
    <cellStyle name="Normal 5 2 2 2 3 2 5 5" xfId="19101" xr:uid="{92780E3C-1699-449D-AE83-9753E32C62E5}"/>
    <cellStyle name="Normal 5 2 2 2 3 2 6" xfId="2570" xr:uid="{00000000-0005-0000-0000-00005A170000}"/>
    <cellStyle name="Normal 5 2 2 2 3 2 6 2" xfId="6854" xr:uid="{00000000-0005-0000-0000-00005B170000}"/>
    <cellStyle name="Normal 5 2 2 2 3 2 6 2 2" xfId="15296" xr:uid="{EEABF277-C190-494E-80E0-A93213D3A2C7}"/>
    <cellStyle name="Normal 5 2 2 2 3 2 6 2 3" xfId="23731" xr:uid="{FB3A1888-EF31-4E69-8412-764CFF99054B}"/>
    <cellStyle name="Normal 5 2 2 2 3 2 6 3" xfId="11078" xr:uid="{60A41D5F-D9FE-4D5F-B08C-18256AA1AC75}"/>
    <cellStyle name="Normal 5 2 2 2 3 2 6 4" xfId="19514" xr:uid="{04C81827-D6FA-41BB-A0AC-D4E8B79DC7BF}"/>
    <cellStyle name="Normal 5 2 2 2 3 2 7" xfId="4789" xr:uid="{00000000-0005-0000-0000-00005C170000}"/>
    <cellStyle name="Normal 5 2 2 2 3 2 7 2" xfId="13231" xr:uid="{8CD74D5D-7E90-4CAC-8E36-1558DAEAFB14}"/>
    <cellStyle name="Normal 5 2 2 2 3 2 7 3" xfId="21666" xr:uid="{9EC0E00F-0F6F-4F22-99D7-E1494C9D41A5}"/>
    <cellStyle name="Normal 5 2 2 2 3 2 8" xfId="9013" xr:uid="{67600DF0-F770-4119-8552-BC20561F930A}"/>
    <cellStyle name="Normal 5 2 2 2 3 2 9" xfId="17449" xr:uid="{40786B88-5830-416C-A840-48B2FA3A7AE7}"/>
    <cellStyle name="Normal 5 2 2 2 3 3" xfId="888" xr:uid="{00000000-0005-0000-0000-00005D170000}"/>
    <cellStyle name="Normal 5 2 2 2 3 3 2" xfId="3123" xr:uid="{00000000-0005-0000-0000-00005E170000}"/>
    <cellStyle name="Normal 5 2 2 2 3 3 2 2" xfId="7346" xr:uid="{00000000-0005-0000-0000-00005F170000}"/>
    <cellStyle name="Normal 5 2 2 2 3 3 2 2 2" xfId="15788" xr:uid="{EED51881-759B-41AD-9AD9-2610CBC2B5D9}"/>
    <cellStyle name="Normal 5 2 2 2 3 3 2 2 3" xfId="24223" xr:uid="{A1770E6B-E236-41FE-A739-311E9201C178}"/>
    <cellStyle name="Normal 5 2 2 2 3 3 2 3" xfId="11570" xr:uid="{2D8814CD-5EB0-4B36-8C44-2B84FB444B5A}"/>
    <cellStyle name="Normal 5 2 2 2 3 3 2 4" xfId="20006" xr:uid="{C0E2C06C-669E-4CAC-92E6-08CFA050F58D}"/>
    <cellStyle name="Normal 5 2 2 2 3 3 3" xfId="5201" xr:uid="{00000000-0005-0000-0000-000060170000}"/>
    <cellStyle name="Normal 5 2 2 2 3 3 3 2" xfId="13643" xr:uid="{A5C1427B-0C94-44D7-83A7-89538B510010}"/>
    <cellStyle name="Normal 5 2 2 2 3 3 3 3" xfId="22078" xr:uid="{C3F9DC8F-D8CE-4076-AB5E-854509102FDE}"/>
    <cellStyle name="Normal 5 2 2 2 3 3 4" xfId="9425" xr:uid="{6EC569B4-BE40-40D5-AC65-BFA5505B497A}"/>
    <cellStyle name="Normal 5 2 2 2 3 3 5" xfId="17861" xr:uid="{B2D07375-1486-46B5-9460-71405515228A}"/>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2 2 2" xfId="16201" xr:uid="{2D3D89B1-2EAA-4E9F-A393-C4BF3B3EDC54}"/>
    <cellStyle name="Normal 5 2 2 2 3 4 2 2 3" xfId="24636" xr:uid="{6F51D953-C84D-4AD3-B364-DB65A6B78B99}"/>
    <cellStyle name="Normal 5 2 2 2 3 4 2 3" xfId="11983" xr:uid="{15270AAE-053D-4FEA-A87A-95CA1E1FE210}"/>
    <cellStyle name="Normal 5 2 2 2 3 4 2 4" xfId="20419" xr:uid="{E4BDBABC-9FC4-4E44-AE26-A5A33E6E0718}"/>
    <cellStyle name="Normal 5 2 2 2 3 4 3" xfId="5614" xr:uid="{00000000-0005-0000-0000-000064170000}"/>
    <cellStyle name="Normal 5 2 2 2 3 4 3 2" xfId="14056" xr:uid="{731B5168-2B63-4044-A8AB-21EEE29D5418}"/>
    <cellStyle name="Normal 5 2 2 2 3 4 3 3" xfId="22491" xr:uid="{48B9AAE1-4986-470B-ACFF-43974B97C4BF}"/>
    <cellStyle name="Normal 5 2 2 2 3 4 4" xfId="9838" xr:uid="{D0FD354C-E44E-4808-AA6E-046F885C1A25}"/>
    <cellStyle name="Normal 5 2 2 2 3 4 5" xfId="18274" xr:uid="{40E0AA45-730B-46EC-AFDF-C1A704D4C714}"/>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2 2 2" xfId="16614" xr:uid="{3683ADD1-A6B3-4D81-A4B2-41DB54A478F5}"/>
    <cellStyle name="Normal 5 2 2 2 3 5 2 2 3" xfId="25049" xr:uid="{AC9D865D-9A27-417F-8B77-73CB053A7CAD}"/>
    <cellStyle name="Normal 5 2 2 2 3 5 2 3" xfId="12396" xr:uid="{165F34F6-E44F-4873-9AC1-BCDCE15EB214}"/>
    <cellStyle name="Normal 5 2 2 2 3 5 2 4" xfId="20832" xr:uid="{A0C2D933-652A-4D92-9552-5124349E50B8}"/>
    <cellStyle name="Normal 5 2 2 2 3 5 3" xfId="6027" xr:uid="{00000000-0005-0000-0000-000068170000}"/>
    <cellStyle name="Normal 5 2 2 2 3 5 3 2" xfId="14469" xr:uid="{EB4D6C23-0201-4C5D-AAEA-0E699AA472DE}"/>
    <cellStyle name="Normal 5 2 2 2 3 5 3 3" xfId="22904" xr:uid="{EE2470DB-FC91-46FF-9676-7D1B546716FE}"/>
    <cellStyle name="Normal 5 2 2 2 3 5 4" xfId="10251" xr:uid="{8B8C5D28-D109-4633-93D5-8188D5901638}"/>
    <cellStyle name="Normal 5 2 2 2 3 5 5" xfId="18687" xr:uid="{C1020195-6F8A-4F5D-971D-925BD5B8D3B3}"/>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2 2 2" xfId="17027" xr:uid="{C2DFDAA4-2C32-4F77-B2E8-3E96D9AC81DC}"/>
    <cellStyle name="Normal 5 2 2 2 3 6 2 2 3" xfId="25462" xr:uid="{4209219D-8CAB-414D-A686-96C5C4A6B2C7}"/>
    <cellStyle name="Normal 5 2 2 2 3 6 2 3" xfId="12809" xr:uid="{16133996-E65D-4E97-BAAC-E216C52474DE}"/>
    <cellStyle name="Normal 5 2 2 2 3 6 2 4" xfId="21245" xr:uid="{53B056DD-914E-413D-8FD2-F80D6D221B73}"/>
    <cellStyle name="Normal 5 2 2 2 3 6 3" xfId="6440" xr:uid="{00000000-0005-0000-0000-00006C170000}"/>
    <cellStyle name="Normal 5 2 2 2 3 6 3 2" xfId="14882" xr:uid="{2B4499CF-1ACF-473C-9587-50C906CE1F7F}"/>
    <cellStyle name="Normal 5 2 2 2 3 6 3 3" xfId="23317" xr:uid="{59F2C5D2-63DF-4E26-997E-8294DFDCEDE6}"/>
    <cellStyle name="Normal 5 2 2 2 3 6 4" xfId="10664" xr:uid="{77FB5013-53AF-4779-9521-40CAB2406642}"/>
    <cellStyle name="Normal 5 2 2 2 3 6 5" xfId="19100" xr:uid="{532DEBDF-DC25-4991-9AB3-72C09BC92FB7}"/>
    <cellStyle name="Normal 5 2 2 2 3 7" xfId="2569" xr:uid="{00000000-0005-0000-0000-00006D170000}"/>
    <cellStyle name="Normal 5 2 2 2 3 7 2" xfId="6853" xr:uid="{00000000-0005-0000-0000-00006E170000}"/>
    <cellStyle name="Normal 5 2 2 2 3 7 2 2" xfId="15295" xr:uid="{2E47DC4C-4029-47AF-A96C-725C580F8484}"/>
    <cellStyle name="Normal 5 2 2 2 3 7 2 3" xfId="23730" xr:uid="{13EA2048-F9B9-49D4-9F01-4EBA5475A1F0}"/>
    <cellStyle name="Normal 5 2 2 2 3 7 3" xfId="11077" xr:uid="{AA458C78-5DE6-4AB3-8ED8-879B3B16576D}"/>
    <cellStyle name="Normal 5 2 2 2 3 7 4" xfId="19513" xr:uid="{3422868F-ECA0-4DD9-9084-C2BC737B2025}"/>
    <cellStyle name="Normal 5 2 2 2 3 8" xfId="4788" xr:uid="{00000000-0005-0000-0000-00006F170000}"/>
    <cellStyle name="Normal 5 2 2 2 3 8 2" xfId="13230" xr:uid="{65AA43B1-BA93-4E51-95FA-9B137AA09EAE}"/>
    <cellStyle name="Normal 5 2 2 2 3 8 3" xfId="21665" xr:uid="{A673F60A-763D-40FF-9FC0-9FAE4FC4475A}"/>
    <cellStyle name="Normal 5 2 2 2 3 9" xfId="9012" xr:uid="{53EF83BE-14EA-4941-8E13-6FC1BEC57F2C}"/>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2 2 2" xfId="15790" xr:uid="{69F0EC5A-5063-4A45-A876-AFF5613BA0BA}"/>
    <cellStyle name="Normal 5 2 2 2 4 2 2 2 3" xfId="24225" xr:uid="{CCC6F79C-3452-434F-8628-11507F4537A5}"/>
    <cellStyle name="Normal 5 2 2 2 4 2 2 3" xfId="11572" xr:uid="{99B12EC5-665B-4984-A29D-F300FCA75BF1}"/>
    <cellStyle name="Normal 5 2 2 2 4 2 2 4" xfId="20008" xr:uid="{5A042ABC-B5FB-4A7D-9899-D7F4BDD4CA81}"/>
    <cellStyle name="Normal 5 2 2 2 4 2 3" xfId="5203" xr:uid="{00000000-0005-0000-0000-000074170000}"/>
    <cellStyle name="Normal 5 2 2 2 4 2 3 2" xfId="13645" xr:uid="{E2EB1D57-4906-4359-B4C2-FEADF9651B3C}"/>
    <cellStyle name="Normal 5 2 2 2 4 2 3 3" xfId="22080" xr:uid="{4037AA13-1E2A-4E29-A620-B8CAC4D9F96A}"/>
    <cellStyle name="Normal 5 2 2 2 4 2 4" xfId="9427" xr:uid="{8003C3D6-E39B-40FE-A9A3-7D2A4F21933A}"/>
    <cellStyle name="Normal 5 2 2 2 4 2 5" xfId="17863" xr:uid="{50E07788-F50F-4C7A-86EC-6CF6EF13DF44}"/>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2 2 2" xfId="16203" xr:uid="{57B5DF4A-2F50-47D6-965D-79C62DAF185E}"/>
    <cellStyle name="Normal 5 2 2 2 4 3 2 2 3" xfId="24638" xr:uid="{214134FD-7798-4866-BB8C-52F88D4C0031}"/>
    <cellStyle name="Normal 5 2 2 2 4 3 2 3" xfId="11985" xr:uid="{CED9185E-D6E2-4026-A560-AFC9B4F47156}"/>
    <cellStyle name="Normal 5 2 2 2 4 3 2 4" xfId="20421" xr:uid="{70F7117C-5764-49CC-8DEC-3FD0DE75D378}"/>
    <cellStyle name="Normal 5 2 2 2 4 3 3" xfId="5616" xr:uid="{00000000-0005-0000-0000-000078170000}"/>
    <cellStyle name="Normal 5 2 2 2 4 3 3 2" xfId="14058" xr:uid="{284CAA71-C99A-445E-8094-C435A77479D3}"/>
    <cellStyle name="Normal 5 2 2 2 4 3 3 3" xfId="22493" xr:uid="{26F74A6E-EC64-486E-BEC0-80B44C5554E5}"/>
    <cellStyle name="Normal 5 2 2 2 4 3 4" xfId="9840" xr:uid="{0EE86536-396B-4A73-8280-7BDD6074794E}"/>
    <cellStyle name="Normal 5 2 2 2 4 3 5" xfId="18276" xr:uid="{4A3FFCCF-7471-4728-BFE3-69EF758D708D}"/>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2 2 2" xfId="16616" xr:uid="{27286315-D032-4EA1-AD92-78CCB4E7C340}"/>
    <cellStyle name="Normal 5 2 2 2 4 4 2 2 3" xfId="25051" xr:uid="{AD282B70-9746-4677-BE83-CA9F91890F1E}"/>
    <cellStyle name="Normal 5 2 2 2 4 4 2 3" xfId="12398" xr:uid="{E36EF5A5-1C63-4DD5-ABF2-ADBEC745577E}"/>
    <cellStyle name="Normal 5 2 2 2 4 4 2 4" xfId="20834" xr:uid="{64668885-D4B2-4908-BF4A-9890D2F64E7C}"/>
    <cellStyle name="Normal 5 2 2 2 4 4 3" xfId="6029" xr:uid="{00000000-0005-0000-0000-00007C170000}"/>
    <cellStyle name="Normal 5 2 2 2 4 4 3 2" xfId="14471" xr:uid="{87797A77-F21C-485E-873A-5656F7DCDE60}"/>
    <cellStyle name="Normal 5 2 2 2 4 4 3 3" xfId="22906" xr:uid="{B6AC6044-A2C2-42D9-BFFD-F6BB877AB470}"/>
    <cellStyle name="Normal 5 2 2 2 4 4 4" xfId="10253" xr:uid="{B2D7F391-799E-47D1-912C-8510F8297245}"/>
    <cellStyle name="Normal 5 2 2 2 4 4 5" xfId="18689" xr:uid="{C3500C21-67AE-416C-94DC-0513D08582B7}"/>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2 2 2" xfId="17029" xr:uid="{188F4A94-3BCF-48B7-BEEC-C6E3A61D090F}"/>
    <cellStyle name="Normal 5 2 2 2 4 5 2 2 3" xfId="25464" xr:uid="{69CD98E6-A424-4085-98DA-3DD51C21A79C}"/>
    <cellStyle name="Normal 5 2 2 2 4 5 2 3" xfId="12811" xr:uid="{D01C21F9-18A3-4515-92BB-D079B1760C84}"/>
    <cellStyle name="Normal 5 2 2 2 4 5 2 4" xfId="21247" xr:uid="{246D8439-C340-41CC-93C9-B1A07A54F43F}"/>
    <cellStyle name="Normal 5 2 2 2 4 5 3" xfId="6442" xr:uid="{00000000-0005-0000-0000-000080170000}"/>
    <cellStyle name="Normal 5 2 2 2 4 5 3 2" xfId="14884" xr:uid="{B28276D6-09FF-44C9-8D60-2535289B1562}"/>
    <cellStyle name="Normal 5 2 2 2 4 5 3 3" xfId="23319" xr:uid="{2DA66A7A-71DB-4115-B1F3-2AE11FF71793}"/>
    <cellStyle name="Normal 5 2 2 2 4 5 4" xfId="10666" xr:uid="{CD115CD9-2C1D-473F-840A-031371A277D6}"/>
    <cellStyle name="Normal 5 2 2 2 4 5 5" xfId="19102" xr:uid="{96099D1F-5708-4E1D-BD8C-E6897660E285}"/>
    <cellStyle name="Normal 5 2 2 2 4 6" xfId="2571" xr:uid="{00000000-0005-0000-0000-000081170000}"/>
    <cellStyle name="Normal 5 2 2 2 4 6 2" xfId="6855" xr:uid="{00000000-0005-0000-0000-000082170000}"/>
    <cellStyle name="Normal 5 2 2 2 4 6 2 2" xfId="15297" xr:uid="{AEB9959E-B840-4BD8-8517-299A74A89788}"/>
    <cellStyle name="Normal 5 2 2 2 4 6 2 3" xfId="23732" xr:uid="{4D6752DB-9871-4170-9F44-DD34B202EAB8}"/>
    <cellStyle name="Normal 5 2 2 2 4 6 3" xfId="11079" xr:uid="{CBAD373B-7118-418F-BD1F-A645A5C23238}"/>
    <cellStyle name="Normal 5 2 2 2 4 6 4" xfId="19515" xr:uid="{69F444BF-3CAC-4AAE-BB78-015B85478C1B}"/>
    <cellStyle name="Normal 5 2 2 2 4 7" xfId="4790" xr:uid="{00000000-0005-0000-0000-000083170000}"/>
    <cellStyle name="Normal 5 2 2 2 4 7 2" xfId="13232" xr:uid="{E9760265-A876-4EEE-9703-0B25B3726367}"/>
    <cellStyle name="Normal 5 2 2 2 4 7 3" xfId="21667" xr:uid="{71CB2613-198B-4947-973A-363DBFCCCC90}"/>
    <cellStyle name="Normal 5 2 2 2 4 8" xfId="9014" xr:uid="{13EDA2CC-B4B2-48B0-80C0-3F8BFB6DF9D6}"/>
    <cellStyle name="Normal 5 2 2 2 4 9" xfId="17450" xr:uid="{7A83E93C-7308-476A-9AD4-CE0E28F111C8}"/>
    <cellStyle name="Normal 5 2 2 2 5" xfId="883" xr:uid="{00000000-0005-0000-0000-000084170000}"/>
    <cellStyle name="Normal 5 2 2 2 5 2" xfId="3118" xr:uid="{00000000-0005-0000-0000-000085170000}"/>
    <cellStyle name="Normal 5 2 2 2 5 2 2" xfId="7341" xr:uid="{00000000-0005-0000-0000-000086170000}"/>
    <cellStyle name="Normal 5 2 2 2 5 2 2 2" xfId="15783" xr:uid="{41FB3D1C-3672-4D03-BFF8-77E966EB85B9}"/>
    <cellStyle name="Normal 5 2 2 2 5 2 2 3" xfId="24218" xr:uid="{0E6A1699-3725-4B94-B72F-AAB90C90FD27}"/>
    <cellStyle name="Normal 5 2 2 2 5 2 3" xfId="11565" xr:uid="{72EE64E5-7AC4-4C81-ACBD-08AA4932E0EE}"/>
    <cellStyle name="Normal 5 2 2 2 5 2 4" xfId="20001" xr:uid="{22D387D0-50B8-42D6-9B8C-44DB9EDF795D}"/>
    <cellStyle name="Normal 5 2 2 2 5 3" xfId="5196" xr:uid="{00000000-0005-0000-0000-000087170000}"/>
    <cellStyle name="Normal 5 2 2 2 5 3 2" xfId="13638" xr:uid="{A6FFDCBA-143F-442F-B6BE-950DF582DAE2}"/>
    <cellStyle name="Normal 5 2 2 2 5 3 3" xfId="22073" xr:uid="{DE404470-D54B-4B30-9DAC-79363BA413CE}"/>
    <cellStyle name="Normal 5 2 2 2 5 4" xfId="9420" xr:uid="{272FF0ED-8247-4B5E-9EAE-7914618FAFD1}"/>
    <cellStyle name="Normal 5 2 2 2 5 5" xfId="17856" xr:uid="{10347B21-F46E-4A22-816D-06FFA22E0976}"/>
    <cellStyle name="Normal 5 2 2 2 6" xfId="1301" xr:uid="{00000000-0005-0000-0000-000088170000}"/>
    <cellStyle name="Normal 5 2 2 2 6 2" xfId="3531" xr:uid="{00000000-0005-0000-0000-000089170000}"/>
    <cellStyle name="Normal 5 2 2 2 6 2 2" xfId="7754" xr:uid="{00000000-0005-0000-0000-00008A170000}"/>
    <cellStyle name="Normal 5 2 2 2 6 2 2 2" xfId="16196" xr:uid="{61B02D8C-53F2-442F-A312-CFE42CDB5183}"/>
    <cellStyle name="Normal 5 2 2 2 6 2 2 3" xfId="24631" xr:uid="{45B05AD5-F59F-418C-AA4E-C0E6611B40BB}"/>
    <cellStyle name="Normal 5 2 2 2 6 2 3" xfId="11978" xr:uid="{DA2BEF3B-607C-47F1-A95E-46C255BC5BD3}"/>
    <cellStyle name="Normal 5 2 2 2 6 2 4" xfId="20414" xr:uid="{1973DF56-0897-4FD2-A9FD-D095DE12447E}"/>
    <cellStyle name="Normal 5 2 2 2 6 3" xfId="5609" xr:uid="{00000000-0005-0000-0000-00008B170000}"/>
    <cellStyle name="Normal 5 2 2 2 6 3 2" xfId="14051" xr:uid="{D72867EB-5358-454A-B038-F2E3DFA6D407}"/>
    <cellStyle name="Normal 5 2 2 2 6 3 3" xfId="22486" xr:uid="{C195A9D7-1D49-4689-B68E-4635648CA4AC}"/>
    <cellStyle name="Normal 5 2 2 2 6 4" xfId="9833" xr:uid="{3B6C4D69-89A6-41CB-826E-E19EDF9ABF4F}"/>
    <cellStyle name="Normal 5 2 2 2 6 5" xfId="18269" xr:uid="{5486452D-31B2-4828-9573-5E3F84819440}"/>
    <cellStyle name="Normal 5 2 2 2 7" xfId="1714" xr:uid="{00000000-0005-0000-0000-00008C170000}"/>
    <cellStyle name="Normal 5 2 2 2 7 2" xfId="3944" xr:uid="{00000000-0005-0000-0000-00008D170000}"/>
    <cellStyle name="Normal 5 2 2 2 7 2 2" xfId="8167" xr:uid="{00000000-0005-0000-0000-00008E170000}"/>
    <cellStyle name="Normal 5 2 2 2 7 2 2 2" xfId="16609" xr:uid="{CE8BAA3B-1DDA-4EB9-A0E9-35EBBDA790AF}"/>
    <cellStyle name="Normal 5 2 2 2 7 2 2 3" xfId="25044" xr:uid="{02544D15-7315-44BD-920E-A7762F3C2DB9}"/>
    <cellStyle name="Normal 5 2 2 2 7 2 3" xfId="12391" xr:uid="{C6E65D99-2426-4FC1-ADAB-C563CFFA96B2}"/>
    <cellStyle name="Normal 5 2 2 2 7 2 4" xfId="20827" xr:uid="{2B80BB44-7EC7-48C4-8278-2CC5D3760AB5}"/>
    <cellStyle name="Normal 5 2 2 2 7 3" xfId="6022" xr:uid="{00000000-0005-0000-0000-00008F170000}"/>
    <cellStyle name="Normal 5 2 2 2 7 3 2" xfId="14464" xr:uid="{D21D4715-9E3A-442A-B32E-18951B69E06D}"/>
    <cellStyle name="Normal 5 2 2 2 7 3 3" xfId="22899" xr:uid="{7D3F3651-AEC9-460F-AA77-A8D95C42F375}"/>
    <cellStyle name="Normal 5 2 2 2 7 4" xfId="10246" xr:uid="{D15095E3-9798-436E-9BD2-CE3757D99820}"/>
    <cellStyle name="Normal 5 2 2 2 7 5" xfId="18682" xr:uid="{DB6E7203-E7A9-4022-BF6A-DD0CDED1D598}"/>
    <cellStyle name="Normal 5 2 2 2 8" xfId="2128" xr:uid="{00000000-0005-0000-0000-000090170000}"/>
    <cellStyle name="Normal 5 2 2 2 8 2" xfId="4357" xr:uid="{00000000-0005-0000-0000-000091170000}"/>
    <cellStyle name="Normal 5 2 2 2 8 2 2" xfId="8580" xr:uid="{00000000-0005-0000-0000-000092170000}"/>
    <cellStyle name="Normal 5 2 2 2 8 2 2 2" xfId="17022" xr:uid="{9E20902B-328C-4425-84DA-4CA3545EF7B5}"/>
    <cellStyle name="Normal 5 2 2 2 8 2 2 3" xfId="25457" xr:uid="{6F7D8F0E-BE68-4597-AEAA-6555636A16E0}"/>
    <cellStyle name="Normal 5 2 2 2 8 2 3" xfId="12804" xr:uid="{8DE98163-1BCB-4FBE-8E54-E28EA8A2E1EF}"/>
    <cellStyle name="Normal 5 2 2 2 8 2 4" xfId="21240" xr:uid="{9D20E3CB-190B-4A43-A1A0-2645DED90451}"/>
    <cellStyle name="Normal 5 2 2 2 8 3" xfId="6435" xr:uid="{00000000-0005-0000-0000-000093170000}"/>
    <cellStyle name="Normal 5 2 2 2 8 3 2" xfId="14877" xr:uid="{D4C553E6-B7C0-4048-989B-5CFC1EB54319}"/>
    <cellStyle name="Normal 5 2 2 2 8 3 3" xfId="23312" xr:uid="{D6C4094F-8B04-449A-9941-7EA7498EA403}"/>
    <cellStyle name="Normal 5 2 2 2 8 4" xfId="10659" xr:uid="{610A0DF6-6D88-4BE0-A8B7-66511FB6B1C8}"/>
    <cellStyle name="Normal 5 2 2 2 8 5" xfId="19095" xr:uid="{50CE787B-82D5-4849-8B11-7CF562B3BF66}"/>
    <cellStyle name="Normal 5 2 2 2 9" xfId="2564" xr:uid="{00000000-0005-0000-0000-000094170000}"/>
    <cellStyle name="Normal 5 2 2 2 9 2" xfId="6848" xr:uid="{00000000-0005-0000-0000-000095170000}"/>
    <cellStyle name="Normal 5 2 2 2 9 2 2" xfId="15290" xr:uid="{758C9788-AB87-43CC-A790-D7F72E2E4244}"/>
    <cellStyle name="Normal 5 2 2 2 9 2 3" xfId="23725" xr:uid="{6559C38C-2183-4B81-8840-B428FA66B511}"/>
    <cellStyle name="Normal 5 2 2 2 9 3" xfId="11072" xr:uid="{8D782575-EDD9-4474-83FD-B12F904BD96D}"/>
    <cellStyle name="Normal 5 2 2 2 9 4" xfId="19508" xr:uid="{83F957AE-3527-499A-847A-155C58968250}"/>
    <cellStyle name="Normal 5 2 2 3" xfId="417" xr:uid="{00000000-0005-0000-0000-000096170000}"/>
    <cellStyle name="Normal 5 2 2 3 10" xfId="9015" xr:uid="{4DA80440-1724-47FD-A6F0-662C31200CF2}"/>
    <cellStyle name="Normal 5 2 2 3 11" xfId="17451" xr:uid="{78F0D812-8714-4899-93B1-99DCB9CB28D6}"/>
    <cellStyle name="Normal 5 2 2 3 2" xfId="418" xr:uid="{00000000-0005-0000-0000-000097170000}"/>
    <cellStyle name="Normal 5 2 2 3 2 10" xfId="17452" xr:uid="{6B0113D4-B174-4D93-9F7C-CA03F52376E7}"/>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2 2 2" xfId="15793" xr:uid="{E63AFA88-33BC-4E78-B893-088C054A854E}"/>
    <cellStyle name="Normal 5 2 2 3 2 2 2 2 2 3" xfId="24228" xr:uid="{873DC01D-A8BC-491F-A504-296DC25C97AC}"/>
    <cellStyle name="Normal 5 2 2 3 2 2 2 2 3" xfId="11575" xr:uid="{47061B14-6336-4464-9192-02D295A840C6}"/>
    <cellStyle name="Normal 5 2 2 3 2 2 2 2 4" xfId="20011" xr:uid="{CA37843C-260E-4F28-A309-284E0AD73BC5}"/>
    <cellStyle name="Normal 5 2 2 3 2 2 2 3" xfId="5206" xr:uid="{00000000-0005-0000-0000-00009C170000}"/>
    <cellStyle name="Normal 5 2 2 3 2 2 2 3 2" xfId="13648" xr:uid="{63193E03-92A6-46C3-9B07-0DD1F495E786}"/>
    <cellStyle name="Normal 5 2 2 3 2 2 2 3 3" xfId="22083" xr:uid="{2E6ACC6A-C7AC-47F7-8C9C-51C793E61711}"/>
    <cellStyle name="Normal 5 2 2 3 2 2 2 4" xfId="9430" xr:uid="{4C76280C-A2E1-4212-912C-8E886849D129}"/>
    <cellStyle name="Normal 5 2 2 3 2 2 2 5" xfId="17866" xr:uid="{A5A97203-F038-4872-A431-9ABA9FFB4EA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2 2 2" xfId="16206" xr:uid="{4755D3BA-1337-4178-9294-2AFDA2A29E0E}"/>
    <cellStyle name="Normal 5 2 2 3 2 2 3 2 2 3" xfId="24641" xr:uid="{7FC34639-847F-4BF5-AECC-BABE0AFC9AE5}"/>
    <cellStyle name="Normal 5 2 2 3 2 2 3 2 3" xfId="11988" xr:uid="{05CD5671-BF0A-48CB-97AB-228A5868EE5B}"/>
    <cellStyle name="Normal 5 2 2 3 2 2 3 2 4" xfId="20424" xr:uid="{8E8B906D-DF69-4B49-B54E-FE7445727CE7}"/>
    <cellStyle name="Normal 5 2 2 3 2 2 3 3" xfId="5619" xr:uid="{00000000-0005-0000-0000-0000A0170000}"/>
    <cellStyle name="Normal 5 2 2 3 2 2 3 3 2" xfId="14061" xr:uid="{71D95699-1C35-48A2-B1B5-C2D7E62AE11A}"/>
    <cellStyle name="Normal 5 2 2 3 2 2 3 3 3" xfId="22496" xr:uid="{0EF0CDCF-A57A-476F-BBBD-3F9DB9B62154}"/>
    <cellStyle name="Normal 5 2 2 3 2 2 3 4" xfId="9843" xr:uid="{26A523AE-776E-4213-A537-A1B47916E9D1}"/>
    <cellStyle name="Normal 5 2 2 3 2 2 3 5" xfId="18279" xr:uid="{6A1FE6AC-9961-4557-97AF-9DFD311730BC}"/>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2 2 2" xfId="16619" xr:uid="{7F531370-22B1-4BC8-B035-70A574047970}"/>
    <cellStyle name="Normal 5 2 2 3 2 2 4 2 2 3" xfId="25054" xr:uid="{987493E3-FEDC-4EA8-938F-2759C14D401F}"/>
    <cellStyle name="Normal 5 2 2 3 2 2 4 2 3" xfId="12401" xr:uid="{55ADCF83-74D5-4C87-960D-CF060886B3DD}"/>
    <cellStyle name="Normal 5 2 2 3 2 2 4 2 4" xfId="20837" xr:uid="{DDECD85F-DD5A-4087-A043-D78E74648A63}"/>
    <cellStyle name="Normal 5 2 2 3 2 2 4 3" xfId="6032" xr:uid="{00000000-0005-0000-0000-0000A4170000}"/>
    <cellStyle name="Normal 5 2 2 3 2 2 4 3 2" xfId="14474" xr:uid="{62D980BB-0C92-46D1-A7B0-FB2FAD1F538F}"/>
    <cellStyle name="Normal 5 2 2 3 2 2 4 3 3" xfId="22909" xr:uid="{D3CCC2B2-85C8-49D0-B5C8-458997B5FCF0}"/>
    <cellStyle name="Normal 5 2 2 3 2 2 4 4" xfId="10256" xr:uid="{5C5C9E6B-7092-478F-A3B6-D127147D0C8D}"/>
    <cellStyle name="Normal 5 2 2 3 2 2 4 5" xfId="18692" xr:uid="{C89B1B61-AA9A-4DB3-A27B-332026E6DD19}"/>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2 2 2" xfId="17032" xr:uid="{BF4BD811-6671-45C4-A548-3D4E9E432F9F}"/>
    <cellStyle name="Normal 5 2 2 3 2 2 5 2 2 3" xfId="25467" xr:uid="{A588D111-7D6E-4E3D-B5E5-3FE386248871}"/>
    <cellStyle name="Normal 5 2 2 3 2 2 5 2 3" xfId="12814" xr:uid="{525782B8-7E48-424E-9AC1-90FFD5EB5B87}"/>
    <cellStyle name="Normal 5 2 2 3 2 2 5 2 4" xfId="21250" xr:uid="{02CA5754-2206-4482-B5EE-68F45FBDD11F}"/>
    <cellStyle name="Normal 5 2 2 3 2 2 5 3" xfId="6445" xr:uid="{00000000-0005-0000-0000-0000A8170000}"/>
    <cellStyle name="Normal 5 2 2 3 2 2 5 3 2" xfId="14887" xr:uid="{F26662CB-9D38-4024-A90D-A911205DF2A6}"/>
    <cellStyle name="Normal 5 2 2 3 2 2 5 3 3" xfId="23322" xr:uid="{65AEE6D8-AFA6-4439-BD23-BF08ACBA29BB}"/>
    <cellStyle name="Normal 5 2 2 3 2 2 5 4" xfId="10669" xr:uid="{34305A1A-07BF-488F-AED7-48384AE304B6}"/>
    <cellStyle name="Normal 5 2 2 3 2 2 5 5" xfId="19105" xr:uid="{D4E5899F-1282-4C69-8388-928C1214A97B}"/>
    <cellStyle name="Normal 5 2 2 3 2 2 6" xfId="2574" xr:uid="{00000000-0005-0000-0000-0000A9170000}"/>
    <cellStyle name="Normal 5 2 2 3 2 2 6 2" xfId="6858" xr:uid="{00000000-0005-0000-0000-0000AA170000}"/>
    <cellStyle name="Normal 5 2 2 3 2 2 6 2 2" xfId="15300" xr:uid="{A12AB3FB-629C-4173-9576-59E46254551B}"/>
    <cellStyle name="Normal 5 2 2 3 2 2 6 2 3" xfId="23735" xr:uid="{B86A3D56-E7F5-483E-AEEB-63AEB8777C7F}"/>
    <cellStyle name="Normal 5 2 2 3 2 2 6 3" xfId="11082" xr:uid="{B492243E-BCC9-4BD1-806E-F74B4BFA043E}"/>
    <cellStyle name="Normal 5 2 2 3 2 2 6 4" xfId="19518" xr:uid="{24B6A372-401F-4074-B9F6-A4DD6DF8615A}"/>
    <cellStyle name="Normal 5 2 2 3 2 2 7" xfId="4793" xr:uid="{00000000-0005-0000-0000-0000AB170000}"/>
    <cellStyle name="Normal 5 2 2 3 2 2 7 2" xfId="13235" xr:uid="{CD305573-E023-4A05-9F4D-ED7D6DCEDFFB}"/>
    <cellStyle name="Normal 5 2 2 3 2 2 7 3" xfId="21670" xr:uid="{A51E8857-45D1-490A-875C-404C0E6519CF}"/>
    <cellStyle name="Normal 5 2 2 3 2 2 8" xfId="9017" xr:uid="{E840804E-B4F1-415C-AD0A-628C80FF10E9}"/>
    <cellStyle name="Normal 5 2 2 3 2 2 9" xfId="17453" xr:uid="{31021B15-9F44-410B-A0CE-272A583E3C1F}"/>
    <cellStyle name="Normal 5 2 2 3 2 3" xfId="892" xr:uid="{00000000-0005-0000-0000-0000AC170000}"/>
    <cellStyle name="Normal 5 2 2 3 2 3 2" xfId="3127" xr:uid="{00000000-0005-0000-0000-0000AD170000}"/>
    <cellStyle name="Normal 5 2 2 3 2 3 2 2" xfId="7350" xr:uid="{00000000-0005-0000-0000-0000AE170000}"/>
    <cellStyle name="Normal 5 2 2 3 2 3 2 2 2" xfId="15792" xr:uid="{EB2F21C9-7F33-46EB-90DD-24C541EE5634}"/>
    <cellStyle name="Normal 5 2 2 3 2 3 2 2 3" xfId="24227" xr:uid="{300D61E5-92FC-401C-A9B2-8B4550F079A9}"/>
    <cellStyle name="Normal 5 2 2 3 2 3 2 3" xfId="11574" xr:uid="{C9E9CB92-7C4E-4CA8-9522-13189FDB039E}"/>
    <cellStyle name="Normal 5 2 2 3 2 3 2 4" xfId="20010" xr:uid="{E8A4FDDB-FC37-4976-87A8-B5A428FE9D1E}"/>
    <cellStyle name="Normal 5 2 2 3 2 3 3" xfId="5205" xr:uid="{00000000-0005-0000-0000-0000AF170000}"/>
    <cellStyle name="Normal 5 2 2 3 2 3 3 2" xfId="13647" xr:uid="{E9BAE172-DDAD-41CE-B235-008D976E972E}"/>
    <cellStyle name="Normal 5 2 2 3 2 3 3 3" xfId="22082" xr:uid="{72B0EBD1-6DEF-4B93-8E82-AE1A29CE2AC5}"/>
    <cellStyle name="Normal 5 2 2 3 2 3 4" xfId="9429" xr:uid="{0DE140B2-D978-4B1E-9AAA-31F4629E45D7}"/>
    <cellStyle name="Normal 5 2 2 3 2 3 5" xfId="17865" xr:uid="{63898234-0DF1-46C4-84AA-6D4798B142C4}"/>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2 2 2" xfId="16205" xr:uid="{3423D293-AED6-40FE-8062-39C42314556F}"/>
    <cellStyle name="Normal 5 2 2 3 2 4 2 2 3" xfId="24640" xr:uid="{41826DD7-B972-42C1-B747-296E327ACBC1}"/>
    <cellStyle name="Normal 5 2 2 3 2 4 2 3" xfId="11987" xr:uid="{480F612D-6E3D-4612-A84B-AB24395A46F6}"/>
    <cellStyle name="Normal 5 2 2 3 2 4 2 4" xfId="20423" xr:uid="{FB6FC6F9-5740-43B5-9C7F-180E342A2D19}"/>
    <cellStyle name="Normal 5 2 2 3 2 4 3" xfId="5618" xr:uid="{00000000-0005-0000-0000-0000B3170000}"/>
    <cellStyle name="Normal 5 2 2 3 2 4 3 2" xfId="14060" xr:uid="{45B86C0F-B6FD-4F09-A39D-4E10F840C7B4}"/>
    <cellStyle name="Normal 5 2 2 3 2 4 3 3" xfId="22495" xr:uid="{7C516F52-41E1-4C45-8813-E2C6678C0828}"/>
    <cellStyle name="Normal 5 2 2 3 2 4 4" xfId="9842" xr:uid="{D4074033-D6EA-4227-BE71-8ACB74ABDC49}"/>
    <cellStyle name="Normal 5 2 2 3 2 4 5" xfId="18278" xr:uid="{E57A4BEB-FF0D-41BB-98D4-609EFC25BB93}"/>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2 2 2" xfId="16618" xr:uid="{4449B637-3782-4A9C-98B6-ECDFFAC2FC53}"/>
    <cellStyle name="Normal 5 2 2 3 2 5 2 2 3" xfId="25053" xr:uid="{BB5781F4-7304-45AF-A486-BEBE714E8602}"/>
    <cellStyle name="Normal 5 2 2 3 2 5 2 3" xfId="12400" xr:uid="{FDB1D4B4-E5E9-4AFD-A331-3BCDB4D2616B}"/>
    <cellStyle name="Normal 5 2 2 3 2 5 2 4" xfId="20836" xr:uid="{0A39A61E-DE39-4AAD-8FAB-852B0D439406}"/>
    <cellStyle name="Normal 5 2 2 3 2 5 3" xfId="6031" xr:uid="{00000000-0005-0000-0000-0000B7170000}"/>
    <cellStyle name="Normal 5 2 2 3 2 5 3 2" xfId="14473" xr:uid="{EB39BEFF-2AFF-4A94-BBB7-DA5E28A6AB3A}"/>
    <cellStyle name="Normal 5 2 2 3 2 5 3 3" xfId="22908" xr:uid="{19341339-7738-418F-9723-7BDFEE5081FA}"/>
    <cellStyle name="Normal 5 2 2 3 2 5 4" xfId="10255" xr:uid="{D14EF98B-91B6-47CA-910A-E6A4D5B26667}"/>
    <cellStyle name="Normal 5 2 2 3 2 5 5" xfId="18691" xr:uid="{683B81C6-4E09-4811-8B85-0E40F6A59689}"/>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2 2 2" xfId="17031" xr:uid="{24CFDC2E-3D57-459E-BEB1-6E814CE1C797}"/>
    <cellStyle name="Normal 5 2 2 3 2 6 2 2 3" xfId="25466" xr:uid="{D2EE8EA5-AD04-42E5-9CDD-D19CD81A2E22}"/>
    <cellStyle name="Normal 5 2 2 3 2 6 2 3" xfId="12813" xr:uid="{E9D7AA37-730A-4A0B-B1BC-5D21F7DDCDFA}"/>
    <cellStyle name="Normal 5 2 2 3 2 6 2 4" xfId="21249" xr:uid="{58B4238C-1609-49ED-BF36-C7C62E6D506A}"/>
    <cellStyle name="Normal 5 2 2 3 2 6 3" xfId="6444" xr:uid="{00000000-0005-0000-0000-0000BB170000}"/>
    <cellStyle name="Normal 5 2 2 3 2 6 3 2" xfId="14886" xr:uid="{8485E56C-3C5D-4F95-B3FD-DFB0710EA7D2}"/>
    <cellStyle name="Normal 5 2 2 3 2 6 3 3" xfId="23321" xr:uid="{C5E4FD0C-2E93-4B32-84BC-5AF6D5D54E0D}"/>
    <cellStyle name="Normal 5 2 2 3 2 6 4" xfId="10668" xr:uid="{5CD3FF5F-F5E5-4982-9051-C1ED923FB753}"/>
    <cellStyle name="Normal 5 2 2 3 2 6 5" xfId="19104" xr:uid="{9B4C726B-FBE9-4ACC-B528-4F43E5B03D2B}"/>
    <cellStyle name="Normal 5 2 2 3 2 7" xfId="2573" xr:uid="{00000000-0005-0000-0000-0000BC170000}"/>
    <cellStyle name="Normal 5 2 2 3 2 7 2" xfId="6857" xr:uid="{00000000-0005-0000-0000-0000BD170000}"/>
    <cellStyle name="Normal 5 2 2 3 2 7 2 2" xfId="15299" xr:uid="{B33BB888-07D5-4ADC-97D8-1BAAAD1F78D4}"/>
    <cellStyle name="Normal 5 2 2 3 2 7 2 3" xfId="23734" xr:uid="{1DDA88FB-1990-47CD-83C5-A78EDA55290A}"/>
    <cellStyle name="Normal 5 2 2 3 2 7 3" xfId="11081" xr:uid="{B8ED8B24-197D-4D60-B5D6-E048500B6973}"/>
    <cellStyle name="Normal 5 2 2 3 2 7 4" xfId="19517" xr:uid="{1ACA7793-2209-451B-B836-A102291FE655}"/>
    <cellStyle name="Normal 5 2 2 3 2 8" xfId="4792" xr:uid="{00000000-0005-0000-0000-0000BE170000}"/>
    <cellStyle name="Normal 5 2 2 3 2 8 2" xfId="13234" xr:uid="{6D270B62-6545-4DAB-B947-3BF47A8E4D26}"/>
    <cellStyle name="Normal 5 2 2 3 2 8 3" xfId="21669" xr:uid="{E53A655E-AF77-4B75-B14E-9C0B73846698}"/>
    <cellStyle name="Normal 5 2 2 3 2 9" xfId="9016" xr:uid="{2B61C225-03A8-47F3-842D-ED131D8F58F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2 2 2" xfId="15794" xr:uid="{69A95663-BECB-4312-B98D-0F6DA0652FD9}"/>
    <cellStyle name="Normal 5 2 2 3 3 2 2 2 3" xfId="24229" xr:uid="{BB971CB4-C16E-429B-8044-92AFD22B27D1}"/>
    <cellStyle name="Normal 5 2 2 3 3 2 2 3" xfId="11576" xr:uid="{102A6C97-2828-46A3-84F3-2A8C227E1D62}"/>
    <cellStyle name="Normal 5 2 2 3 3 2 2 4" xfId="20012" xr:uid="{5E9F71A8-5D25-4ABF-8FF1-7382257D276D}"/>
    <cellStyle name="Normal 5 2 2 3 3 2 3" xfId="5207" xr:uid="{00000000-0005-0000-0000-0000C3170000}"/>
    <cellStyle name="Normal 5 2 2 3 3 2 3 2" xfId="13649" xr:uid="{9B68D601-8791-4B00-B37A-D044D5970D19}"/>
    <cellStyle name="Normal 5 2 2 3 3 2 3 3" xfId="22084" xr:uid="{5F992F10-995A-42E5-B385-120A6B661FFF}"/>
    <cellStyle name="Normal 5 2 2 3 3 2 4" xfId="9431" xr:uid="{A480AA95-7FC9-452B-8874-9D40DD3A9C0E}"/>
    <cellStyle name="Normal 5 2 2 3 3 2 5" xfId="17867" xr:uid="{59B66372-8E64-4AEB-8879-050CCA935F45}"/>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2 2 2" xfId="16207" xr:uid="{837EB118-F12D-4164-B9C9-91ACD76F321D}"/>
    <cellStyle name="Normal 5 2 2 3 3 3 2 2 3" xfId="24642" xr:uid="{CF5A281F-0AF7-4216-9DA7-59925CBF7204}"/>
    <cellStyle name="Normal 5 2 2 3 3 3 2 3" xfId="11989" xr:uid="{B802329E-2F88-4180-8E49-F3410B72AB4C}"/>
    <cellStyle name="Normal 5 2 2 3 3 3 2 4" xfId="20425" xr:uid="{FAAFC7F1-F332-4804-95DE-5CFA8D459644}"/>
    <cellStyle name="Normal 5 2 2 3 3 3 3" xfId="5620" xr:uid="{00000000-0005-0000-0000-0000C7170000}"/>
    <cellStyle name="Normal 5 2 2 3 3 3 3 2" xfId="14062" xr:uid="{A8ED9112-FFD0-43B5-B8FC-07735BFD6E34}"/>
    <cellStyle name="Normal 5 2 2 3 3 3 3 3" xfId="22497" xr:uid="{E7F0B5DE-8337-455A-A024-412CA1FAC9FD}"/>
    <cellStyle name="Normal 5 2 2 3 3 3 4" xfId="9844" xr:uid="{EACF22A0-99B9-42E5-86EE-9ECA4BD21E96}"/>
    <cellStyle name="Normal 5 2 2 3 3 3 5" xfId="18280" xr:uid="{4FB34844-B5AA-4AEB-BA81-0AE4F0C0ED72}"/>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2 2 2" xfId="16620" xr:uid="{573826A3-7DD6-4910-AC93-9E81DC3174C1}"/>
    <cellStyle name="Normal 5 2 2 3 3 4 2 2 3" xfId="25055" xr:uid="{660D1DFE-E455-4136-846F-F0A7A33A55C3}"/>
    <cellStyle name="Normal 5 2 2 3 3 4 2 3" xfId="12402" xr:uid="{9BB22661-E0BC-45B6-A466-F468EAEF9CFE}"/>
    <cellStyle name="Normal 5 2 2 3 3 4 2 4" xfId="20838" xr:uid="{122C18D5-A582-46EF-8568-2D5262AE0F80}"/>
    <cellStyle name="Normal 5 2 2 3 3 4 3" xfId="6033" xr:uid="{00000000-0005-0000-0000-0000CB170000}"/>
    <cellStyle name="Normal 5 2 2 3 3 4 3 2" xfId="14475" xr:uid="{EA81888E-C663-4FB2-BF3E-35A957149CD5}"/>
    <cellStyle name="Normal 5 2 2 3 3 4 3 3" xfId="22910" xr:uid="{41AF4396-C147-4EC4-8207-4927D9BC33E0}"/>
    <cellStyle name="Normal 5 2 2 3 3 4 4" xfId="10257" xr:uid="{212BFF8A-2943-488A-9588-0FC97062C7B1}"/>
    <cellStyle name="Normal 5 2 2 3 3 4 5" xfId="18693" xr:uid="{2DA1D133-793B-4399-87FE-8FC2F09DE238}"/>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2 2 2" xfId="17033" xr:uid="{97DEBDC4-0F0D-4C61-8CFC-7DB5DDC742BE}"/>
    <cellStyle name="Normal 5 2 2 3 3 5 2 2 3" xfId="25468" xr:uid="{9D62B9F8-B04E-4FD4-8F36-9237817A9418}"/>
    <cellStyle name="Normal 5 2 2 3 3 5 2 3" xfId="12815" xr:uid="{A9CB166B-7377-49D2-B192-9E03606AC043}"/>
    <cellStyle name="Normal 5 2 2 3 3 5 2 4" xfId="21251" xr:uid="{0484C750-EEFA-4399-B089-F0111ACF702F}"/>
    <cellStyle name="Normal 5 2 2 3 3 5 3" xfId="6446" xr:uid="{00000000-0005-0000-0000-0000CF170000}"/>
    <cellStyle name="Normal 5 2 2 3 3 5 3 2" xfId="14888" xr:uid="{783CB9B9-1DDD-4DA8-BF46-C197D06CC440}"/>
    <cellStyle name="Normal 5 2 2 3 3 5 3 3" xfId="23323" xr:uid="{E6497C10-F0DE-4824-A6ED-3763D0BE9590}"/>
    <cellStyle name="Normal 5 2 2 3 3 5 4" xfId="10670" xr:uid="{4FF93462-236D-4582-9675-4217F724E5EE}"/>
    <cellStyle name="Normal 5 2 2 3 3 5 5" xfId="19106" xr:uid="{2311ECF5-C807-41EB-9CFB-E0663E67DD5B}"/>
    <cellStyle name="Normal 5 2 2 3 3 6" xfId="2575" xr:uid="{00000000-0005-0000-0000-0000D0170000}"/>
    <cellStyle name="Normal 5 2 2 3 3 6 2" xfId="6859" xr:uid="{00000000-0005-0000-0000-0000D1170000}"/>
    <cellStyle name="Normal 5 2 2 3 3 6 2 2" xfId="15301" xr:uid="{F2E16CC3-BFFE-4BDB-8021-D6B3E06D7812}"/>
    <cellStyle name="Normal 5 2 2 3 3 6 2 3" xfId="23736" xr:uid="{9D729A34-70E4-4CB7-9240-A1AC50A28B28}"/>
    <cellStyle name="Normal 5 2 2 3 3 6 3" xfId="11083" xr:uid="{A6F41E4C-9387-4CDA-9738-BE84361EBB14}"/>
    <cellStyle name="Normal 5 2 2 3 3 6 4" xfId="19519" xr:uid="{D962D5CD-84EF-49A0-B5CE-9416B137FD91}"/>
    <cellStyle name="Normal 5 2 2 3 3 7" xfId="4794" xr:uid="{00000000-0005-0000-0000-0000D2170000}"/>
    <cellStyle name="Normal 5 2 2 3 3 7 2" xfId="13236" xr:uid="{37143436-A758-4013-8F51-7BCFB0E1BC9A}"/>
    <cellStyle name="Normal 5 2 2 3 3 7 3" xfId="21671" xr:uid="{C21BDFA7-ACC6-444E-A69B-4F220BDB2F1D}"/>
    <cellStyle name="Normal 5 2 2 3 3 8" xfId="9018" xr:uid="{CAED3F6C-E44D-4385-B8FC-2C0A6205BFE4}"/>
    <cellStyle name="Normal 5 2 2 3 3 9" xfId="17454" xr:uid="{C693F773-664A-4B78-957A-28ACF0E8503D}"/>
    <cellStyle name="Normal 5 2 2 3 4" xfId="891" xr:uid="{00000000-0005-0000-0000-0000D3170000}"/>
    <cellStyle name="Normal 5 2 2 3 4 2" xfId="3126" xr:uid="{00000000-0005-0000-0000-0000D4170000}"/>
    <cellStyle name="Normal 5 2 2 3 4 2 2" xfId="7349" xr:uid="{00000000-0005-0000-0000-0000D5170000}"/>
    <cellStyle name="Normal 5 2 2 3 4 2 2 2" xfId="15791" xr:uid="{3369686D-492D-444E-938E-A63FD588E24A}"/>
    <cellStyle name="Normal 5 2 2 3 4 2 2 3" xfId="24226" xr:uid="{EF98E23F-9F78-4E03-82E5-4BC7FA337666}"/>
    <cellStyle name="Normal 5 2 2 3 4 2 3" xfId="11573" xr:uid="{A0AED85A-419F-43CC-8DE0-3A3326623DEE}"/>
    <cellStyle name="Normal 5 2 2 3 4 2 4" xfId="20009" xr:uid="{85D506FA-DEBC-43AF-86EE-107AE967D169}"/>
    <cellStyle name="Normal 5 2 2 3 4 3" xfId="5204" xr:uid="{00000000-0005-0000-0000-0000D6170000}"/>
    <cellStyle name="Normal 5 2 2 3 4 3 2" xfId="13646" xr:uid="{8874781C-5DB0-4516-B0D5-CAAF15C480A1}"/>
    <cellStyle name="Normal 5 2 2 3 4 3 3" xfId="22081" xr:uid="{799B9C8A-22EB-4A7F-A8C5-1FDC8CA0BD9C}"/>
    <cellStyle name="Normal 5 2 2 3 4 4" xfId="9428" xr:uid="{BF34CE78-CB04-4ACC-A449-C2574E5637ED}"/>
    <cellStyle name="Normal 5 2 2 3 4 5" xfId="17864" xr:uid="{A4B82656-6EAF-4DBF-8ADE-C64EC682D40D}"/>
    <cellStyle name="Normal 5 2 2 3 5" xfId="1309" xr:uid="{00000000-0005-0000-0000-0000D7170000}"/>
    <cellStyle name="Normal 5 2 2 3 5 2" xfId="3539" xr:uid="{00000000-0005-0000-0000-0000D8170000}"/>
    <cellStyle name="Normal 5 2 2 3 5 2 2" xfId="7762" xr:uid="{00000000-0005-0000-0000-0000D9170000}"/>
    <cellStyle name="Normal 5 2 2 3 5 2 2 2" xfId="16204" xr:uid="{B1AEBB74-EE1E-40B0-89FE-51A086DAF868}"/>
    <cellStyle name="Normal 5 2 2 3 5 2 2 3" xfId="24639" xr:uid="{E33413F4-2306-4C0E-BCD4-6DDD36F8C9B8}"/>
    <cellStyle name="Normal 5 2 2 3 5 2 3" xfId="11986" xr:uid="{29584427-58CD-4D46-8328-362EA63DD15D}"/>
    <cellStyle name="Normal 5 2 2 3 5 2 4" xfId="20422" xr:uid="{F5360D44-EF74-4C9E-98C1-5DD7F7EFF261}"/>
    <cellStyle name="Normal 5 2 2 3 5 3" xfId="5617" xr:uid="{00000000-0005-0000-0000-0000DA170000}"/>
    <cellStyle name="Normal 5 2 2 3 5 3 2" xfId="14059" xr:uid="{26C46B67-83C7-4CB4-8C59-644326284199}"/>
    <cellStyle name="Normal 5 2 2 3 5 3 3" xfId="22494" xr:uid="{802FA6EB-7CFE-482A-86FA-803B727B6327}"/>
    <cellStyle name="Normal 5 2 2 3 5 4" xfId="9841" xr:uid="{01F1F8AE-4DCB-48A7-8FEC-73ED1E1CE545}"/>
    <cellStyle name="Normal 5 2 2 3 5 5" xfId="18277" xr:uid="{5B82FD18-EB8A-470B-B46E-9AB2742F0AAC}"/>
    <cellStyle name="Normal 5 2 2 3 6" xfId="1722" xr:uid="{00000000-0005-0000-0000-0000DB170000}"/>
    <cellStyle name="Normal 5 2 2 3 6 2" xfId="3952" xr:uid="{00000000-0005-0000-0000-0000DC170000}"/>
    <cellStyle name="Normal 5 2 2 3 6 2 2" xfId="8175" xr:uid="{00000000-0005-0000-0000-0000DD170000}"/>
    <cellStyle name="Normal 5 2 2 3 6 2 2 2" xfId="16617" xr:uid="{E6A73DFF-A234-44DB-B910-42E140DFE601}"/>
    <cellStyle name="Normal 5 2 2 3 6 2 2 3" xfId="25052" xr:uid="{B4AE309F-F391-41B4-89EB-6C82466C1DDE}"/>
    <cellStyle name="Normal 5 2 2 3 6 2 3" xfId="12399" xr:uid="{536E5F9D-F5CD-4222-85F9-8E8E27EFB8A6}"/>
    <cellStyle name="Normal 5 2 2 3 6 2 4" xfId="20835" xr:uid="{AA7C8E88-EACF-4887-968D-12F6BAAAE6AC}"/>
    <cellStyle name="Normal 5 2 2 3 6 3" xfId="6030" xr:uid="{00000000-0005-0000-0000-0000DE170000}"/>
    <cellStyle name="Normal 5 2 2 3 6 3 2" xfId="14472" xr:uid="{B713C34C-CD2D-43F3-BD47-0B428C6068D3}"/>
    <cellStyle name="Normal 5 2 2 3 6 3 3" xfId="22907" xr:uid="{F2312D17-5D5B-46DE-B3C7-E6B69F8EF1C9}"/>
    <cellStyle name="Normal 5 2 2 3 6 4" xfId="10254" xr:uid="{64B43C10-4508-44CB-8B0B-A193A492C8A1}"/>
    <cellStyle name="Normal 5 2 2 3 6 5" xfId="18690" xr:uid="{9259CF98-FF55-4C8A-968F-C03597D12E47}"/>
    <cellStyle name="Normal 5 2 2 3 7" xfId="2136" xr:uid="{00000000-0005-0000-0000-0000DF170000}"/>
    <cellStyle name="Normal 5 2 2 3 7 2" xfId="4365" xr:uid="{00000000-0005-0000-0000-0000E0170000}"/>
    <cellStyle name="Normal 5 2 2 3 7 2 2" xfId="8588" xr:uid="{00000000-0005-0000-0000-0000E1170000}"/>
    <cellStyle name="Normal 5 2 2 3 7 2 2 2" xfId="17030" xr:uid="{861B00B1-C70E-43E6-8D66-D651A33BCF73}"/>
    <cellStyle name="Normal 5 2 2 3 7 2 2 3" xfId="25465" xr:uid="{2AC40D47-9A73-4DDA-A303-3316202F29CB}"/>
    <cellStyle name="Normal 5 2 2 3 7 2 3" xfId="12812" xr:uid="{E69ED858-683B-4082-8A79-C5BD76385476}"/>
    <cellStyle name="Normal 5 2 2 3 7 2 4" xfId="21248" xr:uid="{93BB3B63-70C9-4594-8CF0-4E8C51D1B032}"/>
    <cellStyle name="Normal 5 2 2 3 7 3" xfId="6443" xr:uid="{00000000-0005-0000-0000-0000E2170000}"/>
    <cellStyle name="Normal 5 2 2 3 7 3 2" xfId="14885" xr:uid="{A27744BB-F201-4892-8306-AE020F6B484A}"/>
    <cellStyle name="Normal 5 2 2 3 7 3 3" xfId="23320" xr:uid="{D5835E0A-1BB8-4D34-903C-00EF50A0DFED}"/>
    <cellStyle name="Normal 5 2 2 3 7 4" xfId="10667" xr:uid="{07AD7596-B18C-4C5C-9E52-58D58B388111}"/>
    <cellStyle name="Normal 5 2 2 3 7 5" xfId="19103" xr:uid="{632B744E-0F3F-49EB-8830-6F1BB001375D}"/>
    <cellStyle name="Normal 5 2 2 3 8" xfId="2572" xr:uid="{00000000-0005-0000-0000-0000E3170000}"/>
    <cellStyle name="Normal 5 2 2 3 8 2" xfId="6856" xr:uid="{00000000-0005-0000-0000-0000E4170000}"/>
    <cellStyle name="Normal 5 2 2 3 8 2 2" xfId="15298" xr:uid="{206F90F7-D9DB-423A-93F2-719011D88C8F}"/>
    <cellStyle name="Normal 5 2 2 3 8 2 3" xfId="23733" xr:uid="{B1737871-7F5B-4233-90C7-D7B36E486AF0}"/>
    <cellStyle name="Normal 5 2 2 3 8 3" xfId="11080" xr:uid="{E25D93CA-AAF3-45C6-BB58-D487A732E235}"/>
    <cellStyle name="Normal 5 2 2 3 8 4" xfId="19516" xr:uid="{01C028DA-21D3-4428-A035-19E46090D711}"/>
    <cellStyle name="Normal 5 2 2 3 9" xfId="4791" xr:uid="{00000000-0005-0000-0000-0000E5170000}"/>
    <cellStyle name="Normal 5 2 2 3 9 2" xfId="13233" xr:uid="{C5E15FB6-63B3-4B7A-9E64-19FED3BAAEE1}"/>
    <cellStyle name="Normal 5 2 2 3 9 3" xfId="21668" xr:uid="{2A559A48-B44B-4656-B36B-5E51AC29B917}"/>
    <cellStyle name="Normal 5 2 2 4" xfId="421" xr:uid="{00000000-0005-0000-0000-0000E6170000}"/>
    <cellStyle name="Normal 5 2 2 4 10" xfId="17455" xr:uid="{CF5E18CF-3F82-4BB0-8546-5C2AC0F1936E}"/>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2 2 2" xfId="15796" xr:uid="{F854244C-0DC9-4C41-98CF-5095791F2D56}"/>
    <cellStyle name="Normal 5 2 2 4 2 2 2 2 3" xfId="24231" xr:uid="{FD5C8573-7B23-4A3C-9A0D-21E08D6F2929}"/>
    <cellStyle name="Normal 5 2 2 4 2 2 2 3" xfId="11578" xr:uid="{9D0B3350-DD52-4B9E-9FBD-B15DCFC06BDF}"/>
    <cellStyle name="Normal 5 2 2 4 2 2 2 4" xfId="20014" xr:uid="{D416367A-091A-4B4E-ACB2-EA3869861BC9}"/>
    <cellStyle name="Normal 5 2 2 4 2 2 3" xfId="5209" xr:uid="{00000000-0005-0000-0000-0000EB170000}"/>
    <cellStyle name="Normal 5 2 2 4 2 2 3 2" xfId="13651" xr:uid="{05F8A6D2-E0D7-4347-8BCD-23A499FE8858}"/>
    <cellStyle name="Normal 5 2 2 4 2 2 3 3" xfId="22086" xr:uid="{1FBCE409-6F64-4CB1-AFA2-C32BE7769F3F}"/>
    <cellStyle name="Normal 5 2 2 4 2 2 4" xfId="9433" xr:uid="{14C95523-ABB9-4CAF-802C-1EB2C0D215AA}"/>
    <cellStyle name="Normal 5 2 2 4 2 2 5" xfId="17869" xr:uid="{E6B6C9F4-8D8E-4B45-BC5B-199231B723A2}"/>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2 2 2" xfId="16209" xr:uid="{FCE8F2A2-50A2-428F-BE0F-B93617A087B0}"/>
    <cellStyle name="Normal 5 2 2 4 2 3 2 2 3" xfId="24644" xr:uid="{82306962-6A22-49DD-87EB-4754C97CB4A9}"/>
    <cellStyle name="Normal 5 2 2 4 2 3 2 3" xfId="11991" xr:uid="{5924E3ED-E5A5-4FCF-ACC6-888084E4B365}"/>
    <cellStyle name="Normal 5 2 2 4 2 3 2 4" xfId="20427" xr:uid="{CB64AB68-177E-4A82-B610-9F6C15DD066D}"/>
    <cellStyle name="Normal 5 2 2 4 2 3 3" xfId="5622" xr:uid="{00000000-0005-0000-0000-0000EF170000}"/>
    <cellStyle name="Normal 5 2 2 4 2 3 3 2" xfId="14064" xr:uid="{81D4CC00-BB89-47C0-883F-BFFBDF824CF6}"/>
    <cellStyle name="Normal 5 2 2 4 2 3 3 3" xfId="22499" xr:uid="{C768F2AE-28EB-4AAA-A59D-DA765C34D9E3}"/>
    <cellStyle name="Normal 5 2 2 4 2 3 4" xfId="9846" xr:uid="{3FD5BE36-E065-4E5B-80B6-0416BB5B12B5}"/>
    <cellStyle name="Normal 5 2 2 4 2 3 5" xfId="18282" xr:uid="{E4F2C88F-0F2A-4652-8352-08424945D5EE}"/>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2 2 2" xfId="16622" xr:uid="{6DD097F5-1CDF-4496-B222-4FDCB9E84CE9}"/>
    <cellStyle name="Normal 5 2 2 4 2 4 2 2 3" xfId="25057" xr:uid="{F9E404ED-7F36-4D20-BC4A-115FD21D7BD7}"/>
    <cellStyle name="Normal 5 2 2 4 2 4 2 3" xfId="12404" xr:uid="{BBB6B7CA-3FD5-486E-8F5C-E7A3ECBDE141}"/>
    <cellStyle name="Normal 5 2 2 4 2 4 2 4" xfId="20840" xr:uid="{09084561-825C-44AD-A317-676D68A83C19}"/>
    <cellStyle name="Normal 5 2 2 4 2 4 3" xfId="6035" xr:uid="{00000000-0005-0000-0000-0000F3170000}"/>
    <cellStyle name="Normal 5 2 2 4 2 4 3 2" xfId="14477" xr:uid="{450862A8-A478-48E2-9F38-5211AB6C87FF}"/>
    <cellStyle name="Normal 5 2 2 4 2 4 3 3" xfId="22912" xr:uid="{0826B399-0C05-4A82-A065-43A62644F4B0}"/>
    <cellStyle name="Normal 5 2 2 4 2 4 4" xfId="10259" xr:uid="{8374811C-CDBA-42FB-99DE-3C7BA66F8952}"/>
    <cellStyle name="Normal 5 2 2 4 2 4 5" xfId="18695" xr:uid="{6692A554-AE7D-4828-8391-52AA1D8A9E76}"/>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2 2 2" xfId="17035" xr:uid="{D41F6A3D-71EF-45D6-80AA-C3B3B1016F91}"/>
    <cellStyle name="Normal 5 2 2 4 2 5 2 2 3" xfId="25470" xr:uid="{399DB9FB-058A-4B04-ACAE-FC31D9C3BEE0}"/>
    <cellStyle name="Normal 5 2 2 4 2 5 2 3" xfId="12817" xr:uid="{D9C92843-7BF5-4BB8-8E08-D713373F9290}"/>
    <cellStyle name="Normal 5 2 2 4 2 5 2 4" xfId="21253" xr:uid="{E3987AD3-006C-4727-9679-68EFCEB5C9C1}"/>
    <cellStyle name="Normal 5 2 2 4 2 5 3" xfId="6448" xr:uid="{00000000-0005-0000-0000-0000F7170000}"/>
    <cellStyle name="Normal 5 2 2 4 2 5 3 2" xfId="14890" xr:uid="{C5507394-DCFD-4AE2-BF27-B31B3A0B2BAB}"/>
    <cellStyle name="Normal 5 2 2 4 2 5 3 3" xfId="23325" xr:uid="{50F37D91-1C10-443A-9BB4-258931D2F234}"/>
    <cellStyle name="Normal 5 2 2 4 2 5 4" xfId="10672" xr:uid="{5AA7D535-B5CD-43FB-BE31-3BA31B7A1949}"/>
    <cellStyle name="Normal 5 2 2 4 2 5 5" xfId="19108" xr:uid="{7DAF731D-7931-4108-8E82-6159646416A2}"/>
    <cellStyle name="Normal 5 2 2 4 2 6" xfId="2577" xr:uid="{00000000-0005-0000-0000-0000F8170000}"/>
    <cellStyle name="Normal 5 2 2 4 2 6 2" xfId="6861" xr:uid="{00000000-0005-0000-0000-0000F9170000}"/>
    <cellStyle name="Normal 5 2 2 4 2 6 2 2" xfId="15303" xr:uid="{4377BC0B-714A-4993-A366-320FF2B60886}"/>
    <cellStyle name="Normal 5 2 2 4 2 6 2 3" xfId="23738" xr:uid="{127C5D91-3F73-4C06-B0D4-A4290C070644}"/>
    <cellStyle name="Normal 5 2 2 4 2 6 3" xfId="11085" xr:uid="{9AC49C25-BAAB-486A-9913-AA2D42019758}"/>
    <cellStyle name="Normal 5 2 2 4 2 6 4" xfId="19521" xr:uid="{5EE25EFE-1635-4300-AAA9-92D385A6B030}"/>
    <cellStyle name="Normal 5 2 2 4 2 7" xfId="4796" xr:uid="{00000000-0005-0000-0000-0000FA170000}"/>
    <cellStyle name="Normal 5 2 2 4 2 7 2" xfId="13238" xr:uid="{184BAB36-7091-4683-953C-503D417F4F6A}"/>
    <cellStyle name="Normal 5 2 2 4 2 7 3" xfId="21673" xr:uid="{2F9F69F3-06D5-402C-AE57-481FEF191EEB}"/>
    <cellStyle name="Normal 5 2 2 4 2 8" xfId="9020" xr:uid="{A9539A7E-86EE-4E26-921B-E4AB1FE45159}"/>
    <cellStyle name="Normal 5 2 2 4 2 9" xfId="17456" xr:uid="{2C534810-BB4F-403F-AB52-E505ECFA2EBE}"/>
    <cellStyle name="Normal 5 2 2 4 3" xfId="895" xr:uid="{00000000-0005-0000-0000-0000FB170000}"/>
    <cellStyle name="Normal 5 2 2 4 3 2" xfId="3130" xr:uid="{00000000-0005-0000-0000-0000FC170000}"/>
    <cellStyle name="Normal 5 2 2 4 3 2 2" xfId="7353" xr:uid="{00000000-0005-0000-0000-0000FD170000}"/>
    <cellStyle name="Normal 5 2 2 4 3 2 2 2" xfId="15795" xr:uid="{9DFC53C4-97E4-487A-A986-7075A235849C}"/>
    <cellStyle name="Normal 5 2 2 4 3 2 2 3" xfId="24230" xr:uid="{75A7902D-4045-4AEA-B6FF-81DA8513553B}"/>
    <cellStyle name="Normal 5 2 2 4 3 2 3" xfId="11577" xr:uid="{75AB3A61-4E91-4D7D-AE38-1E854A92FD54}"/>
    <cellStyle name="Normal 5 2 2 4 3 2 4" xfId="20013" xr:uid="{DEE8F436-F1F3-43AB-A0D6-92C91004D716}"/>
    <cellStyle name="Normal 5 2 2 4 3 3" xfId="5208" xr:uid="{00000000-0005-0000-0000-0000FE170000}"/>
    <cellStyle name="Normal 5 2 2 4 3 3 2" xfId="13650" xr:uid="{BF0E6978-5265-40E9-9145-597FAE2F6FE5}"/>
    <cellStyle name="Normal 5 2 2 4 3 3 3" xfId="22085" xr:uid="{D752FF9E-D089-42E8-B87C-5931C6047506}"/>
    <cellStyle name="Normal 5 2 2 4 3 4" xfId="9432" xr:uid="{C05E62AB-B534-4B43-AB59-E6D0E053BBE6}"/>
    <cellStyle name="Normal 5 2 2 4 3 5" xfId="17868" xr:uid="{80BE1D97-7DBA-4891-99B9-B5488BC94F59}"/>
    <cellStyle name="Normal 5 2 2 4 4" xfId="1313" xr:uid="{00000000-0005-0000-0000-0000FF170000}"/>
    <cellStyle name="Normal 5 2 2 4 4 2" xfId="3543" xr:uid="{00000000-0005-0000-0000-000000180000}"/>
    <cellStyle name="Normal 5 2 2 4 4 2 2" xfId="7766" xr:uid="{00000000-0005-0000-0000-000001180000}"/>
    <cellStyle name="Normal 5 2 2 4 4 2 2 2" xfId="16208" xr:uid="{D4C7AC82-ACE3-411B-8D54-1A29FCA5DBBB}"/>
    <cellStyle name="Normal 5 2 2 4 4 2 2 3" xfId="24643" xr:uid="{BD2F16B9-ACDB-4E0C-90BC-DAB576BCBCEB}"/>
    <cellStyle name="Normal 5 2 2 4 4 2 3" xfId="11990" xr:uid="{15892D68-54C3-4A68-97B1-A6793EE9652F}"/>
    <cellStyle name="Normal 5 2 2 4 4 2 4" xfId="20426" xr:uid="{DADB2CF1-EB75-4F19-9F59-C17EF0994073}"/>
    <cellStyle name="Normal 5 2 2 4 4 3" xfId="5621" xr:uid="{00000000-0005-0000-0000-000002180000}"/>
    <cellStyle name="Normal 5 2 2 4 4 3 2" xfId="14063" xr:uid="{B68A3B51-C5B1-4D13-BDA2-52DABC14E151}"/>
    <cellStyle name="Normal 5 2 2 4 4 3 3" xfId="22498" xr:uid="{EC9E5F7B-D821-41BE-9B3A-68011FCBC041}"/>
    <cellStyle name="Normal 5 2 2 4 4 4" xfId="9845" xr:uid="{2E72B0E5-563D-4AFD-99FD-9F7CA12AC70A}"/>
    <cellStyle name="Normal 5 2 2 4 4 5" xfId="18281" xr:uid="{B93A395D-BC07-4B03-95AF-6A0F03F2ACF3}"/>
    <cellStyle name="Normal 5 2 2 4 5" xfId="1726" xr:uid="{00000000-0005-0000-0000-000003180000}"/>
    <cellStyle name="Normal 5 2 2 4 5 2" xfId="3956" xr:uid="{00000000-0005-0000-0000-000004180000}"/>
    <cellStyle name="Normal 5 2 2 4 5 2 2" xfId="8179" xr:uid="{00000000-0005-0000-0000-000005180000}"/>
    <cellStyle name="Normal 5 2 2 4 5 2 2 2" xfId="16621" xr:uid="{160C2278-0DAA-4B04-8588-239597098CEF}"/>
    <cellStyle name="Normal 5 2 2 4 5 2 2 3" xfId="25056" xr:uid="{10974848-0A61-4BD6-8E7E-E4A719D01E90}"/>
    <cellStyle name="Normal 5 2 2 4 5 2 3" xfId="12403" xr:uid="{1DD0F897-99B9-492F-BD60-4AAACFA28F8B}"/>
    <cellStyle name="Normal 5 2 2 4 5 2 4" xfId="20839" xr:uid="{61DEB70F-7DD9-4338-8023-0B8B69CF75CD}"/>
    <cellStyle name="Normal 5 2 2 4 5 3" xfId="6034" xr:uid="{00000000-0005-0000-0000-000006180000}"/>
    <cellStyle name="Normal 5 2 2 4 5 3 2" xfId="14476" xr:uid="{FEA905BC-859A-46DB-AE47-2C29700EF1A1}"/>
    <cellStyle name="Normal 5 2 2 4 5 3 3" xfId="22911" xr:uid="{39585BE6-9548-4592-9DA6-781476D45460}"/>
    <cellStyle name="Normal 5 2 2 4 5 4" xfId="10258" xr:uid="{3E396BC5-5D4A-452F-AD58-F17A3EFFF713}"/>
    <cellStyle name="Normal 5 2 2 4 5 5" xfId="18694" xr:uid="{6F7BD740-851B-4875-ADC6-9158BF80721C}"/>
    <cellStyle name="Normal 5 2 2 4 6" xfId="2140" xr:uid="{00000000-0005-0000-0000-000007180000}"/>
    <cellStyle name="Normal 5 2 2 4 6 2" xfId="4369" xr:uid="{00000000-0005-0000-0000-000008180000}"/>
    <cellStyle name="Normal 5 2 2 4 6 2 2" xfId="8592" xr:uid="{00000000-0005-0000-0000-000009180000}"/>
    <cellStyle name="Normal 5 2 2 4 6 2 2 2" xfId="17034" xr:uid="{296A85D0-35E5-4799-84EF-DF5448D86A52}"/>
    <cellStyle name="Normal 5 2 2 4 6 2 2 3" xfId="25469" xr:uid="{FDAB6B33-7B8F-4CD7-BBAF-D75885036811}"/>
    <cellStyle name="Normal 5 2 2 4 6 2 3" xfId="12816" xr:uid="{2E845BD1-FAE4-472F-A137-209383E8D010}"/>
    <cellStyle name="Normal 5 2 2 4 6 2 4" xfId="21252" xr:uid="{6766C033-A278-4420-B333-2FB775FA9036}"/>
    <cellStyle name="Normal 5 2 2 4 6 3" xfId="6447" xr:uid="{00000000-0005-0000-0000-00000A180000}"/>
    <cellStyle name="Normal 5 2 2 4 6 3 2" xfId="14889" xr:uid="{63ECC018-19BC-447C-9D56-5E921EA38DD1}"/>
    <cellStyle name="Normal 5 2 2 4 6 3 3" xfId="23324" xr:uid="{0BE9370A-26D9-4663-9C8F-944DF5CAF47E}"/>
    <cellStyle name="Normal 5 2 2 4 6 4" xfId="10671" xr:uid="{75F7F2A8-292D-46F3-8C76-091E2DBC1A01}"/>
    <cellStyle name="Normal 5 2 2 4 6 5" xfId="19107" xr:uid="{DE56DCB0-A06D-4E36-8267-2F59667CA00B}"/>
    <cellStyle name="Normal 5 2 2 4 7" xfId="2576" xr:uid="{00000000-0005-0000-0000-00000B180000}"/>
    <cellStyle name="Normal 5 2 2 4 7 2" xfId="6860" xr:uid="{00000000-0005-0000-0000-00000C180000}"/>
    <cellStyle name="Normal 5 2 2 4 7 2 2" xfId="15302" xr:uid="{B2AA65AA-FE4D-4FE5-A678-8FB360A8A392}"/>
    <cellStyle name="Normal 5 2 2 4 7 2 3" xfId="23737" xr:uid="{AC25331C-907E-42E9-8A51-099AB8FAB654}"/>
    <cellStyle name="Normal 5 2 2 4 7 3" xfId="11084" xr:uid="{F0DE2B5B-2EB0-4A2E-9F05-7BB6CEA6FAD0}"/>
    <cellStyle name="Normal 5 2 2 4 7 4" xfId="19520" xr:uid="{2687868C-FA3E-40C0-8B16-8DD36B983ED3}"/>
    <cellStyle name="Normal 5 2 2 4 8" xfId="4795" xr:uid="{00000000-0005-0000-0000-00000D180000}"/>
    <cellStyle name="Normal 5 2 2 4 8 2" xfId="13237" xr:uid="{5F5F44D7-34DE-49F7-8DC8-6AAA52C2A559}"/>
    <cellStyle name="Normal 5 2 2 4 8 3" xfId="21672" xr:uid="{D282EC5B-859F-4131-8679-46AD3439111A}"/>
    <cellStyle name="Normal 5 2 2 4 9" xfId="9019" xr:uid="{127F5C72-1DBC-4938-AAA9-699C09E17E56}"/>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2 2 2" xfId="15797" xr:uid="{EE10387B-C485-459C-91B2-680A85FED2B8}"/>
    <cellStyle name="Normal 5 2 2 5 2 2 2 3" xfId="24232" xr:uid="{88B3DB80-55A0-4D7A-AF77-E0B35C8239B3}"/>
    <cellStyle name="Normal 5 2 2 5 2 2 3" xfId="11579" xr:uid="{AFD4FDD6-44ED-4F62-A2AC-3CDD809E5894}"/>
    <cellStyle name="Normal 5 2 2 5 2 2 4" xfId="20015" xr:uid="{645F536D-C9BC-41EE-ACD1-6CE2C41D7BE2}"/>
    <cellStyle name="Normal 5 2 2 5 2 3" xfId="5210" xr:uid="{00000000-0005-0000-0000-000012180000}"/>
    <cellStyle name="Normal 5 2 2 5 2 3 2" xfId="13652" xr:uid="{4861E68F-298B-4E3C-A681-2F1E43D2EADE}"/>
    <cellStyle name="Normal 5 2 2 5 2 3 3" xfId="22087" xr:uid="{182CAAB7-E692-468B-8B2B-5DAFAD13FAF3}"/>
    <cellStyle name="Normal 5 2 2 5 2 4" xfId="9434" xr:uid="{D464D307-C48C-4EEA-B2B4-A27435D99413}"/>
    <cellStyle name="Normal 5 2 2 5 2 5" xfId="17870" xr:uid="{F671A1AD-133F-4B01-BFE3-E0A26A2A1576}"/>
    <cellStyle name="Normal 5 2 2 5 3" xfId="1315" xr:uid="{00000000-0005-0000-0000-000013180000}"/>
    <cellStyle name="Normal 5 2 2 5 3 2" xfId="3545" xr:uid="{00000000-0005-0000-0000-000014180000}"/>
    <cellStyle name="Normal 5 2 2 5 3 2 2" xfId="7768" xr:uid="{00000000-0005-0000-0000-000015180000}"/>
    <cellStyle name="Normal 5 2 2 5 3 2 2 2" xfId="16210" xr:uid="{93F93B6E-9592-45E6-9144-8B8977096922}"/>
    <cellStyle name="Normal 5 2 2 5 3 2 2 3" xfId="24645" xr:uid="{F577C6CD-0AC2-4775-B5AA-45C8F8CE7882}"/>
    <cellStyle name="Normal 5 2 2 5 3 2 3" xfId="11992" xr:uid="{918462CD-87DB-47D6-9209-BAE7526E6F58}"/>
    <cellStyle name="Normal 5 2 2 5 3 2 4" xfId="20428" xr:uid="{CC2DAAA9-0333-4326-9737-EADF94A91211}"/>
    <cellStyle name="Normal 5 2 2 5 3 3" xfId="5623" xr:uid="{00000000-0005-0000-0000-000016180000}"/>
    <cellStyle name="Normal 5 2 2 5 3 3 2" xfId="14065" xr:uid="{1A435C70-2456-4188-BECB-DB82A7FB4798}"/>
    <cellStyle name="Normal 5 2 2 5 3 3 3" xfId="22500" xr:uid="{2E3781C4-61B8-4B9E-99CC-7BF0C0B92479}"/>
    <cellStyle name="Normal 5 2 2 5 3 4" xfId="9847" xr:uid="{FB2B8FB6-C823-49DC-B82B-0EFDA1A3A4B5}"/>
    <cellStyle name="Normal 5 2 2 5 3 5" xfId="18283" xr:uid="{B8630B29-5508-4EC8-99CF-CF065E5FFFF6}"/>
    <cellStyle name="Normal 5 2 2 5 4" xfId="1728" xr:uid="{00000000-0005-0000-0000-000017180000}"/>
    <cellStyle name="Normal 5 2 2 5 4 2" xfId="3958" xr:uid="{00000000-0005-0000-0000-000018180000}"/>
    <cellStyle name="Normal 5 2 2 5 4 2 2" xfId="8181" xr:uid="{00000000-0005-0000-0000-000019180000}"/>
    <cellStyle name="Normal 5 2 2 5 4 2 2 2" xfId="16623" xr:uid="{65E5CA49-8A58-4DB3-B3BA-9152C2FD5B3F}"/>
    <cellStyle name="Normal 5 2 2 5 4 2 2 3" xfId="25058" xr:uid="{4D6E8B48-AE60-4E43-AFD0-BC70570B9279}"/>
    <cellStyle name="Normal 5 2 2 5 4 2 3" xfId="12405" xr:uid="{2C1367E2-19D4-47FA-9863-788F682658DA}"/>
    <cellStyle name="Normal 5 2 2 5 4 2 4" xfId="20841" xr:uid="{5B686BA2-A3AB-44C3-8805-B450CD026823}"/>
    <cellStyle name="Normal 5 2 2 5 4 3" xfId="6036" xr:uid="{00000000-0005-0000-0000-00001A180000}"/>
    <cellStyle name="Normal 5 2 2 5 4 3 2" xfId="14478" xr:uid="{185D9ED1-0C37-43ED-BD99-7FBBEA11C206}"/>
    <cellStyle name="Normal 5 2 2 5 4 3 3" xfId="22913" xr:uid="{8AAE5375-C4AC-4D9A-AA19-58DFE6FC3CE3}"/>
    <cellStyle name="Normal 5 2 2 5 4 4" xfId="10260" xr:uid="{14009ABA-606C-4F0F-B72F-45B2EC27ACE3}"/>
    <cellStyle name="Normal 5 2 2 5 4 5" xfId="18696" xr:uid="{736A933F-DE4D-47A0-AD9E-6AD31E936325}"/>
    <cellStyle name="Normal 5 2 2 5 5" xfId="2142" xr:uid="{00000000-0005-0000-0000-00001B180000}"/>
    <cellStyle name="Normal 5 2 2 5 5 2" xfId="4371" xr:uid="{00000000-0005-0000-0000-00001C180000}"/>
    <cellStyle name="Normal 5 2 2 5 5 2 2" xfId="8594" xr:uid="{00000000-0005-0000-0000-00001D180000}"/>
    <cellStyle name="Normal 5 2 2 5 5 2 2 2" xfId="17036" xr:uid="{BFD55F7A-E054-4A9C-AEA1-E009482952C4}"/>
    <cellStyle name="Normal 5 2 2 5 5 2 2 3" xfId="25471" xr:uid="{9AD501A1-2262-4FF4-A4B9-8E7907A8D8BD}"/>
    <cellStyle name="Normal 5 2 2 5 5 2 3" xfId="12818" xr:uid="{724862E4-39D6-4424-ACA9-0694A6A1B832}"/>
    <cellStyle name="Normal 5 2 2 5 5 2 4" xfId="21254" xr:uid="{8AE95D8D-7BF4-404E-BD98-3D0E11BA8974}"/>
    <cellStyle name="Normal 5 2 2 5 5 3" xfId="6449" xr:uid="{00000000-0005-0000-0000-00001E180000}"/>
    <cellStyle name="Normal 5 2 2 5 5 3 2" xfId="14891" xr:uid="{62EC161C-6C4B-4868-9012-7570685E4B6A}"/>
    <cellStyle name="Normal 5 2 2 5 5 3 3" xfId="23326" xr:uid="{F3017A90-026D-411C-A821-6DC6603354F7}"/>
    <cellStyle name="Normal 5 2 2 5 5 4" xfId="10673" xr:uid="{99D9B9BE-4076-4FE7-92C7-CD454B533A6F}"/>
    <cellStyle name="Normal 5 2 2 5 5 5" xfId="19109" xr:uid="{2EA0D8B9-B0C5-4749-96E0-3DE3A51B1C83}"/>
    <cellStyle name="Normal 5 2 2 5 6" xfId="2578" xr:uid="{00000000-0005-0000-0000-00001F180000}"/>
    <cellStyle name="Normal 5 2 2 5 6 2" xfId="6862" xr:uid="{00000000-0005-0000-0000-000020180000}"/>
    <cellStyle name="Normal 5 2 2 5 6 2 2" xfId="15304" xr:uid="{1B32EF6C-B29A-48B5-8B3A-206E57CBFCE1}"/>
    <cellStyle name="Normal 5 2 2 5 6 2 3" xfId="23739" xr:uid="{27531202-EAE5-4677-9911-B8F7D63EAE14}"/>
    <cellStyle name="Normal 5 2 2 5 6 3" xfId="11086" xr:uid="{88F4E0FA-431D-4E20-8825-7BCEB691CD9A}"/>
    <cellStyle name="Normal 5 2 2 5 6 4" xfId="19522" xr:uid="{6075E7BC-3262-4A5B-A03D-87056A7466C1}"/>
    <cellStyle name="Normal 5 2 2 5 7" xfId="4797" xr:uid="{00000000-0005-0000-0000-000021180000}"/>
    <cellStyle name="Normal 5 2 2 5 7 2" xfId="13239" xr:uid="{688CAC5D-B64A-4944-AC13-F08B9B4D49A9}"/>
    <cellStyle name="Normal 5 2 2 5 7 3" xfId="21674" xr:uid="{A2A2271A-6883-4E3F-AB80-C55C87EE8F04}"/>
    <cellStyle name="Normal 5 2 2 5 8" xfId="9021" xr:uid="{9DCD8031-3BFA-4644-9992-188AD9AA91D3}"/>
    <cellStyle name="Normal 5 2 2 5 9" xfId="17457" xr:uid="{461F242B-6441-4B58-A7F2-2801AB270D2E}"/>
    <cellStyle name="Normal 5 2 2 6" xfId="882" xr:uid="{00000000-0005-0000-0000-000022180000}"/>
    <cellStyle name="Normal 5 2 2 6 2" xfId="3117" xr:uid="{00000000-0005-0000-0000-000023180000}"/>
    <cellStyle name="Normal 5 2 2 6 2 2" xfId="7340" xr:uid="{00000000-0005-0000-0000-000024180000}"/>
    <cellStyle name="Normal 5 2 2 6 2 2 2" xfId="15782" xr:uid="{C965192B-D3D3-40A6-AB4B-4F1E7E5769B6}"/>
    <cellStyle name="Normal 5 2 2 6 2 2 3" xfId="24217" xr:uid="{7319B634-5D97-4D88-B449-AD2DFDBC4640}"/>
    <cellStyle name="Normal 5 2 2 6 2 3" xfId="11564" xr:uid="{687C1F4B-4B10-4873-95F1-26859538EFFE}"/>
    <cellStyle name="Normal 5 2 2 6 2 4" xfId="20000" xr:uid="{5ABF06E9-B6F5-444F-9C78-0ECBD50D0514}"/>
    <cellStyle name="Normal 5 2 2 6 3" xfId="5195" xr:uid="{00000000-0005-0000-0000-000025180000}"/>
    <cellStyle name="Normal 5 2 2 6 3 2" xfId="13637" xr:uid="{D8043A50-C4C3-45A6-9FD4-10B1F027A657}"/>
    <cellStyle name="Normal 5 2 2 6 3 3" xfId="22072" xr:uid="{3134026A-1B92-44B7-9269-9FA1A30724B7}"/>
    <cellStyle name="Normal 5 2 2 6 4" xfId="9419" xr:uid="{E1441C72-7198-4B55-A8A5-8438A7B96E6A}"/>
    <cellStyle name="Normal 5 2 2 6 5" xfId="17855" xr:uid="{3726DC69-A8C7-4ABF-9E03-07F3040273B1}"/>
    <cellStyle name="Normal 5 2 2 7" xfId="1300" xr:uid="{00000000-0005-0000-0000-000026180000}"/>
    <cellStyle name="Normal 5 2 2 7 2" xfId="3530" xr:uid="{00000000-0005-0000-0000-000027180000}"/>
    <cellStyle name="Normal 5 2 2 7 2 2" xfId="7753" xr:uid="{00000000-0005-0000-0000-000028180000}"/>
    <cellStyle name="Normal 5 2 2 7 2 2 2" xfId="16195" xr:uid="{6FF50B91-2C1E-47FE-BDB5-F30D779C68A8}"/>
    <cellStyle name="Normal 5 2 2 7 2 2 3" xfId="24630" xr:uid="{350201B0-7861-40AF-9EAE-45C31A00BC39}"/>
    <cellStyle name="Normal 5 2 2 7 2 3" xfId="11977" xr:uid="{14E1F75C-C12D-41FD-B121-CD635828C23D}"/>
    <cellStyle name="Normal 5 2 2 7 2 4" xfId="20413" xr:uid="{AD4383D9-FD70-4C8B-B924-F9F9B013CA86}"/>
    <cellStyle name="Normal 5 2 2 7 3" xfId="5608" xr:uid="{00000000-0005-0000-0000-000029180000}"/>
    <cellStyle name="Normal 5 2 2 7 3 2" xfId="14050" xr:uid="{B68D2CC4-F91F-4D84-8035-C4A0ED16EC6F}"/>
    <cellStyle name="Normal 5 2 2 7 3 3" xfId="22485" xr:uid="{AEBA284D-2925-4C43-9CF6-6C4F393E9C33}"/>
    <cellStyle name="Normal 5 2 2 7 4" xfId="9832" xr:uid="{9A1ECCF4-604F-4FD4-AF5D-3226E187115A}"/>
    <cellStyle name="Normal 5 2 2 7 5" xfId="18268" xr:uid="{82C75A2F-5F4A-4EC5-B5CB-072E80E14F5C}"/>
    <cellStyle name="Normal 5 2 2 8" xfId="1713" xr:uid="{00000000-0005-0000-0000-00002A180000}"/>
    <cellStyle name="Normal 5 2 2 8 2" xfId="3943" xr:uid="{00000000-0005-0000-0000-00002B180000}"/>
    <cellStyle name="Normal 5 2 2 8 2 2" xfId="8166" xr:uid="{00000000-0005-0000-0000-00002C180000}"/>
    <cellStyle name="Normal 5 2 2 8 2 2 2" xfId="16608" xr:uid="{615C50DA-E047-4B9D-A165-1BFFBAB1C5A2}"/>
    <cellStyle name="Normal 5 2 2 8 2 2 3" xfId="25043" xr:uid="{3B465947-D664-4409-9A36-D40FF56D6A01}"/>
    <cellStyle name="Normal 5 2 2 8 2 3" xfId="12390" xr:uid="{8E4420E6-0D02-4C30-A324-45BC897C4977}"/>
    <cellStyle name="Normal 5 2 2 8 2 4" xfId="20826" xr:uid="{F87E87FA-4F11-4D22-A375-136DB58409C1}"/>
    <cellStyle name="Normal 5 2 2 8 3" xfId="6021" xr:uid="{00000000-0005-0000-0000-00002D180000}"/>
    <cellStyle name="Normal 5 2 2 8 3 2" xfId="14463" xr:uid="{DAD6CC61-377B-4686-8988-1900987F50C3}"/>
    <cellStyle name="Normal 5 2 2 8 3 3" xfId="22898" xr:uid="{D1275661-C489-43AA-87EE-657910B6B34C}"/>
    <cellStyle name="Normal 5 2 2 8 4" xfId="10245" xr:uid="{675F9011-47D6-424A-8D33-62730FD98807}"/>
    <cellStyle name="Normal 5 2 2 8 5" xfId="18681" xr:uid="{8B2B9E7B-48B3-4C9C-B1B2-DAD8B1F7B936}"/>
    <cellStyle name="Normal 5 2 2 9" xfId="2127" xr:uid="{00000000-0005-0000-0000-00002E180000}"/>
    <cellStyle name="Normal 5 2 2 9 2" xfId="4356" xr:uid="{00000000-0005-0000-0000-00002F180000}"/>
    <cellStyle name="Normal 5 2 2 9 2 2" xfId="8579" xr:uid="{00000000-0005-0000-0000-000030180000}"/>
    <cellStyle name="Normal 5 2 2 9 2 2 2" xfId="17021" xr:uid="{D1DB99A6-E56A-4E5A-9C06-13F1F918DC6A}"/>
    <cellStyle name="Normal 5 2 2 9 2 2 3" xfId="25456" xr:uid="{5B9BBD68-564E-47AF-8F5B-69BA2556D70D}"/>
    <cellStyle name="Normal 5 2 2 9 2 3" xfId="12803" xr:uid="{26384152-7A83-49CE-9110-F5A29440F6DC}"/>
    <cellStyle name="Normal 5 2 2 9 2 4" xfId="21239" xr:uid="{F267D4E4-0979-49DE-B557-081E0F471F1F}"/>
    <cellStyle name="Normal 5 2 2 9 3" xfId="6434" xr:uid="{00000000-0005-0000-0000-000031180000}"/>
    <cellStyle name="Normal 5 2 2 9 3 2" xfId="14876" xr:uid="{87018382-C9A3-40D2-A496-8F364BE16F57}"/>
    <cellStyle name="Normal 5 2 2 9 3 3" xfId="23311" xr:uid="{EF65DA4D-C644-4619-BA69-FB212D57B007}"/>
    <cellStyle name="Normal 5 2 2 9 4" xfId="10658" xr:uid="{A9B456C8-D9E6-477C-9EF9-433A5381718B}"/>
    <cellStyle name="Normal 5 2 2 9 5" xfId="19094" xr:uid="{B7B6C2A1-9336-4A63-A47A-A404E5BA4ACB}"/>
    <cellStyle name="Normal 5 2 3" xfId="424" xr:uid="{00000000-0005-0000-0000-000032180000}"/>
    <cellStyle name="Normal 5 2 3 10" xfId="4798" xr:uid="{00000000-0005-0000-0000-000033180000}"/>
    <cellStyle name="Normal 5 2 3 10 2" xfId="13240" xr:uid="{55FD255C-E678-40B8-A79F-F7F78FE2085C}"/>
    <cellStyle name="Normal 5 2 3 10 3" xfId="21675" xr:uid="{81ECF3E1-F8D3-4198-9770-4538D2984A98}"/>
    <cellStyle name="Normal 5 2 3 11" xfId="9022" xr:uid="{852D8866-D86B-43B7-8EC0-4982B67A8D42}"/>
    <cellStyle name="Normal 5 2 3 12" xfId="17458" xr:uid="{514AFB78-D075-4DFA-AA19-DD856515893E}"/>
    <cellStyle name="Normal 5 2 3 2" xfId="425" xr:uid="{00000000-0005-0000-0000-000034180000}"/>
    <cellStyle name="Normal 5 2 3 2 10" xfId="9023" xr:uid="{55B0F6A3-A759-4DFB-9219-4DEB353024EF}"/>
    <cellStyle name="Normal 5 2 3 2 11" xfId="17459" xr:uid="{EE0C268C-E77C-4AF4-9569-A5AEDA98CCFC}"/>
    <cellStyle name="Normal 5 2 3 2 2" xfId="426" xr:uid="{00000000-0005-0000-0000-000035180000}"/>
    <cellStyle name="Normal 5 2 3 2 2 10" xfId="17460" xr:uid="{2C20C3A3-431F-44DD-A016-0E9769C9DEB8}"/>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2 2 2" xfId="15801" xr:uid="{7645C5C3-3F1D-4B60-B82A-E6DCDA48B7A7}"/>
    <cellStyle name="Normal 5 2 3 2 2 2 2 2 2 3" xfId="24236" xr:uid="{64B55BDD-C3E2-44F7-8467-51C50BF9F963}"/>
    <cellStyle name="Normal 5 2 3 2 2 2 2 2 3" xfId="11583" xr:uid="{CDF2A1C9-7343-446B-ADDB-F85070872B4B}"/>
    <cellStyle name="Normal 5 2 3 2 2 2 2 2 4" xfId="20019" xr:uid="{74C2C594-785F-4892-BA00-2BDA9AA08F70}"/>
    <cellStyle name="Normal 5 2 3 2 2 2 2 3" xfId="5214" xr:uid="{00000000-0005-0000-0000-00003A180000}"/>
    <cellStyle name="Normal 5 2 3 2 2 2 2 3 2" xfId="13656" xr:uid="{9B41813D-2E4A-477C-A6E5-13E84B4A802E}"/>
    <cellStyle name="Normal 5 2 3 2 2 2 2 3 3" xfId="22091" xr:uid="{829F834C-E4CF-4E5E-8E2F-2D431F0B1AB3}"/>
    <cellStyle name="Normal 5 2 3 2 2 2 2 4" xfId="9438" xr:uid="{E049C2C1-35B3-4378-AD6B-86A774CB7FCB}"/>
    <cellStyle name="Normal 5 2 3 2 2 2 2 5" xfId="17874" xr:uid="{C8811CFA-2671-4727-B0CA-5EDC80486E25}"/>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2 2 2" xfId="16214" xr:uid="{29FCC2F2-2646-4B0F-8C37-39DE5ACDCB6E}"/>
    <cellStyle name="Normal 5 2 3 2 2 2 3 2 2 3" xfId="24649" xr:uid="{C70DA8A0-F5FD-4A22-9CDE-EC24CDA534E0}"/>
    <cellStyle name="Normal 5 2 3 2 2 2 3 2 3" xfId="11996" xr:uid="{A1FD94B3-2136-4F0D-B758-F43F675454EA}"/>
    <cellStyle name="Normal 5 2 3 2 2 2 3 2 4" xfId="20432" xr:uid="{F1CAD2CB-3043-44CC-B0F9-F515A89DA1BF}"/>
    <cellStyle name="Normal 5 2 3 2 2 2 3 3" xfId="5627" xr:uid="{00000000-0005-0000-0000-00003E180000}"/>
    <cellStyle name="Normal 5 2 3 2 2 2 3 3 2" xfId="14069" xr:uid="{A16C36F9-05A1-49C3-AA5C-459E98D23D52}"/>
    <cellStyle name="Normal 5 2 3 2 2 2 3 3 3" xfId="22504" xr:uid="{604C95E4-DA09-47DA-9FA0-3E32851B0046}"/>
    <cellStyle name="Normal 5 2 3 2 2 2 3 4" xfId="9851" xr:uid="{36570C7E-6D8E-4B48-9172-79C31B72F86A}"/>
    <cellStyle name="Normal 5 2 3 2 2 2 3 5" xfId="18287" xr:uid="{B06ACBDA-EB8E-4CC9-A0E9-4E5D621B1419}"/>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2 2 2" xfId="16627" xr:uid="{0BEFA886-E326-4DA2-B6B9-64ABEE133098}"/>
    <cellStyle name="Normal 5 2 3 2 2 2 4 2 2 3" xfId="25062" xr:uid="{BFDC75F2-282D-494C-92CB-49890E0590A7}"/>
    <cellStyle name="Normal 5 2 3 2 2 2 4 2 3" xfId="12409" xr:uid="{CC23598E-5803-4DF4-8EFE-CC85C0F5AA47}"/>
    <cellStyle name="Normal 5 2 3 2 2 2 4 2 4" xfId="20845" xr:uid="{792A446C-713A-46AA-822F-D9C3401A210F}"/>
    <cellStyle name="Normal 5 2 3 2 2 2 4 3" xfId="6040" xr:uid="{00000000-0005-0000-0000-000042180000}"/>
    <cellStyle name="Normal 5 2 3 2 2 2 4 3 2" xfId="14482" xr:uid="{4BAF861B-4142-4B7D-9B36-6D83B39077DC}"/>
    <cellStyle name="Normal 5 2 3 2 2 2 4 3 3" xfId="22917" xr:uid="{5D3F8906-3658-414E-8928-D451718D1AB4}"/>
    <cellStyle name="Normal 5 2 3 2 2 2 4 4" xfId="10264" xr:uid="{97DEE9B3-62F4-4447-9BF0-76FAD429DDC5}"/>
    <cellStyle name="Normal 5 2 3 2 2 2 4 5" xfId="18700" xr:uid="{FD979C98-FB91-4CB7-9AD7-130A1F31F37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2 2 2" xfId="17040" xr:uid="{15337485-077E-4CC3-9A3A-D556DB9AD705}"/>
    <cellStyle name="Normal 5 2 3 2 2 2 5 2 2 3" xfId="25475" xr:uid="{ADDAB649-4461-4007-8CCC-DC2489A96EC5}"/>
    <cellStyle name="Normal 5 2 3 2 2 2 5 2 3" xfId="12822" xr:uid="{26BE1DFE-0CDD-4BDB-8913-71F2D92D1D7A}"/>
    <cellStyle name="Normal 5 2 3 2 2 2 5 2 4" xfId="21258" xr:uid="{3FC0B110-A979-4C06-8644-0D6048B7DCB9}"/>
    <cellStyle name="Normal 5 2 3 2 2 2 5 3" xfId="6453" xr:uid="{00000000-0005-0000-0000-000046180000}"/>
    <cellStyle name="Normal 5 2 3 2 2 2 5 3 2" xfId="14895" xr:uid="{8F8DDFF5-02D0-41CE-A9AC-B7E50EAD67C3}"/>
    <cellStyle name="Normal 5 2 3 2 2 2 5 3 3" xfId="23330" xr:uid="{C0999834-4A40-49F7-8B0C-704C09A88085}"/>
    <cellStyle name="Normal 5 2 3 2 2 2 5 4" xfId="10677" xr:uid="{79C62FFD-C7B3-417A-ACC4-A564D2222687}"/>
    <cellStyle name="Normal 5 2 3 2 2 2 5 5" xfId="19113" xr:uid="{16E85321-4DD9-4540-850D-09E2873AD020}"/>
    <cellStyle name="Normal 5 2 3 2 2 2 6" xfId="2582" xr:uid="{00000000-0005-0000-0000-000047180000}"/>
    <cellStyle name="Normal 5 2 3 2 2 2 6 2" xfId="6866" xr:uid="{00000000-0005-0000-0000-000048180000}"/>
    <cellStyle name="Normal 5 2 3 2 2 2 6 2 2" xfId="15308" xr:uid="{FB5DBC00-3448-4CD1-9AC6-FF234BE682E0}"/>
    <cellStyle name="Normal 5 2 3 2 2 2 6 2 3" xfId="23743" xr:uid="{5879153B-F1DF-475D-B294-CB31C679B671}"/>
    <cellStyle name="Normal 5 2 3 2 2 2 6 3" xfId="11090" xr:uid="{4A5BBC39-33F7-4B0A-AD20-EB1DB681489C}"/>
    <cellStyle name="Normal 5 2 3 2 2 2 6 4" xfId="19526" xr:uid="{EF1F8ACE-2738-4012-AA36-A31BFA5C3351}"/>
    <cellStyle name="Normal 5 2 3 2 2 2 7" xfId="4801" xr:uid="{00000000-0005-0000-0000-000049180000}"/>
    <cellStyle name="Normal 5 2 3 2 2 2 7 2" xfId="13243" xr:uid="{254A253A-05CC-44AA-8AF0-1779AE6DC3EF}"/>
    <cellStyle name="Normal 5 2 3 2 2 2 7 3" xfId="21678" xr:uid="{7BA0B36D-60BA-4621-91DB-292B7906AB03}"/>
    <cellStyle name="Normal 5 2 3 2 2 2 8" xfId="9025" xr:uid="{EB367BA7-AD8D-411D-AA5B-89617A90B928}"/>
    <cellStyle name="Normal 5 2 3 2 2 2 9" xfId="17461" xr:uid="{AD3313AF-A285-405A-833F-C420E5120D4F}"/>
    <cellStyle name="Normal 5 2 3 2 2 3" xfId="900" xr:uid="{00000000-0005-0000-0000-00004A180000}"/>
    <cellStyle name="Normal 5 2 3 2 2 3 2" xfId="3135" xr:uid="{00000000-0005-0000-0000-00004B180000}"/>
    <cellStyle name="Normal 5 2 3 2 2 3 2 2" xfId="7358" xr:uid="{00000000-0005-0000-0000-00004C180000}"/>
    <cellStyle name="Normal 5 2 3 2 2 3 2 2 2" xfId="15800" xr:uid="{F5795676-B214-4601-A50D-911634B2B805}"/>
    <cellStyle name="Normal 5 2 3 2 2 3 2 2 3" xfId="24235" xr:uid="{6DE09105-F3CF-4D58-B774-BAF03A90C936}"/>
    <cellStyle name="Normal 5 2 3 2 2 3 2 3" xfId="11582" xr:uid="{5974E4B0-A96D-42E1-B54C-0A8D87003EE1}"/>
    <cellStyle name="Normal 5 2 3 2 2 3 2 4" xfId="20018" xr:uid="{EF86ECB2-9867-4E62-BA8C-2BC8A6C91AE2}"/>
    <cellStyle name="Normal 5 2 3 2 2 3 3" xfId="5213" xr:uid="{00000000-0005-0000-0000-00004D180000}"/>
    <cellStyle name="Normal 5 2 3 2 2 3 3 2" xfId="13655" xr:uid="{813135D9-4184-49C3-8420-7ACC5C0A84CC}"/>
    <cellStyle name="Normal 5 2 3 2 2 3 3 3" xfId="22090" xr:uid="{F9DBF3E3-6CFF-481D-AB39-DC0C15FC5E9A}"/>
    <cellStyle name="Normal 5 2 3 2 2 3 4" xfId="9437" xr:uid="{66DB67DB-5841-4D75-A182-A8E29122B616}"/>
    <cellStyle name="Normal 5 2 3 2 2 3 5" xfId="17873" xr:uid="{A18EEDB4-93D6-4195-9C46-7D29E1DD8381}"/>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2 2 2" xfId="16213" xr:uid="{1DB98057-FC5E-41FA-B043-95D4C1D231DD}"/>
    <cellStyle name="Normal 5 2 3 2 2 4 2 2 3" xfId="24648" xr:uid="{40465327-8D58-4FA1-A761-66A035EC2B8B}"/>
    <cellStyle name="Normal 5 2 3 2 2 4 2 3" xfId="11995" xr:uid="{97CA9481-20FB-42D3-8FFA-5D0A6A655BE8}"/>
    <cellStyle name="Normal 5 2 3 2 2 4 2 4" xfId="20431" xr:uid="{565C8417-7B26-4288-B8A5-C9EFAF524471}"/>
    <cellStyle name="Normal 5 2 3 2 2 4 3" xfId="5626" xr:uid="{00000000-0005-0000-0000-000051180000}"/>
    <cellStyle name="Normal 5 2 3 2 2 4 3 2" xfId="14068" xr:uid="{F69F4B72-2DA8-4579-951D-1D56716A5FA7}"/>
    <cellStyle name="Normal 5 2 3 2 2 4 3 3" xfId="22503" xr:uid="{00E4517A-E36C-4C52-923F-78493D04A618}"/>
    <cellStyle name="Normal 5 2 3 2 2 4 4" xfId="9850" xr:uid="{0316C436-A48F-4185-AC0D-D28F05DC6F0C}"/>
    <cellStyle name="Normal 5 2 3 2 2 4 5" xfId="18286" xr:uid="{09F05B28-43DA-4A9A-B384-FEF7BA971DE5}"/>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2 2 2" xfId="16626" xr:uid="{D75DCD49-44AC-4982-B7BF-DC55FB8300C4}"/>
    <cellStyle name="Normal 5 2 3 2 2 5 2 2 3" xfId="25061" xr:uid="{44F3C53C-B1CD-4239-9EA5-8669ADF15D37}"/>
    <cellStyle name="Normal 5 2 3 2 2 5 2 3" xfId="12408" xr:uid="{5183DAC7-57E4-472F-B9AA-84C3D690C58B}"/>
    <cellStyle name="Normal 5 2 3 2 2 5 2 4" xfId="20844" xr:uid="{FFD58B81-4974-4074-88A9-390995B1C690}"/>
    <cellStyle name="Normal 5 2 3 2 2 5 3" xfId="6039" xr:uid="{00000000-0005-0000-0000-000055180000}"/>
    <cellStyle name="Normal 5 2 3 2 2 5 3 2" xfId="14481" xr:uid="{4A135BAB-C4A8-499F-937C-622096A60DE4}"/>
    <cellStyle name="Normal 5 2 3 2 2 5 3 3" xfId="22916" xr:uid="{249CC45C-B247-47DA-9574-8857D15B515E}"/>
    <cellStyle name="Normal 5 2 3 2 2 5 4" xfId="10263" xr:uid="{7C755B2F-AB91-4A41-BCC8-73714E3CE0A6}"/>
    <cellStyle name="Normal 5 2 3 2 2 5 5" xfId="18699" xr:uid="{DEB058CF-DD73-432F-BA36-3F3863251261}"/>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2 2 2" xfId="17039" xr:uid="{97F10CE4-AA01-449B-90D7-B4DDABAECEA5}"/>
    <cellStyle name="Normal 5 2 3 2 2 6 2 2 3" xfId="25474" xr:uid="{DD7CD973-6304-4F98-AF52-364470D41E7F}"/>
    <cellStyle name="Normal 5 2 3 2 2 6 2 3" xfId="12821" xr:uid="{FC0953BF-31D3-4E84-BA32-B27D37C3DC75}"/>
    <cellStyle name="Normal 5 2 3 2 2 6 2 4" xfId="21257" xr:uid="{1441AC09-27F6-4C40-88F5-130DACD57893}"/>
    <cellStyle name="Normal 5 2 3 2 2 6 3" xfId="6452" xr:uid="{00000000-0005-0000-0000-000059180000}"/>
    <cellStyle name="Normal 5 2 3 2 2 6 3 2" xfId="14894" xr:uid="{FE5D34F1-D43E-4BB1-B600-3AF90ACA012C}"/>
    <cellStyle name="Normal 5 2 3 2 2 6 3 3" xfId="23329" xr:uid="{395CFAF8-A6A8-4382-9203-603C2A13177B}"/>
    <cellStyle name="Normal 5 2 3 2 2 6 4" xfId="10676" xr:uid="{4F3CD5D9-958D-4B14-B451-F2F227C559F0}"/>
    <cellStyle name="Normal 5 2 3 2 2 6 5" xfId="19112" xr:uid="{FF0753FA-E1AF-4983-A0E5-8F94F37E85B2}"/>
    <cellStyle name="Normal 5 2 3 2 2 7" xfId="2581" xr:uid="{00000000-0005-0000-0000-00005A180000}"/>
    <cellStyle name="Normal 5 2 3 2 2 7 2" xfId="6865" xr:uid="{00000000-0005-0000-0000-00005B180000}"/>
    <cellStyle name="Normal 5 2 3 2 2 7 2 2" xfId="15307" xr:uid="{F7FE8455-8444-431C-BDBC-EC99B2F7256B}"/>
    <cellStyle name="Normal 5 2 3 2 2 7 2 3" xfId="23742" xr:uid="{88C4ADBD-D4C5-48D5-890F-33B839C86204}"/>
    <cellStyle name="Normal 5 2 3 2 2 7 3" xfId="11089" xr:uid="{01D0170F-3B5F-451D-8EBF-72828786742F}"/>
    <cellStyle name="Normal 5 2 3 2 2 7 4" xfId="19525" xr:uid="{015ADB17-7F2A-4A8F-8B63-035DD1036C45}"/>
    <cellStyle name="Normal 5 2 3 2 2 8" xfId="4800" xr:uid="{00000000-0005-0000-0000-00005C180000}"/>
    <cellStyle name="Normal 5 2 3 2 2 8 2" xfId="13242" xr:uid="{32A0F05D-2140-4599-A8E4-142C3A4ACA4B}"/>
    <cellStyle name="Normal 5 2 3 2 2 8 3" xfId="21677" xr:uid="{90C6FFBB-3B46-4FF4-AD55-076F4157CA81}"/>
    <cellStyle name="Normal 5 2 3 2 2 9" xfId="9024" xr:uid="{3430F26E-82D9-49EE-BA14-FF8BC4F42621}"/>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2 2 2" xfId="15802" xr:uid="{A8BEA3B1-C974-40E0-893D-D04A1D178B9A}"/>
    <cellStyle name="Normal 5 2 3 2 3 2 2 2 3" xfId="24237" xr:uid="{870B875F-7F75-4B18-8C52-CF5B7EC4FC3D}"/>
    <cellStyle name="Normal 5 2 3 2 3 2 2 3" xfId="11584" xr:uid="{EDA9C36F-09B4-4BAD-A5A8-3409D97BCEEC}"/>
    <cellStyle name="Normal 5 2 3 2 3 2 2 4" xfId="20020" xr:uid="{A4B270EB-2936-4768-B427-FBE03D105D90}"/>
    <cellStyle name="Normal 5 2 3 2 3 2 3" xfId="5215" xr:uid="{00000000-0005-0000-0000-000061180000}"/>
    <cellStyle name="Normal 5 2 3 2 3 2 3 2" xfId="13657" xr:uid="{4AA6C7F0-7828-47EF-AB11-1B8B21AE2D8D}"/>
    <cellStyle name="Normal 5 2 3 2 3 2 3 3" xfId="22092" xr:uid="{D4F61186-949C-4A9C-B848-B67CB43A5C0C}"/>
    <cellStyle name="Normal 5 2 3 2 3 2 4" xfId="9439" xr:uid="{F7DE743E-039F-4CD5-B4B1-FA4564F6881E}"/>
    <cellStyle name="Normal 5 2 3 2 3 2 5" xfId="17875" xr:uid="{6BCD53FF-FF51-4CD7-93FD-1F4DDF4B0EB8}"/>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2 2 2" xfId="16215" xr:uid="{82194311-4D13-49FD-9558-9B40B49C1D40}"/>
    <cellStyle name="Normal 5 2 3 2 3 3 2 2 3" xfId="24650" xr:uid="{1F7A4BD4-EE68-420A-98C3-D9D52B4A9DF7}"/>
    <cellStyle name="Normal 5 2 3 2 3 3 2 3" xfId="11997" xr:uid="{8B43BFAB-6DBA-402D-BE74-6EABD42ABC15}"/>
    <cellStyle name="Normal 5 2 3 2 3 3 2 4" xfId="20433" xr:uid="{3072B5CE-D818-42CF-BC49-F39D5C59DB9C}"/>
    <cellStyle name="Normal 5 2 3 2 3 3 3" xfId="5628" xr:uid="{00000000-0005-0000-0000-000065180000}"/>
    <cellStyle name="Normal 5 2 3 2 3 3 3 2" xfId="14070" xr:uid="{1B565ED3-B383-463B-8414-A6BCFE3F8BF9}"/>
    <cellStyle name="Normal 5 2 3 2 3 3 3 3" xfId="22505" xr:uid="{B5C7F1EE-F610-4BB0-948B-046733BE28D5}"/>
    <cellStyle name="Normal 5 2 3 2 3 3 4" xfId="9852" xr:uid="{FC262667-7D21-483A-8B3C-30C0CEC4DCA9}"/>
    <cellStyle name="Normal 5 2 3 2 3 3 5" xfId="18288" xr:uid="{E8943361-CC4F-4C8A-84D9-6F9C7A399C94}"/>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2 2 2" xfId="16628" xr:uid="{78A02446-5C7F-446D-B6A4-A747ACFD9DB8}"/>
    <cellStyle name="Normal 5 2 3 2 3 4 2 2 3" xfId="25063" xr:uid="{FE3FBEFC-067D-4584-B7E9-0FE4A2289B51}"/>
    <cellStyle name="Normal 5 2 3 2 3 4 2 3" xfId="12410" xr:uid="{F54D55C0-F9F6-4AF6-9F58-E5117E0ACFB0}"/>
    <cellStyle name="Normal 5 2 3 2 3 4 2 4" xfId="20846" xr:uid="{D1E08B15-7E19-483D-AFA8-9ADDAFDA829D}"/>
    <cellStyle name="Normal 5 2 3 2 3 4 3" xfId="6041" xr:uid="{00000000-0005-0000-0000-000069180000}"/>
    <cellStyle name="Normal 5 2 3 2 3 4 3 2" xfId="14483" xr:uid="{5CAD04A0-D110-4627-AA4D-14151A7D2DBF}"/>
    <cellStyle name="Normal 5 2 3 2 3 4 3 3" xfId="22918" xr:uid="{7105FD67-1D75-490F-814E-E71FB39B28DB}"/>
    <cellStyle name="Normal 5 2 3 2 3 4 4" xfId="10265" xr:uid="{A6AD1F9E-319B-4253-8D5B-D5197D800396}"/>
    <cellStyle name="Normal 5 2 3 2 3 4 5" xfId="18701" xr:uid="{21FF6B69-BAE8-4A57-BCB1-366A093EECF7}"/>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2 2 2" xfId="17041" xr:uid="{A1E78835-9075-454D-882D-3CC45B0E7B60}"/>
    <cellStyle name="Normal 5 2 3 2 3 5 2 2 3" xfId="25476" xr:uid="{535F61E5-BFA1-4019-9B30-2BE0C3B8BFF1}"/>
    <cellStyle name="Normal 5 2 3 2 3 5 2 3" xfId="12823" xr:uid="{958CD6F9-158A-457B-AFC5-AD694A904F3C}"/>
    <cellStyle name="Normal 5 2 3 2 3 5 2 4" xfId="21259" xr:uid="{270C8F3A-7889-4750-959F-C60AD492E078}"/>
    <cellStyle name="Normal 5 2 3 2 3 5 3" xfId="6454" xr:uid="{00000000-0005-0000-0000-00006D180000}"/>
    <cellStyle name="Normal 5 2 3 2 3 5 3 2" xfId="14896" xr:uid="{CCC15E92-5A60-4DFE-8367-89D58B880991}"/>
    <cellStyle name="Normal 5 2 3 2 3 5 3 3" xfId="23331" xr:uid="{5B2AC4EA-5F91-42D5-ADBE-AB48FBB771CA}"/>
    <cellStyle name="Normal 5 2 3 2 3 5 4" xfId="10678" xr:uid="{D61A626D-B2AE-4796-A141-093A8C188336}"/>
    <cellStyle name="Normal 5 2 3 2 3 5 5" xfId="19114" xr:uid="{3CF648A3-FCFE-4D37-8EE4-FC0BB3C323EE}"/>
    <cellStyle name="Normal 5 2 3 2 3 6" xfId="2583" xr:uid="{00000000-0005-0000-0000-00006E180000}"/>
    <cellStyle name="Normal 5 2 3 2 3 6 2" xfId="6867" xr:uid="{00000000-0005-0000-0000-00006F180000}"/>
    <cellStyle name="Normal 5 2 3 2 3 6 2 2" xfId="15309" xr:uid="{4DB5CACD-B2EC-4A39-8C21-6D2D22470352}"/>
    <cellStyle name="Normal 5 2 3 2 3 6 2 3" xfId="23744" xr:uid="{E668CF2F-5ADD-4414-B922-E086FDCB6228}"/>
    <cellStyle name="Normal 5 2 3 2 3 6 3" xfId="11091" xr:uid="{BF09B7C0-2316-498A-B593-B196D4602482}"/>
    <cellStyle name="Normal 5 2 3 2 3 6 4" xfId="19527" xr:uid="{D9CA77AF-4894-4ABE-A968-5613B018E543}"/>
    <cellStyle name="Normal 5 2 3 2 3 7" xfId="4802" xr:uid="{00000000-0005-0000-0000-000070180000}"/>
    <cellStyle name="Normal 5 2 3 2 3 7 2" xfId="13244" xr:uid="{A8F4D15C-DD51-4EB9-BF9D-92174B2148C2}"/>
    <cellStyle name="Normal 5 2 3 2 3 7 3" xfId="21679" xr:uid="{20300EA0-4ABC-4007-967C-3CA63B54FC4B}"/>
    <cellStyle name="Normal 5 2 3 2 3 8" xfId="9026" xr:uid="{EEE7DC8B-4528-432E-8108-5A23B3CCFF2E}"/>
    <cellStyle name="Normal 5 2 3 2 3 9" xfId="17462" xr:uid="{4B33B638-732D-4552-8F0A-348EA435A42E}"/>
    <cellStyle name="Normal 5 2 3 2 4" xfId="899" xr:uid="{00000000-0005-0000-0000-000071180000}"/>
    <cellStyle name="Normal 5 2 3 2 4 2" xfId="3134" xr:uid="{00000000-0005-0000-0000-000072180000}"/>
    <cellStyle name="Normal 5 2 3 2 4 2 2" xfId="7357" xr:uid="{00000000-0005-0000-0000-000073180000}"/>
    <cellStyle name="Normal 5 2 3 2 4 2 2 2" xfId="15799" xr:uid="{8D3DF072-C0D7-4AD4-AB1B-D893F0ACA738}"/>
    <cellStyle name="Normal 5 2 3 2 4 2 2 3" xfId="24234" xr:uid="{E21420CD-6762-46DC-87AE-534F10281535}"/>
    <cellStyle name="Normal 5 2 3 2 4 2 3" xfId="11581" xr:uid="{AFD490A4-2539-45AC-8A0D-E2C6441E6FE1}"/>
    <cellStyle name="Normal 5 2 3 2 4 2 4" xfId="20017" xr:uid="{A2B98235-6187-427F-A771-E3911A6D96AA}"/>
    <cellStyle name="Normal 5 2 3 2 4 3" xfId="5212" xr:uid="{00000000-0005-0000-0000-000074180000}"/>
    <cellStyle name="Normal 5 2 3 2 4 3 2" xfId="13654" xr:uid="{89646BFC-9503-43C0-97E7-76800CE8D7FD}"/>
    <cellStyle name="Normal 5 2 3 2 4 3 3" xfId="22089" xr:uid="{FB3ECF08-DCF7-464C-BD94-020A91A3D1E0}"/>
    <cellStyle name="Normal 5 2 3 2 4 4" xfId="9436" xr:uid="{2F6E4C43-9E28-4209-BF1F-AB4EB51D2502}"/>
    <cellStyle name="Normal 5 2 3 2 4 5" xfId="17872" xr:uid="{34431245-EEFE-4560-AE90-A59EDA948390}"/>
    <cellStyle name="Normal 5 2 3 2 5" xfId="1317" xr:uid="{00000000-0005-0000-0000-000075180000}"/>
    <cellStyle name="Normal 5 2 3 2 5 2" xfId="3547" xr:uid="{00000000-0005-0000-0000-000076180000}"/>
    <cellStyle name="Normal 5 2 3 2 5 2 2" xfId="7770" xr:uid="{00000000-0005-0000-0000-000077180000}"/>
    <cellStyle name="Normal 5 2 3 2 5 2 2 2" xfId="16212" xr:uid="{E48A6804-FF31-4408-B390-65D825252B93}"/>
    <cellStyle name="Normal 5 2 3 2 5 2 2 3" xfId="24647" xr:uid="{E61439CD-8E90-4CFB-B13E-055AE1CBD76A}"/>
    <cellStyle name="Normal 5 2 3 2 5 2 3" xfId="11994" xr:uid="{F4779BB6-C88D-4D36-96C1-863136B94010}"/>
    <cellStyle name="Normal 5 2 3 2 5 2 4" xfId="20430" xr:uid="{AA15DE5C-412A-4D80-B028-17170D2CA00E}"/>
    <cellStyle name="Normal 5 2 3 2 5 3" xfId="5625" xr:uid="{00000000-0005-0000-0000-000078180000}"/>
    <cellStyle name="Normal 5 2 3 2 5 3 2" xfId="14067" xr:uid="{F985A761-D948-4B95-A27A-B47FAD2400B0}"/>
    <cellStyle name="Normal 5 2 3 2 5 3 3" xfId="22502" xr:uid="{DF505377-32A5-467A-8369-9DFE77CAB7B1}"/>
    <cellStyle name="Normal 5 2 3 2 5 4" xfId="9849" xr:uid="{64A128BE-8525-4300-B50A-AF18E7E6F62E}"/>
    <cellStyle name="Normal 5 2 3 2 5 5" xfId="18285" xr:uid="{A2770E79-93D1-44BE-9600-54475EB8E913}"/>
    <cellStyle name="Normal 5 2 3 2 6" xfId="1730" xr:uid="{00000000-0005-0000-0000-000079180000}"/>
    <cellStyle name="Normal 5 2 3 2 6 2" xfId="3960" xr:uid="{00000000-0005-0000-0000-00007A180000}"/>
    <cellStyle name="Normal 5 2 3 2 6 2 2" xfId="8183" xr:uid="{00000000-0005-0000-0000-00007B180000}"/>
    <cellStyle name="Normal 5 2 3 2 6 2 2 2" xfId="16625" xr:uid="{DDB799A5-820A-4A58-B104-3584894261C8}"/>
    <cellStyle name="Normal 5 2 3 2 6 2 2 3" xfId="25060" xr:uid="{AE5189E3-DC81-4A34-8A09-2D453A354942}"/>
    <cellStyle name="Normal 5 2 3 2 6 2 3" xfId="12407" xr:uid="{F05C690A-2283-4061-9B41-00A77CE1B379}"/>
    <cellStyle name="Normal 5 2 3 2 6 2 4" xfId="20843" xr:uid="{D3E33581-1F4C-4E9B-A725-BE054A792E48}"/>
    <cellStyle name="Normal 5 2 3 2 6 3" xfId="6038" xr:uid="{00000000-0005-0000-0000-00007C180000}"/>
    <cellStyle name="Normal 5 2 3 2 6 3 2" xfId="14480" xr:uid="{CAB88BB5-49DD-4904-98E7-C1A6917C544C}"/>
    <cellStyle name="Normal 5 2 3 2 6 3 3" xfId="22915" xr:uid="{F0BB2575-8E99-4212-B13E-8731E407C6F3}"/>
    <cellStyle name="Normal 5 2 3 2 6 4" xfId="10262" xr:uid="{DD07B837-2A06-496E-8A59-8AED884F05D6}"/>
    <cellStyle name="Normal 5 2 3 2 6 5" xfId="18698" xr:uid="{0A05E00F-8066-4101-BC78-CBE882E10ED6}"/>
    <cellStyle name="Normal 5 2 3 2 7" xfId="2144" xr:uid="{00000000-0005-0000-0000-00007D180000}"/>
    <cellStyle name="Normal 5 2 3 2 7 2" xfId="4373" xr:uid="{00000000-0005-0000-0000-00007E180000}"/>
    <cellStyle name="Normal 5 2 3 2 7 2 2" xfId="8596" xr:uid="{00000000-0005-0000-0000-00007F180000}"/>
    <cellStyle name="Normal 5 2 3 2 7 2 2 2" xfId="17038" xr:uid="{0780335B-9AF9-4B4F-BFE8-6A8FD0917AD3}"/>
    <cellStyle name="Normal 5 2 3 2 7 2 2 3" xfId="25473" xr:uid="{CF8FC49D-0748-4AEA-8F9F-B5C9A009EC38}"/>
    <cellStyle name="Normal 5 2 3 2 7 2 3" xfId="12820" xr:uid="{22E44B57-82B1-49BA-8820-E7740508C92F}"/>
    <cellStyle name="Normal 5 2 3 2 7 2 4" xfId="21256" xr:uid="{42A179C2-7D78-4C7E-84E1-11E4BDC96C19}"/>
    <cellStyle name="Normal 5 2 3 2 7 3" xfId="6451" xr:uid="{00000000-0005-0000-0000-000080180000}"/>
    <cellStyle name="Normal 5 2 3 2 7 3 2" xfId="14893" xr:uid="{3C6E6A81-DDAD-43B2-8635-DAABDF276E95}"/>
    <cellStyle name="Normal 5 2 3 2 7 3 3" xfId="23328" xr:uid="{B712D96B-01A4-4FDF-B6DA-0DB4AA0D930C}"/>
    <cellStyle name="Normal 5 2 3 2 7 4" xfId="10675" xr:uid="{1F206597-1DAE-4A35-BFA1-29E983FFCF6E}"/>
    <cellStyle name="Normal 5 2 3 2 7 5" xfId="19111" xr:uid="{AD74BB74-81CA-4794-A3BB-834601B8CFC8}"/>
    <cellStyle name="Normal 5 2 3 2 8" xfId="2580" xr:uid="{00000000-0005-0000-0000-000081180000}"/>
    <cellStyle name="Normal 5 2 3 2 8 2" xfId="6864" xr:uid="{00000000-0005-0000-0000-000082180000}"/>
    <cellStyle name="Normal 5 2 3 2 8 2 2" xfId="15306" xr:uid="{E0CE47A9-6A3F-4688-A659-AC63C98DB567}"/>
    <cellStyle name="Normal 5 2 3 2 8 2 3" xfId="23741" xr:uid="{E208049A-DA94-48E2-849D-F66A01C91A15}"/>
    <cellStyle name="Normal 5 2 3 2 8 3" xfId="11088" xr:uid="{C82A3D02-CDAF-4EE5-B817-C7A35CBEBB1C}"/>
    <cellStyle name="Normal 5 2 3 2 8 4" xfId="19524" xr:uid="{2EF5E524-A47D-440A-9647-24B78B433C36}"/>
    <cellStyle name="Normal 5 2 3 2 9" xfId="4799" xr:uid="{00000000-0005-0000-0000-000083180000}"/>
    <cellStyle name="Normal 5 2 3 2 9 2" xfId="13241" xr:uid="{8A7C921A-7F85-4128-8A5B-FD07B61123B9}"/>
    <cellStyle name="Normal 5 2 3 2 9 3" xfId="21676" xr:uid="{ED32A6CE-E32A-4F28-A4F6-BDD818A265F9}"/>
    <cellStyle name="Normal 5 2 3 3" xfId="429" xr:uid="{00000000-0005-0000-0000-000084180000}"/>
    <cellStyle name="Normal 5 2 3 3 10" xfId="17463" xr:uid="{A16FA257-461B-4DBB-905E-2664B819E23B}"/>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2 2 2" xfId="15804" xr:uid="{62F7027F-A765-4576-B652-A10AD27F25A4}"/>
    <cellStyle name="Normal 5 2 3 3 2 2 2 2 3" xfId="24239" xr:uid="{917A8495-0632-4B36-8960-BF61FE137417}"/>
    <cellStyle name="Normal 5 2 3 3 2 2 2 3" xfId="11586" xr:uid="{A47105B2-65FC-4D7C-9605-AC403BCE6CBA}"/>
    <cellStyle name="Normal 5 2 3 3 2 2 2 4" xfId="20022" xr:uid="{3BFF4DF3-3295-478F-AF9C-B2741D9E6807}"/>
    <cellStyle name="Normal 5 2 3 3 2 2 3" xfId="5217" xr:uid="{00000000-0005-0000-0000-000089180000}"/>
    <cellStyle name="Normal 5 2 3 3 2 2 3 2" xfId="13659" xr:uid="{80C05E8F-E7C1-4B97-9887-99620D84F9CA}"/>
    <cellStyle name="Normal 5 2 3 3 2 2 3 3" xfId="22094" xr:uid="{84FDEA99-026D-4A28-B578-60FA49FC7289}"/>
    <cellStyle name="Normal 5 2 3 3 2 2 4" xfId="9441" xr:uid="{4FBED18F-B955-47A1-9A75-E11980FBF217}"/>
    <cellStyle name="Normal 5 2 3 3 2 2 5" xfId="17877" xr:uid="{C940DEBF-0F16-4F13-BA8B-3F2460728834}"/>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2 2 2" xfId="16217" xr:uid="{543A21F3-3373-47BE-A941-AD34944746F5}"/>
    <cellStyle name="Normal 5 2 3 3 2 3 2 2 3" xfId="24652" xr:uid="{D2FC173D-B6D6-415C-A399-0D05B2EB5FCE}"/>
    <cellStyle name="Normal 5 2 3 3 2 3 2 3" xfId="11999" xr:uid="{3AB445B3-6CCC-4D9E-A704-ABB86C68C162}"/>
    <cellStyle name="Normal 5 2 3 3 2 3 2 4" xfId="20435" xr:uid="{00566870-3AF0-4602-A7A6-26B64918803F}"/>
    <cellStyle name="Normal 5 2 3 3 2 3 3" xfId="5630" xr:uid="{00000000-0005-0000-0000-00008D180000}"/>
    <cellStyle name="Normal 5 2 3 3 2 3 3 2" xfId="14072" xr:uid="{D75B356D-6DCC-4159-BD45-B7CB78B67D6E}"/>
    <cellStyle name="Normal 5 2 3 3 2 3 3 3" xfId="22507" xr:uid="{5EC70BF4-80AA-45F4-A3B0-1512EC584496}"/>
    <cellStyle name="Normal 5 2 3 3 2 3 4" xfId="9854" xr:uid="{9D82EA88-98D8-4A99-9F01-4AF06893CFD8}"/>
    <cellStyle name="Normal 5 2 3 3 2 3 5" xfId="18290" xr:uid="{32A515DF-0E1B-4F56-930D-7F8DB1E10A89}"/>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2 2 2" xfId="16630" xr:uid="{AC1DD084-2BEE-4448-89E3-54B7F5C40BBD}"/>
    <cellStyle name="Normal 5 2 3 3 2 4 2 2 3" xfId="25065" xr:uid="{F7BA804B-B50C-4565-A983-4A34B0EE4500}"/>
    <cellStyle name="Normal 5 2 3 3 2 4 2 3" xfId="12412" xr:uid="{642E20FB-01F5-4C39-8AC6-48D949651325}"/>
    <cellStyle name="Normal 5 2 3 3 2 4 2 4" xfId="20848" xr:uid="{77566F7E-8B7A-462B-8797-01466AC0274D}"/>
    <cellStyle name="Normal 5 2 3 3 2 4 3" xfId="6043" xr:uid="{00000000-0005-0000-0000-000091180000}"/>
    <cellStyle name="Normal 5 2 3 3 2 4 3 2" xfId="14485" xr:uid="{95FF662F-A9E7-4772-902B-2C6FEE58A56A}"/>
    <cellStyle name="Normal 5 2 3 3 2 4 3 3" xfId="22920" xr:uid="{16C70EA9-B043-4F56-B1F5-7383B84C2235}"/>
    <cellStyle name="Normal 5 2 3 3 2 4 4" xfId="10267" xr:uid="{E5126A60-7EBE-4E5B-8BCA-57686BF7A7B6}"/>
    <cellStyle name="Normal 5 2 3 3 2 4 5" xfId="18703" xr:uid="{3E8E5BCD-5852-4516-8EE2-45B0613C078A}"/>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2 2 2" xfId="17043" xr:uid="{38F35CEC-8F71-4FFF-AB10-7B8B461D500B}"/>
    <cellStyle name="Normal 5 2 3 3 2 5 2 2 3" xfId="25478" xr:uid="{DBEE348C-66E0-4FD7-BEB2-2D4DE5E42199}"/>
    <cellStyle name="Normal 5 2 3 3 2 5 2 3" xfId="12825" xr:uid="{7C0BA6E0-AB22-4FBC-8E62-C0BBC0876C5A}"/>
    <cellStyle name="Normal 5 2 3 3 2 5 2 4" xfId="21261" xr:uid="{D3ACD605-2F86-4205-BAEC-4AC6052A0E2A}"/>
    <cellStyle name="Normal 5 2 3 3 2 5 3" xfId="6456" xr:uid="{00000000-0005-0000-0000-000095180000}"/>
    <cellStyle name="Normal 5 2 3 3 2 5 3 2" xfId="14898" xr:uid="{1C1AED54-FD9E-45B7-8DF0-6F7ADBE2A735}"/>
    <cellStyle name="Normal 5 2 3 3 2 5 3 3" xfId="23333" xr:uid="{3E2CE4CD-88F0-4A24-9DC8-693FD9F71360}"/>
    <cellStyle name="Normal 5 2 3 3 2 5 4" xfId="10680" xr:uid="{A14AE6E3-B2A3-42B1-B28E-0210D25A03F1}"/>
    <cellStyle name="Normal 5 2 3 3 2 5 5" xfId="19116" xr:uid="{3349930D-E4DC-47EF-AC58-9D8B7E21CFF6}"/>
    <cellStyle name="Normal 5 2 3 3 2 6" xfId="2585" xr:uid="{00000000-0005-0000-0000-000096180000}"/>
    <cellStyle name="Normal 5 2 3 3 2 6 2" xfId="6869" xr:uid="{00000000-0005-0000-0000-000097180000}"/>
    <cellStyle name="Normal 5 2 3 3 2 6 2 2" xfId="15311" xr:uid="{1224B69A-9EBF-43CA-AA93-1FDD20BE5C5E}"/>
    <cellStyle name="Normal 5 2 3 3 2 6 2 3" xfId="23746" xr:uid="{BC2A70E4-8734-4520-9005-6C7984A12E45}"/>
    <cellStyle name="Normal 5 2 3 3 2 6 3" xfId="11093" xr:uid="{1F2BCC27-36D8-4337-8F20-D9B030B708E5}"/>
    <cellStyle name="Normal 5 2 3 3 2 6 4" xfId="19529" xr:uid="{6BAD7C60-E0C6-477E-9127-EAF82470BB20}"/>
    <cellStyle name="Normal 5 2 3 3 2 7" xfId="4804" xr:uid="{00000000-0005-0000-0000-000098180000}"/>
    <cellStyle name="Normal 5 2 3 3 2 7 2" xfId="13246" xr:uid="{728355D8-E074-40E3-BEEC-36C143CDD1E0}"/>
    <cellStyle name="Normal 5 2 3 3 2 7 3" xfId="21681" xr:uid="{18C00178-A3D5-4B12-BE52-CAD2D82494AA}"/>
    <cellStyle name="Normal 5 2 3 3 2 8" xfId="9028" xr:uid="{3352A202-776F-4B60-8A6B-6642ED863892}"/>
    <cellStyle name="Normal 5 2 3 3 2 9" xfId="17464" xr:uid="{3B9ED9C1-856F-490B-A1C1-C52A18449831}"/>
    <cellStyle name="Normal 5 2 3 3 3" xfId="903" xr:uid="{00000000-0005-0000-0000-000099180000}"/>
    <cellStyle name="Normal 5 2 3 3 3 2" xfId="3138" xr:uid="{00000000-0005-0000-0000-00009A180000}"/>
    <cellStyle name="Normal 5 2 3 3 3 2 2" xfId="7361" xr:uid="{00000000-0005-0000-0000-00009B180000}"/>
    <cellStyle name="Normal 5 2 3 3 3 2 2 2" xfId="15803" xr:uid="{A523816D-768E-4C0A-8030-B70F3912C141}"/>
    <cellStyle name="Normal 5 2 3 3 3 2 2 3" xfId="24238" xr:uid="{FBF22274-3FBC-414D-9622-92DB82FC8351}"/>
    <cellStyle name="Normal 5 2 3 3 3 2 3" xfId="11585" xr:uid="{CF3AE77D-B17C-47AB-88FF-A645FBF2D517}"/>
    <cellStyle name="Normal 5 2 3 3 3 2 4" xfId="20021" xr:uid="{ECF1828E-1394-4445-8346-0808D9A291C6}"/>
    <cellStyle name="Normal 5 2 3 3 3 3" xfId="5216" xr:uid="{00000000-0005-0000-0000-00009C180000}"/>
    <cellStyle name="Normal 5 2 3 3 3 3 2" xfId="13658" xr:uid="{D7EC15A1-5667-4759-85B1-134F5B7604FF}"/>
    <cellStyle name="Normal 5 2 3 3 3 3 3" xfId="22093" xr:uid="{FD8CB4B3-ECAD-4CCC-A643-5E5380C26063}"/>
    <cellStyle name="Normal 5 2 3 3 3 4" xfId="9440" xr:uid="{4525E922-5CA7-4371-9023-60B798F72D2C}"/>
    <cellStyle name="Normal 5 2 3 3 3 5" xfId="17876" xr:uid="{498D79ED-B5F9-4167-AE86-A5941AB5C9C5}"/>
    <cellStyle name="Normal 5 2 3 3 4" xfId="1321" xr:uid="{00000000-0005-0000-0000-00009D180000}"/>
    <cellStyle name="Normal 5 2 3 3 4 2" xfId="3551" xr:uid="{00000000-0005-0000-0000-00009E180000}"/>
    <cellStyle name="Normal 5 2 3 3 4 2 2" xfId="7774" xr:uid="{00000000-0005-0000-0000-00009F180000}"/>
    <cellStyle name="Normal 5 2 3 3 4 2 2 2" xfId="16216" xr:uid="{EC291741-4349-4B72-BD78-38C2D46CA057}"/>
    <cellStyle name="Normal 5 2 3 3 4 2 2 3" xfId="24651" xr:uid="{F6932A33-531B-4A8F-8027-D9C9FE52EF22}"/>
    <cellStyle name="Normal 5 2 3 3 4 2 3" xfId="11998" xr:uid="{0A494C8E-DE3B-4D34-81F9-B14346F5C1EF}"/>
    <cellStyle name="Normal 5 2 3 3 4 2 4" xfId="20434" xr:uid="{FFB88AC3-4950-436A-A2A5-9A45BCB6ADC8}"/>
    <cellStyle name="Normal 5 2 3 3 4 3" xfId="5629" xr:uid="{00000000-0005-0000-0000-0000A0180000}"/>
    <cellStyle name="Normal 5 2 3 3 4 3 2" xfId="14071" xr:uid="{24C007AC-BDDF-448B-A2C0-311444DC2783}"/>
    <cellStyle name="Normal 5 2 3 3 4 3 3" xfId="22506" xr:uid="{AC5A1032-ED98-45DC-A0D1-3B13CD5DAE9F}"/>
    <cellStyle name="Normal 5 2 3 3 4 4" xfId="9853" xr:uid="{5EA9D06D-95BC-47D3-838C-ECE9DC339437}"/>
    <cellStyle name="Normal 5 2 3 3 4 5" xfId="18289" xr:uid="{41675EFF-FB26-4ABE-B2A8-AC68848C713E}"/>
    <cellStyle name="Normal 5 2 3 3 5" xfId="1734" xr:uid="{00000000-0005-0000-0000-0000A1180000}"/>
    <cellStyle name="Normal 5 2 3 3 5 2" xfId="3964" xr:uid="{00000000-0005-0000-0000-0000A2180000}"/>
    <cellStyle name="Normal 5 2 3 3 5 2 2" xfId="8187" xr:uid="{00000000-0005-0000-0000-0000A3180000}"/>
    <cellStyle name="Normal 5 2 3 3 5 2 2 2" xfId="16629" xr:uid="{2DA445E6-C792-4615-B3DE-CD71DC3B0A19}"/>
    <cellStyle name="Normal 5 2 3 3 5 2 2 3" xfId="25064" xr:uid="{57DA81BE-3E9C-4F9B-9C41-13BF461C2FBE}"/>
    <cellStyle name="Normal 5 2 3 3 5 2 3" xfId="12411" xr:uid="{9D5E1C3C-28E0-468D-AC17-724EA7F7E271}"/>
    <cellStyle name="Normal 5 2 3 3 5 2 4" xfId="20847" xr:uid="{B2EF291E-4239-4D73-BD87-9D5B39D07920}"/>
    <cellStyle name="Normal 5 2 3 3 5 3" xfId="6042" xr:uid="{00000000-0005-0000-0000-0000A4180000}"/>
    <cellStyle name="Normal 5 2 3 3 5 3 2" xfId="14484" xr:uid="{46CF30E8-DE4B-4490-8C3C-948264E31CD5}"/>
    <cellStyle name="Normal 5 2 3 3 5 3 3" xfId="22919" xr:uid="{3FED13B8-B84A-48F5-A305-34CB0734DFBB}"/>
    <cellStyle name="Normal 5 2 3 3 5 4" xfId="10266" xr:uid="{1AA281CA-0087-4BB2-954F-3721D71C5910}"/>
    <cellStyle name="Normal 5 2 3 3 5 5" xfId="18702" xr:uid="{4EA28D52-7207-4B3F-A16B-EDC83AB57B6F}"/>
    <cellStyle name="Normal 5 2 3 3 6" xfId="2148" xr:uid="{00000000-0005-0000-0000-0000A5180000}"/>
    <cellStyle name="Normal 5 2 3 3 6 2" xfId="4377" xr:uid="{00000000-0005-0000-0000-0000A6180000}"/>
    <cellStyle name="Normal 5 2 3 3 6 2 2" xfId="8600" xr:uid="{00000000-0005-0000-0000-0000A7180000}"/>
    <cellStyle name="Normal 5 2 3 3 6 2 2 2" xfId="17042" xr:uid="{77E01CDD-71E6-487F-955C-222B97158EF1}"/>
    <cellStyle name="Normal 5 2 3 3 6 2 2 3" xfId="25477" xr:uid="{B6EEFE38-D73D-44A0-AE1E-14BB2FB4ECB4}"/>
    <cellStyle name="Normal 5 2 3 3 6 2 3" xfId="12824" xr:uid="{9FBF87F3-1718-45BF-9140-01440E5566E0}"/>
    <cellStyle name="Normal 5 2 3 3 6 2 4" xfId="21260" xr:uid="{62F9ABDB-682C-456F-A8EE-5F7765F63ECA}"/>
    <cellStyle name="Normal 5 2 3 3 6 3" xfId="6455" xr:uid="{00000000-0005-0000-0000-0000A8180000}"/>
    <cellStyle name="Normal 5 2 3 3 6 3 2" xfId="14897" xr:uid="{C74B4A1D-D087-406D-A311-68F2EE04F537}"/>
    <cellStyle name="Normal 5 2 3 3 6 3 3" xfId="23332" xr:uid="{E2EE7309-0591-414E-AA1D-F3CD611DD7CA}"/>
    <cellStyle name="Normal 5 2 3 3 6 4" xfId="10679" xr:uid="{B2350E65-08F7-4344-A868-3DB69CB0895B}"/>
    <cellStyle name="Normal 5 2 3 3 6 5" xfId="19115" xr:uid="{3BE87E5E-C46F-44FE-AE52-0764519AF710}"/>
    <cellStyle name="Normal 5 2 3 3 7" xfId="2584" xr:uid="{00000000-0005-0000-0000-0000A9180000}"/>
    <cellStyle name="Normal 5 2 3 3 7 2" xfId="6868" xr:uid="{00000000-0005-0000-0000-0000AA180000}"/>
    <cellStyle name="Normal 5 2 3 3 7 2 2" xfId="15310" xr:uid="{FDBDA5D0-1CEC-47CF-A8A2-140EB362AFC6}"/>
    <cellStyle name="Normal 5 2 3 3 7 2 3" xfId="23745" xr:uid="{744EA6C9-AD97-49C1-A8DD-BA77AFF298AF}"/>
    <cellStyle name="Normal 5 2 3 3 7 3" xfId="11092" xr:uid="{AC6B9EE7-6BDC-4322-9576-15E9F8EAB452}"/>
    <cellStyle name="Normal 5 2 3 3 7 4" xfId="19528" xr:uid="{4CE80A49-61FB-48A1-888E-4B3C96276E97}"/>
    <cellStyle name="Normal 5 2 3 3 8" xfId="4803" xr:uid="{00000000-0005-0000-0000-0000AB180000}"/>
    <cellStyle name="Normal 5 2 3 3 8 2" xfId="13245" xr:uid="{888DED0B-38A7-4703-9D33-C4FD967586C5}"/>
    <cellStyle name="Normal 5 2 3 3 8 3" xfId="21680" xr:uid="{357E29F2-B8D3-4820-B7F6-1458831A87DB}"/>
    <cellStyle name="Normal 5 2 3 3 9" xfId="9027" xr:uid="{62BB5621-EBEE-4AEC-A099-1D8713678D6F}"/>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2 2 2" xfId="15805" xr:uid="{C589CBEC-0C20-4428-BD2E-0211EF78283E}"/>
    <cellStyle name="Normal 5 2 3 4 2 2 2 3" xfId="24240" xr:uid="{82EA3E74-4199-4D1B-9E37-E9CA02377093}"/>
    <cellStyle name="Normal 5 2 3 4 2 2 3" xfId="11587" xr:uid="{1F9F9268-215F-4595-B982-233B10932C7E}"/>
    <cellStyle name="Normal 5 2 3 4 2 2 4" xfId="20023" xr:uid="{F1F1A807-0B69-4A13-A95A-593AE5F87984}"/>
    <cellStyle name="Normal 5 2 3 4 2 3" xfId="5218" xr:uid="{00000000-0005-0000-0000-0000B0180000}"/>
    <cellStyle name="Normal 5 2 3 4 2 3 2" xfId="13660" xr:uid="{00F935CC-DF8B-4E68-B3CD-51C92B7EC45E}"/>
    <cellStyle name="Normal 5 2 3 4 2 3 3" xfId="22095" xr:uid="{616F5CE1-2E84-46AA-974F-1DE474700F89}"/>
    <cellStyle name="Normal 5 2 3 4 2 4" xfId="9442" xr:uid="{C914EF51-B836-42F7-8818-7B9581FF070D}"/>
    <cellStyle name="Normal 5 2 3 4 2 5" xfId="17878" xr:uid="{108755A7-7188-40D8-989C-3DD7CCD24F6F}"/>
    <cellStyle name="Normal 5 2 3 4 3" xfId="1323" xr:uid="{00000000-0005-0000-0000-0000B1180000}"/>
    <cellStyle name="Normal 5 2 3 4 3 2" xfId="3553" xr:uid="{00000000-0005-0000-0000-0000B2180000}"/>
    <cellStyle name="Normal 5 2 3 4 3 2 2" xfId="7776" xr:uid="{00000000-0005-0000-0000-0000B3180000}"/>
    <cellStyle name="Normal 5 2 3 4 3 2 2 2" xfId="16218" xr:uid="{0896E0E2-8CC6-4250-8138-ACD3D9D2A53A}"/>
    <cellStyle name="Normal 5 2 3 4 3 2 2 3" xfId="24653" xr:uid="{9FD57FE8-A9C5-4644-94A6-D7AF3295BB36}"/>
    <cellStyle name="Normal 5 2 3 4 3 2 3" xfId="12000" xr:uid="{0ECFC78B-FBD6-46CA-908C-CD2FE05F8EE0}"/>
    <cellStyle name="Normal 5 2 3 4 3 2 4" xfId="20436" xr:uid="{6C1E3A77-C4F7-40DF-9CE1-9D70877E3573}"/>
    <cellStyle name="Normal 5 2 3 4 3 3" xfId="5631" xr:uid="{00000000-0005-0000-0000-0000B4180000}"/>
    <cellStyle name="Normal 5 2 3 4 3 3 2" xfId="14073" xr:uid="{0AE26D78-880F-4EBF-B173-3DB779D037C9}"/>
    <cellStyle name="Normal 5 2 3 4 3 3 3" xfId="22508" xr:uid="{31E0813D-3965-410C-95F8-680A81A92DC0}"/>
    <cellStyle name="Normal 5 2 3 4 3 4" xfId="9855" xr:uid="{BD69FD5C-2D0E-424A-AE7B-E1F3AC3AC3BA}"/>
    <cellStyle name="Normal 5 2 3 4 3 5" xfId="18291" xr:uid="{F19B3969-4776-4438-881D-46DDAECD076F}"/>
    <cellStyle name="Normal 5 2 3 4 4" xfId="1736" xr:uid="{00000000-0005-0000-0000-0000B5180000}"/>
    <cellStyle name="Normal 5 2 3 4 4 2" xfId="3966" xr:uid="{00000000-0005-0000-0000-0000B6180000}"/>
    <cellStyle name="Normal 5 2 3 4 4 2 2" xfId="8189" xr:uid="{00000000-0005-0000-0000-0000B7180000}"/>
    <cellStyle name="Normal 5 2 3 4 4 2 2 2" xfId="16631" xr:uid="{54ED8147-3374-42AC-90E6-4FC420733595}"/>
    <cellStyle name="Normal 5 2 3 4 4 2 2 3" xfId="25066" xr:uid="{2B81BC86-043E-42A7-8DDA-D4012E7C0ABB}"/>
    <cellStyle name="Normal 5 2 3 4 4 2 3" xfId="12413" xr:uid="{C6BDAFD1-4995-4F07-86CC-5B8D7024AB56}"/>
    <cellStyle name="Normal 5 2 3 4 4 2 4" xfId="20849" xr:uid="{E6B00716-9E49-4653-AE10-524018164832}"/>
    <cellStyle name="Normal 5 2 3 4 4 3" xfId="6044" xr:uid="{00000000-0005-0000-0000-0000B8180000}"/>
    <cellStyle name="Normal 5 2 3 4 4 3 2" xfId="14486" xr:uid="{142C2B68-35D6-4B35-A518-A4E959FD09D5}"/>
    <cellStyle name="Normal 5 2 3 4 4 3 3" xfId="22921" xr:uid="{A5716522-899F-4148-8344-F4B73BB5B7FC}"/>
    <cellStyle name="Normal 5 2 3 4 4 4" xfId="10268" xr:uid="{EF63B8B0-957E-4E3D-A7B4-7B71F7F0BAD0}"/>
    <cellStyle name="Normal 5 2 3 4 4 5" xfId="18704" xr:uid="{15E70FCF-A60A-4E82-907D-165767A77090}"/>
    <cellStyle name="Normal 5 2 3 4 5" xfId="2150" xr:uid="{00000000-0005-0000-0000-0000B9180000}"/>
    <cellStyle name="Normal 5 2 3 4 5 2" xfId="4379" xr:uid="{00000000-0005-0000-0000-0000BA180000}"/>
    <cellStyle name="Normal 5 2 3 4 5 2 2" xfId="8602" xr:uid="{00000000-0005-0000-0000-0000BB180000}"/>
    <cellStyle name="Normal 5 2 3 4 5 2 2 2" xfId="17044" xr:uid="{F640A9DF-8940-4C82-9907-420212151D6C}"/>
    <cellStyle name="Normal 5 2 3 4 5 2 2 3" xfId="25479" xr:uid="{566DE748-A69C-4AED-95F4-3DA34D7CECA6}"/>
    <cellStyle name="Normal 5 2 3 4 5 2 3" xfId="12826" xr:uid="{B77203E0-4031-4D8E-B56B-488F3E33EBB7}"/>
    <cellStyle name="Normal 5 2 3 4 5 2 4" xfId="21262" xr:uid="{49B541FD-F965-4370-97DE-0B0EA09BE4D2}"/>
    <cellStyle name="Normal 5 2 3 4 5 3" xfId="6457" xr:uid="{00000000-0005-0000-0000-0000BC180000}"/>
    <cellStyle name="Normal 5 2 3 4 5 3 2" xfId="14899" xr:uid="{F0C2E358-13E1-4E15-9DF0-D6A1F732495F}"/>
    <cellStyle name="Normal 5 2 3 4 5 3 3" xfId="23334" xr:uid="{CA122097-4390-4287-BCB8-5616E16A5FC0}"/>
    <cellStyle name="Normal 5 2 3 4 5 4" xfId="10681" xr:uid="{787F6AA4-848F-44D9-AF14-CED2E9D7E676}"/>
    <cellStyle name="Normal 5 2 3 4 5 5" xfId="19117" xr:uid="{1710FF31-2A09-44F0-AFF8-3D9DCF5FCAE3}"/>
    <cellStyle name="Normal 5 2 3 4 6" xfId="2586" xr:uid="{00000000-0005-0000-0000-0000BD180000}"/>
    <cellStyle name="Normal 5 2 3 4 6 2" xfId="6870" xr:uid="{00000000-0005-0000-0000-0000BE180000}"/>
    <cellStyle name="Normal 5 2 3 4 6 2 2" xfId="15312" xr:uid="{5EE56669-DFB2-46B4-9FF1-CD395058DE38}"/>
    <cellStyle name="Normal 5 2 3 4 6 2 3" xfId="23747" xr:uid="{AFF521F8-F546-46E1-90F5-8EEB45A18945}"/>
    <cellStyle name="Normal 5 2 3 4 6 3" xfId="11094" xr:uid="{7446D764-F243-4BE9-8BA3-0F3B223BD7FC}"/>
    <cellStyle name="Normal 5 2 3 4 6 4" xfId="19530" xr:uid="{5CE91FF6-F110-446C-BA80-BBBDDCB73F40}"/>
    <cellStyle name="Normal 5 2 3 4 7" xfId="4805" xr:uid="{00000000-0005-0000-0000-0000BF180000}"/>
    <cellStyle name="Normal 5 2 3 4 7 2" xfId="13247" xr:uid="{A2D33740-51C7-4AD8-9693-B0426A9B74CC}"/>
    <cellStyle name="Normal 5 2 3 4 7 3" xfId="21682" xr:uid="{D445D559-CFDF-42CD-AC2D-C3DFFED037CC}"/>
    <cellStyle name="Normal 5 2 3 4 8" xfId="9029" xr:uid="{84985B74-5346-4C63-8E81-C19645F6007B}"/>
    <cellStyle name="Normal 5 2 3 4 9" xfId="17465" xr:uid="{18E0388F-448B-4284-B8AF-C7C9CC43668F}"/>
    <cellStyle name="Normal 5 2 3 5" xfId="898" xr:uid="{00000000-0005-0000-0000-0000C0180000}"/>
    <cellStyle name="Normal 5 2 3 5 2" xfId="3133" xr:uid="{00000000-0005-0000-0000-0000C1180000}"/>
    <cellStyle name="Normal 5 2 3 5 2 2" xfId="7356" xr:uid="{00000000-0005-0000-0000-0000C2180000}"/>
    <cellStyle name="Normal 5 2 3 5 2 2 2" xfId="15798" xr:uid="{18652CDA-439B-4B70-84F6-7DDD7FD65B3E}"/>
    <cellStyle name="Normal 5 2 3 5 2 2 3" xfId="24233" xr:uid="{299C7F95-16FB-430F-B8B3-B82071EE8894}"/>
    <cellStyle name="Normal 5 2 3 5 2 3" xfId="11580" xr:uid="{E82CE6B6-8AC5-4399-8E7C-D00F618D453D}"/>
    <cellStyle name="Normal 5 2 3 5 2 4" xfId="20016" xr:uid="{F42E7E0A-B046-413B-8CE7-70097F0E519F}"/>
    <cellStyle name="Normal 5 2 3 5 3" xfId="5211" xr:uid="{00000000-0005-0000-0000-0000C3180000}"/>
    <cellStyle name="Normal 5 2 3 5 3 2" xfId="13653" xr:uid="{637114CC-CAA4-4924-A607-11A685645B39}"/>
    <cellStyle name="Normal 5 2 3 5 3 3" xfId="22088" xr:uid="{A16BF971-BDA7-4794-B573-0EDE032E371B}"/>
    <cellStyle name="Normal 5 2 3 5 4" xfId="9435" xr:uid="{82DE2E23-FEAA-4D25-93B9-D1BCD4129E0D}"/>
    <cellStyle name="Normal 5 2 3 5 5" xfId="17871" xr:uid="{7F537560-93F7-4BFB-A6DD-6DE4FF82FCCA}"/>
    <cellStyle name="Normal 5 2 3 6" xfId="1316" xr:uid="{00000000-0005-0000-0000-0000C4180000}"/>
    <cellStyle name="Normal 5 2 3 6 2" xfId="3546" xr:uid="{00000000-0005-0000-0000-0000C5180000}"/>
    <cellStyle name="Normal 5 2 3 6 2 2" xfId="7769" xr:uid="{00000000-0005-0000-0000-0000C6180000}"/>
    <cellStyle name="Normal 5 2 3 6 2 2 2" xfId="16211" xr:uid="{9E63B662-6AE6-45F5-8BE3-CBAD83CD3A81}"/>
    <cellStyle name="Normal 5 2 3 6 2 2 3" xfId="24646" xr:uid="{0284F21F-B156-4134-8EB0-2E591F8E7376}"/>
    <cellStyle name="Normal 5 2 3 6 2 3" xfId="11993" xr:uid="{9343BBAF-4C07-4995-8863-37692F97ABA9}"/>
    <cellStyle name="Normal 5 2 3 6 2 4" xfId="20429" xr:uid="{4971687A-B3DF-41DF-AA7D-D20EAE14083B}"/>
    <cellStyle name="Normal 5 2 3 6 3" xfId="5624" xr:uid="{00000000-0005-0000-0000-0000C7180000}"/>
    <cellStyle name="Normal 5 2 3 6 3 2" xfId="14066" xr:uid="{B5A3B946-5633-4025-A500-852BF1BBBC55}"/>
    <cellStyle name="Normal 5 2 3 6 3 3" xfId="22501" xr:uid="{70F683C3-2C4E-4350-8B12-825630A2ECC2}"/>
    <cellStyle name="Normal 5 2 3 6 4" xfId="9848" xr:uid="{D076F1E0-A33A-4C5C-BD07-A79CC1B2489B}"/>
    <cellStyle name="Normal 5 2 3 6 5" xfId="18284" xr:uid="{8757166A-30CC-418D-8AF5-0206FB0BCA44}"/>
    <cellStyle name="Normal 5 2 3 7" xfId="1729" xr:uid="{00000000-0005-0000-0000-0000C8180000}"/>
    <cellStyle name="Normal 5 2 3 7 2" xfId="3959" xr:uid="{00000000-0005-0000-0000-0000C9180000}"/>
    <cellStyle name="Normal 5 2 3 7 2 2" xfId="8182" xr:uid="{00000000-0005-0000-0000-0000CA180000}"/>
    <cellStyle name="Normal 5 2 3 7 2 2 2" xfId="16624" xr:uid="{671E9491-B1DE-4243-9D1D-85A23D2F846A}"/>
    <cellStyle name="Normal 5 2 3 7 2 2 3" xfId="25059" xr:uid="{BFED3589-5E60-4192-AE2A-34E71319D670}"/>
    <cellStyle name="Normal 5 2 3 7 2 3" xfId="12406" xr:uid="{F9D0A562-0FE3-4D4B-8A2C-429D0BA4543A}"/>
    <cellStyle name="Normal 5 2 3 7 2 4" xfId="20842" xr:uid="{2A2948D7-CD89-4AC5-802A-8ED58FDC495C}"/>
    <cellStyle name="Normal 5 2 3 7 3" xfId="6037" xr:uid="{00000000-0005-0000-0000-0000CB180000}"/>
    <cellStyle name="Normal 5 2 3 7 3 2" xfId="14479" xr:uid="{E909C9B9-A900-4D04-91F8-079F73BC46DF}"/>
    <cellStyle name="Normal 5 2 3 7 3 3" xfId="22914" xr:uid="{82CFA56C-44D8-4457-B9F4-B7DA2682C01E}"/>
    <cellStyle name="Normal 5 2 3 7 4" xfId="10261" xr:uid="{2C310956-ECF5-4BA5-B8CD-F85D26440BD6}"/>
    <cellStyle name="Normal 5 2 3 7 5" xfId="18697" xr:uid="{CE383098-B6B6-43D9-8220-CE3A8FCBCDCD}"/>
    <cellStyle name="Normal 5 2 3 8" xfId="2143" xr:uid="{00000000-0005-0000-0000-0000CC180000}"/>
    <cellStyle name="Normal 5 2 3 8 2" xfId="4372" xr:uid="{00000000-0005-0000-0000-0000CD180000}"/>
    <cellStyle name="Normal 5 2 3 8 2 2" xfId="8595" xr:uid="{00000000-0005-0000-0000-0000CE180000}"/>
    <cellStyle name="Normal 5 2 3 8 2 2 2" xfId="17037" xr:uid="{0C1EC37F-36DC-473A-9F4E-3025C29AD7EC}"/>
    <cellStyle name="Normal 5 2 3 8 2 2 3" xfId="25472" xr:uid="{548EF725-EB07-4214-A7ED-6386B11455D8}"/>
    <cellStyle name="Normal 5 2 3 8 2 3" xfId="12819" xr:uid="{8C184058-A152-4EDC-9FA2-15FF7AEC8D37}"/>
    <cellStyle name="Normal 5 2 3 8 2 4" xfId="21255" xr:uid="{48B18A6B-5F56-46FB-824F-768924DAF18B}"/>
    <cellStyle name="Normal 5 2 3 8 3" xfId="6450" xr:uid="{00000000-0005-0000-0000-0000CF180000}"/>
    <cellStyle name="Normal 5 2 3 8 3 2" xfId="14892" xr:uid="{4FD4E315-994D-47BF-BF26-9B20BF48FCE3}"/>
    <cellStyle name="Normal 5 2 3 8 3 3" xfId="23327" xr:uid="{573AE5A8-83A4-4D4D-8E19-0D574F764E72}"/>
    <cellStyle name="Normal 5 2 3 8 4" xfId="10674" xr:uid="{CB1B84F1-CB3B-45DE-93B8-3C42D393F09A}"/>
    <cellStyle name="Normal 5 2 3 8 5" xfId="19110" xr:uid="{F01CE4AE-97CF-45D3-A0F5-43227DD5C60E}"/>
    <cellStyle name="Normal 5 2 3 9" xfId="2579" xr:uid="{00000000-0005-0000-0000-0000D0180000}"/>
    <cellStyle name="Normal 5 2 3 9 2" xfId="6863" xr:uid="{00000000-0005-0000-0000-0000D1180000}"/>
    <cellStyle name="Normal 5 2 3 9 2 2" xfId="15305" xr:uid="{A77C519D-8AD4-4FAC-8706-FE3FD405C991}"/>
    <cellStyle name="Normal 5 2 3 9 2 3" xfId="23740" xr:uid="{288398FB-C27F-4EE2-97A0-579CA1D128EB}"/>
    <cellStyle name="Normal 5 2 3 9 3" xfId="11087" xr:uid="{2BFCDB63-8F69-4A59-9D46-41A17DC65EAE}"/>
    <cellStyle name="Normal 5 2 3 9 4" xfId="19523" xr:uid="{0F9BC9E1-03F0-4A0B-B865-95DC3F4633F5}"/>
    <cellStyle name="Normal 5 2 4" xfId="432" xr:uid="{00000000-0005-0000-0000-0000D2180000}"/>
    <cellStyle name="Normal 5 2 4 10" xfId="9030" xr:uid="{22280ADA-3291-45A7-94D5-87F8EDA065B0}"/>
    <cellStyle name="Normal 5 2 4 11" xfId="17466" xr:uid="{150190F6-201E-4C0E-AF4C-2B912EF2D26B}"/>
    <cellStyle name="Normal 5 2 4 2" xfId="433" xr:uid="{00000000-0005-0000-0000-0000D3180000}"/>
    <cellStyle name="Normal 5 2 4 2 10" xfId="17467" xr:uid="{39A5E01D-D243-4BE6-9B91-395A08252594}"/>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2 2 2" xfId="15808" xr:uid="{97FF5950-143C-4BB5-A148-7E17F7797FB4}"/>
    <cellStyle name="Normal 5 2 4 2 2 2 2 2 3" xfId="24243" xr:uid="{5D5E2B2D-67E6-49A2-85EF-D684A68D2057}"/>
    <cellStyle name="Normal 5 2 4 2 2 2 2 3" xfId="11590" xr:uid="{F55D206C-396B-4BF6-B17E-D11A745B1E75}"/>
    <cellStyle name="Normal 5 2 4 2 2 2 2 4" xfId="20026" xr:uid="{C4EB94E4-4ED2-4788-B6D7-C87F4D7F1BF4}"/>
    <cellStyle name="Normal 5 2 4 2 2 2 3" xfId="5221" xr:uid="{00000000-0005-0000-0000-0000D8180000}"/>
    <cellStyle name="Normal 5 2 4 2 2 2 3 2" xfId="13663" xr:uid="{F547D1A4-6E4A-4B0C-A60D-5E191B500FDF}"/>
    <cellStyle name="Normal 5 2 4 2 2 2 3 3" xfId="22098" xr:uid="{D65A984A-1434-4308-BEF8-7DF4B9B5B907}"/>
    <cellStyle name="Normal 5 2 4 2 2 2 4" xfId="9445" xr:uid="{E1BF95C1-6523-44B7-BC28-C52A390D7F20}"/>
    <cellStyle name="Normal 5 2 4 2 2 2 5" xfId="17881" xr:uid="{61877882-699B-454F-942E-79376C400131}"/>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2 2 2" xfId="16221" xr:uid="{E446EDBD-E415-423B-9080-B6724FFBD847}"/>
    <cellStyle name="Normal 5 2 4 2 2 3 2 2 3" xfId="24656" xr:uid="{04AF4E7C-0D4F-47E3-B145-5A2EFA9964AD}"/>
    <cellStyle name="Normal 5 2 4 2 2 3 2 3" xfId="12003" xr:uid="{B612CADC-DF68-4A44-8389-B178B3C8FAC2}"/>
    <cellStyle name="Normal 5 2 4 2 2 3 2 4" xfId="20439" xr:uid="{AE44B443-F159-41CF-83AB-1568CBD2BEAC}"/>
    <cellStyle name="Normal 5 2 4 2 2 3 3" xfId="5634" xr:uid="{00000000-0005-0000-0000-0000DC180000}"/>
    <cellStyle name="Normal 5 2 4 2 2 3 3 2" xfId="14076" xr:uid="{ADCBBA77-66A6-447F-980F-C5E15FA04596}"/>
    <cellStyle name="Normal 5 2 4 2 2 3 3 3" xfId="22511" xr:uid="{C98B9F27-081D-4659-8163-E5343AE277FD}"/>
    <cellStyle name="Normal 5 2 4 2 2 3 4" xfId="9858" xr:uid="{F89D2CF9-1320-4230-AEEE-FFC6533F7BCF}"/>
    <cellStyle name="Normal 5 2 4 2 2 3 5" xfId="18294" xr:uid="{41996DD7-6814-48BD-A93E-44B18A120206}"/>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2 2 2" xfId="16634" xr:uid="{7C31CC9E-E0DD-4081-9D81-64B56D3F1DD1}"/>
    <cellStyle name="Normal 5 2 4 2 2 4 2 2 3" xfId="25069" xr:uid="{B7B471B5-6C37-49EA-9C4C-4824D77E0AE9}"/>
    <cellStyle name="Normal 5 2 4 2 2 4 2 3" xfId="12416" xr:uid="{47432FD3-9C27-4B66-BA02-D817D4C264A4}"/>
    <cellStyle name="Normal 5 2 4 2 2 4 2 4" xfId="20852" xr:uid="{2F3D03C8-7E04-4376-B94B-7BC759CEB8D0}"/>
    <cellStyle name="Normal 5 2 4 2 2 4 3" xfId="6047" xr:uid="{00000000-0005-0000-0000-0000E0180000}"/>
    <cellStyle name="Normal 5 2 4 2 2 4 3 2" xfId="14489" xr:uid="{46AA86F6-0802-4477-A862-CDE83A633B84}"/>
    <cellStyle name="Normal 5 2 4 2 2 4 3 3" xfId="22924" xr:uid="{7ECE1668-73B9-46E0-AB8A-91D47174BF20}"/>
    <cellStyle name="Normal 5 2 4 2 2 4 4" xfId="10271" xr:uid="{0C0C5D89-ECED-469C-981B-2E768882825E}"/>
    <cellStyle name="Normal 5 2 4 2 2 4 5" xfId="18707" xr:uid="{38B49885-7309-4617-894E-C8172BA8895E}"/>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2 2 2" xfId="17047" xr:uid="{DE1D2D0E-22B8-422D-911F-B855D16DD375}"/>
    <cellStyle name="Normal 5 2 4 2 2 5 2 2 3" xfId="25482" xr:uid="{D3EDFCA9-ED53-4CAB-8913-7CF31A2BCA13}"/>
    <cellStyle name="Normal 5 2 4 2 2 5 2 3" xfId="12829" xr:uid="{B3AACF54-FE77-4C10-BECC-6CAED79F356C}"/>
    <cellStyle name="Normal 5 2 4 2 2 5 2 4" xfId="21265" xr:uid="{2ECC70CC-5320-43A9-9378-4D7BA9B63C15}"/>
    <cellStyle name="Normal 5 2 4 2 2 5 3" xfId="6460" xr:uid="{00000000-0005-0000-0000-0000E4180000}"/>
    <cellStyle name="Normal 5 2 4 2 2 5 3 2" xfId="14902" xr:uid="{222EE359-DA83-4054-B4B6-2D1E2F5F4F3E}"/>
    <cellStyle name="Normal 5 2 4 2 2 5 3 3" xfId="23337" xr:uid="{42151D6A-0442-4AC9-B609-758B30E97C01}"/>
    <cellStyle name="Normal 5 2 4 2 2 5 4" xfId="10684" xr:uid="{ECB5204D-F560-49A4-B0BC-11941DCDD311}"/>
    <cellStyle name="Normal 5 2 4 2 2 5 5" xfId="19120" xr:uid="{6DEA68FC-679E-4F0C-8246-F9DFDD6DA66F}"/>
    <cellStyle name="Normal 5 2 4 2 2 6" xfId="2589" xr:uid="{00000000-0005-0000-0000-0000E5180000}"/>
    <cellStyle name="Normal 5 2 4 2 2 6 2" xfId="6873" xr:uid="{00000000-0005-0000-0000-0000E6180000}"/>
    <cellStyle name="Normal 5 2 4 2 2 6 2 2" xfId="15315" xr:uid="{2D7FC9A7-7BE3-41C6-A414-F7A3E2D283D6}"/>
    <cellStyle name="Normal 5 2 4 2 2 6 2 3" xfId="23750" xr:uid="{1D53A543-AF8E-42F6-84F6-AF3896583DFB}"/>
    <cellStyle name="Normal 5 2 4 2 2 6 3" xfId="11097" xr:uid="{5257BD25-367A-421F-8227-CFB005B6A83D}"/>
    <cellStyle name="Normal 5 2 4 2 2 6 4" xfId="19533" xr:uid="{4247F0A9-46C8-4A8F-BBF4-0E22F310FB4A}"/>
    <cellStyle name="Normal 5 2 4 2 2 7" xfId="4808" xr:uid="{00000000-0005-0000-0000-0000E7180000}"/>
    <cellStyle name="Normal 5 2 4 2 2 7 2" xfId="13250" xr:uid="{C7EEB6F0-A6A0-46CE-B3C5-F2E5E409B8A0}"/>
    <cellStyle name="Normal 5 2 4 2 2 7 3" xfId="21685" xr:uid="{0ACD61EC-F140-4D4D-865B-78D71F498FAC}"/>
    <cellStyle name="Normal 5 2 4 2 2 8" xfId="9032" xr:uid="{C4711F29-F704-463F-9710-392CE586DE7C}"/>
    <cellStyle name="Normal 5 2 4 2 2 9" xfId="17468" xr:uid="{966672B1-B920-4BD1-9177-FFB98759D045}"/>
    <cellStyle name="Normal 5 2 4 2 3" xfId="907" xr:uid="{00000000-0005-0000-0000-0000E8180000}"/>
    <cellStyle name="Normal 5 2 4 2 3 2" xfId="3142" xr:uid="{00000000-0005-0000-0000-0000E9180000}"/>
    <cellStyle name="Normal 5 2 4 2 3 2 2" xfId="7365" xr:uid="{00000000-0005-0000-0000-0000EA180000}"/>
    <cellStyle name="Normal 5 2 4 2 3 2 2 2" xfId="15807" xr:uid="{68F46174-1DB4-4731-BF00-5B021C2942DB}"/>
    <cellStyle name="Normal 5 2 4 2 3 2 2 3" xfId="24242" xr:uid="{6AD5D41A-7943-4D47-B61A-63D5DDDF31D6}"/>
    <cellStyle name="Normal 5 2 4 2 3 2 3" xfId="11589" xr:uid="{1ED5B7DD-F88C-4980-9C63-79DC9D4AC773}"/>
    <cellStyle name="Normal 5 2 4 2 3 2 4" xfId="20025" xr:uid="{B421FC03-2C38-44A0-A3E8-21F9F5266AEC}"/>
    <cellStyle name="Normal 5 2 4 2 3 3" xfId="5220" xr:uid="{00000000-0005-0000-0000-0000EB180000}"/>
    <cellStyle name="Normal 5 2 4 2 3 3 2" xfId="13662" xr:uid="{2209E1DB-82AF-44D6-9CAD-1EAE2F231633}"/>
    <cellStyle name="Normal 5 2 4 2 3 3 3" xfId="22097" xr:uid="{87B5D556-DB8B-4787-B864-15B166DD63B3}"/>
    <cellStyle name="Normal 5 2 4 2 3 4" xfId="9444" xr:uid="{8D4CDC94-D701-41AE-94C1-B052312DD606}"/>
    <cellStyle name="Normal 5 2 4 2 3 5" xfId="17880" xr:uid="{FB6E7F17-496F-4089-BE13-18D58D820B73}"/>
    <cellStyle name="Normal 5 2 4 2 4" xfId="1325" xr:uid="{00000000-0005-0000-0000-0000EC180000}"/>
    <cellStyle name="Normal 5 2 4 2 4 2" xfId="3555" xr:uid="{00000000-0005-0000-0000-0000ED180000}"/>
    <cellStyle name="Normal 5 2 4 2 4 2 2" xfId="7778" xr:uid="{00000000-0005-0000-0000-0000EE180000}"/>
    <cellStyle name="Normal 5 2 4 2 4 2 2 2" xfId="16220" xr:uid="{B7317A25-A0F9-43B7-86F8-B43F434E17C5}"/>
    <cellStyle name="Normal 5 2 4 2 4 2 2 3" xfId="24655" xr:uid="{2CBE69AE-1331-472F-A596-477813C44C16}"/>
    <cellStyle name="Normal 5 2 4 2 4 2 3" xfId="12002" xr:uid="{B1053A06-4922-4C59-9C07-13CD5366E072}"/>
    <cellStyle name="Normal 5 2 4 2 4 2 4" xfId="20438" xr:uid="{136AF625-BD3B-48AC-8561-EC56E56B65AE}"/>
    <cellStyle name="Normal 5 2 4 2 4 3" xfId="5633" xr:uid="{00000000-0005-0000-0000-0000EF180000}"/>
    <cellStyle name="Normal 5 2 4 2 4 3 2" xfId="14075" xr:uid="{0E836109-18C1-47FC-BCCC-8905831E7ECF}"/>
    <cellStyle name="Normal 5 2 4 2 4 3 3" xfId="22510" xr:uid="{4D41FD97-62A1-4635-B3C2-977DA0F4F37D}"/>
    <cellStyle name="Normal 5 2 4 2 4 4" xfId="9857" xr:uid="{46D3A909-2F1F-477E-ADD4-796B003C98FA}"/>
    <cellStyle name="Normal 5 2 4 2 4 5" xfId="18293" xr:uid="{FD20EAB9-14A3-454F-B565-8783B3D89CE0}"/>
    <cellStyle name="Normal 5 2 4 2 5" xfId="1738" xr:uid="{00000000-0005-0000-0000-0000F0180000}"/>
    <cellStyle name="Normal 5 2 4 2 5 2" xfId="3968" xr:uid="{00000000-0005-0000-0000-0000F1180000}"/>
    <cellStyle name="Normal 5 2 4 2 5 2 2" xfId="8191" xr:uid="{00000000-0005-0000-0000-0000F2180000}"/>
    <cellStyle name="Normal 5 2 4 2 5 2 2 2" xfId="16633" xr:uid="{747C6298-FAF2-4813-ADD8-C68763834E97}"/>
    <cellStyle name="Normal 5 2 4 2 5 2 2 3" xfId="25068" xr:uid="{19867D60-5BCE-4A3C-9CF4-F4C64E04555A}"/>
    <cellStyle name="Normal 5 2 4 2 5 2 3" xfId="12415" xr:uid="{34027732-A1D3-496E-9B58-A3B7F0C29E37}"/>
    <cellStyle name="Normal 5 2 4 2 5 2 4" xfId="20851" xr:uid="{4FE516D0-065B-4979-AE42-10A8BCA7F952}"/>
    <cellStyle name="Normal 5 2 4 2 5 3" xfId="6046" xr:uid="{00000000-0005-0000-0000-0000F3180000}"/>
    <cellStyle name="Normal 5 2 4 2 5 3 2" xfId="14488" xr:uid="{9C094C44-927D-425C-8FEE-56C1BBEA96CC}"/>
    <cellStyle name="Normal 5 2 4 2 5 3 3" xfId="22923" xr:uid="{1528036F-0F00-4E6A-B5C9-904DC94FC3C7}"/>
    <cellStyle name="Normal 5 2 4 2 5 4" xfId="10270" xr:uid="{AD98DA2D-2249-4BE5-A7C7-09DD8904D72D}"/>
    <cellStyle name="Normal 5 2 4 2 5 5" xfId="18706" xr:uid="{675287D5-3AE8-4A2F-AFFB-C65A7A9BF288}"/>
    <cellStyle name="Normal 5 2 4 2 6" xfId="2152" xr:uid="{00000000-0005-0000-0000-0000F4180000}"/>
    <cellStyle name="Normal 5 2 4 2 6 2" xfId="4381" xr:uid="{00000000-0005-0000-0000-0000F5180000}"/>
    <cellStyle name="Normal 5 2 4 2 6 2 2" xfId="8604" xr:uid="{00000000-0005-0000-0000-0000F6180000}"/>
    <cellStyle name="Normal 5 2 4 2 6 2 2 2" xfId="17046" xr:uid="{EAE72B94-D81E-475A-84C7-1780178046F3}"/>
    <cellStyle name="Normal 5 2 4 2 6 2 2 3" xfId="25481" xr:uid="{F844A8BA-8A87-4DA6-912F-738851764D25}"/>
    <cellStyle name="Normal 5 2 4 2 6 2 3" xfId="12828" xr:uid="{1F5E5071-D183-43D1-9EF2-A9A6666C024C}"/>
    <cellStyle name="Normal 5 2 4 2 6 2 4" xfId="21264" xr:uid="{59E288E4-8FFA-4947-B4A4-8595CA7DA8B1}"/>
    <cellStyle name="Normal 5 2 4 2 6 3" xfId="6459" xr:uid="{00000000-0005-0000-0000-0000F7180000}"/>
    <cellStyle name="Normal 5 2 4 2 6 3 2" xfId="14901" xr:uid="{54FC662A-EFCD-4818-925E-CEB143CF8A75}"/>
    <cellStyle name="Normal 5 2 4 2 6 3 3" xfId="23336" xr:uid="{F94D79D2-69F0-4AB9-A1B8-FA8777990EEC}"/>
    <cellStyle name="Normal 5 2 4 2 6 4" xfId="10683" xr:uid="{C974DE29-32E4-48B2-8BD3-4667D98E96F0}"/>
    <cellStyle name="Normal 5 2 4 2 6 5" xfId="19119" xr:uid="{72BF4ECB-7B71-48CD-B8FA-555D9A3B5238}"/>
    <cellStyle name="Normal 5 2 4 2 7" xfId="2588" xr:uid="{00000000-0005-0000-0000-0000F8180000}"/>
    <cellStyle name="Normal 5 2 4 2 7 2" xfId="6872" xr:uid="{00000000-0005-0000-0000-0000F9180000}"/>
    <cellStyle name="Normal 5 2 4 2 7 2 2" xfId="15314" xr:uid="{6F9A6CC3-50FB-4BE6-8EC7-CD150429DC25}"/>
    <cellStyle name="Normal 5 2 4 2 7 2 3" xfId="23749" xr:uid="{A9FEF798-B369-43B8-AFB7-883A994ADCDB}"/>
    <cellStyle name="Normal 5 2 4 2 7 3" xfId="11096" xr:uid="{DB944BC2-FF87-4ABD-A1F2-44EACCFDC154}"/>
    <cellStyle name="Normal 5 2 4 2 7 4" xfId="19532" xr:uid="{5DC11B09-CBF2-4DDF-8751-E82C2CB8C383}"/>
    <cellStyle name="Normal 5 2 4 2 8" xfId="4807" xr:uid="{00000000-0005-0000-0000-0000FA180000}"/>
    <cellStyle name="Normal 5 2 4 2 8 2" xfId="13249" xr:uid="{F919FB43-79B3-4AC4-9089-09DC635D69AF}"/>
    <cellStyle name="Normal 5 2 4 2 8 3" xfId="21684" xr:uid="{6B84BC91-0DC9-4528-9B4B-F621F0725495}"/>
    <cellStyle name="Normal 5 2 4 2 9" xfId="9031" xr:uid="{B2E09172-0DCD-43B7-A9EA-13162AD48711}"/>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2 2 2" xfId="15809" xr:uid="{7347C425-A312-454C-95C8-29E018B6A83A}"/>
    <cellStyle name="Normal 5 2 4 3 2 2 2 3" xfId="24244" xr:uid="{E73D8225-136B-4FE4-A063-2CCE00F9BD62}"/>
    <cellStyle name="Normal 5 2 4 3 2 2 3" xfId="11591" xr:uid="{87F5D193-6637-46BA-B0B6-A641A11254F5}"/>
    <cellStyle name="Normal 5 2 4 3 2 2 4" xfId="20027" xr:uid="{8610A46C-2F06-4653-ABB5-416E4D1BFEB5}"/>
    <cellStyle name="Normal 5 2 4 3 2 3" xfId="5222" xr:uid="{00000000-0005-0000-0000-0000FF180000}"/>
    <cellStyle name="Normal 5 2 4 3 2 3 2" xfId="13664" xr:uid="{E0B72A7C-02E0-45C5-8429-B8865AEE1CD0}"/>
    <cellStyle name="Normal 5 2 4 3 2 3 3" xfId="22099" xr:uid="{76427A20-3950-47E8-A80A-5C9861CE767F}"/>
    <cellStyle name="Normal 5 2 4 3 2 4" xfId="9446" xr:uid="{FFE37FAC-7A40-4E90-B7EB-BA28FC96BF6F}"/>
    <cellStyle name="Normal 5 2 4 3 2 5" xfId="17882" xr:uid="{E2E81472-73A6-42F0-87A0-4E4295832980}"/>
    <cellStyle name="Normal 5 2 4 3 3" xfId="1327" xr:uid="{00000000-0005-0000-0000-000000190000}"/>
    <cellStyle name="Normal 5 2 4 3 3 2" xfId="3557" xr:uid="{00000000-0005-0000-0000-000001190000}"/>
    <cellStyle name="Normal 5 2 4 3 3 2 2" xfId="7780" xr:uid="{00000000-0005-0000-0000-000002190000}"/>
    <cellStyle name="Normal 5 2 4 3 3 2 2 2" xfId="16222" xr:uid="{C1C15693-33E0-443E-A5F4-482DC249C4C5}"/>
    <cellStyle name="Normal 5 2 4 3 3 2 2 3" xfId="24657" xr:uid="{6D4B1159-5885-41A8-B2FC-3A9BA02ECFCD}"/>
    <cellStyle name="Normal 5 2 4 3 3 2 3" xfId="12004" xr:uid="{5089181E-573A-40A5-B889-8C6DADF08159}"/>
    <cellStyle name="Normal 5 2 4 3 3 2 4" xfId="20440" xr:uid="{6A4B6BAB-3908-4084-886F-478C4365F08F}"/>
    <cellStyle name="Normal 5 2 4 3 3 3" xfId="5635" xr:uid="{00000000-0005-0000-0000-000003190000}"/>
    <cellStyle name="Normal 5 2 4 3 3 3 2" xfId="14077" xr:uid="{08C73316-10B0-4DBD-8713-ED6FE69A9003}"/>
    <cellStyle name="Normal 5 2 4 3 3 3 3" xfId="22512" xr:uid="{8266A74F-5F69-460F-846E-B4616D705908}"/>
    <cellStyle name="Normal 5 2 4 3 3 4" xfId="9859" xr:uid="{B462220B-7314-416C-A344-8E48CBB17AD7}"/>
    <cellStyle name="Normal 5 2 4 3 3 5" xfId="18295" xr:uid="{49B0E2DC-816F-4BBE-9E3D-CF40B41D200E}"/>
    <cellStyle name="Normal 5 2 4 3 4" xfId="1740" xr:uid="{00000000-0005-0000-0000-000004190000}"/>
    <cellStyle name="Normal 5 2 4 3 4 2" xfId="3970" xr:uid="{00000000-0005-0000-0000-000005190000}"/>
    <cellStyle name="Normal 5 2 4 3 4 2 2" xfId="8193" xr:uid="{00000000-0005-0000-0000-000006190000}"/>
    <cellStyle name="Normal 5 2 4 3 4 2 2 2" xfId="16635" xr:uid="{1D565146-10AD-47EF-9F16-0F7F9AAAF69D}"/>
    <cellStyle name="Normal 5 2 4 3 4 2 2 3" xfId="25070" xr:uid="{BC025CE6-829E-49B5-83A3-154E18C0B4DC}"/>
    <cellStyle name="Normal 5 2 4 3 4 2 3" xfId="12417" xr:uid="{825783AC-8E0E-4AF6-92D8-117847292C2B}"/>
    <cellStyle name="Normal 5 2 4 3 4 2 4" xfId="20853" xr:uid="{3623FF1D-4E04-476D-9074-0962ADF3ECF2}"/>
    <cellStyle name="Normal 5 2 4 3 4 3" xfId="6048" xr:uid="{00000000-0005-0000-0000-000007190000}"/>
    <cellStyle name="Normal 5 2 4 3 4 3 2" xfId="14490" xr:uid="{06C37840-E307-4341-B350-336C92798F92}"/>
    <cellStyle name="Normal 5 2 4 3 4 3 3" xfId="22925" xr:uid="{9E438F73-6200-44C6-8783-61F09F76E356}"/>
    <cellStyle name="Normal 5 2 4 3 4 4" xfId="10272" xr:uid="{D23C7029-1A09-4636-B817-8FC0A7A808EC}"/>
    <cellStyle name="Normal 5 2 4 3 4 5" xfId="18708" xr:uid="{F3E1B939-3339-4046-A269-7CF34480A04D}"/>
    <cellStyle name="Normal 5 2 4 3 5" xfId="2154" xr:uid="{00000000-0005-0000-0000-000008190000}"/>
    <cellStyle name="Normal 5 2 4 3 5 2" xfId="4383" xr:uid="{00000000-0005-0000-0000-000009190000}"/>
    <cellStyle name="Normal 5 2 4 3 5 2 2" xfId="8606" xr:uid="{00000000-0005-0000-0000-00000A190000}"/>
    <cellStyle name="Normal 5 2 4 3 5 2 2 2" xfId="17048" xr:uid="{4E467F33-D68A-4EEE-91D2-A0D4BAFF3D56}"/>
    <cellStyle name="Normal 5 2 4 3 5 2 2 3" xfId="25483" xr:uid="{DFC3A9DB-A9AE-49B1-9121-4587D3250942}"/>
    <cellStyle name="Normal 5 2 4 3 5 2 3" xfId="12830" xr:uid="{17DD78F6-867E-4CC0-A2F8-CCAE2D51E887}"/>
    <cellStyle name="Normal 5 2 4 3 5 2 4" xfId="21266" xr:uid="{6EEA6080-0F3F-4819-88E3-62AD37A13B18}"/>
    <cellStyle name="Normal 5 2 4 3 5 3" xfId="6461" xr:uid="{00000000-0005-0000-0000-00000B190000}"/>
    <cellStyle name="Normal 5 2 4 3 5 3 2" xfId="14903" xr:uid="{31D5C8AC-E937-48B9-B35E-BAE4CDAFB011}"/>
    <cellStyle name="Normal 5 2 4 3 5 3 3" xfId="23338" xr:uid="{8D043789-BF22-45BA-8D4C-88F96726513D}"/>
    <cellStyle name="Normal 5 2 4 3 5 4" xfId="10685" xr:uid="{946AA5F8-47C8-4CB5-A0E0-6F36B33707E6}"/>
    <cellStyle name="Normal 5 2 4 3 5 5" xfId="19121" xr:uid="{BD1C4ED3-F2BA-4EDA-9670-C9C1833236E2}"/>
    <cellStyle name="Normal 5 2 4 3 6" xfId="2590" xr:uid="{00000000-0005-0000-0000-00000C190000}"/>
    <cellStyle name="Normal 5 2 4 3 6 2" xfId="6874" xr:uid="{00000000-0005-0000-0000-00000D190000}"/>
    <cellStyle name="Normal 5 2 4 3 6 2 2" xfId="15316" xr:uid="{3596ACD2-27CC-4375-927B-35E10B2F7FC7}"/>
    <cellStyle name="Normal 5 2 4 3 6 2 3" xfId="23751" xr:uid="{B1407235-40FC-4CA1-ABA8-E09D425A6D45}"/>
    <cellStyle name="Normal 5 2 4 3 6 3" xfId="11098" xr:uid="{7C93FB96-1971-444C-A6B3-6EEE929B3E70}"/>
    <cellStyle name="Normal 5 2 4 3 6 4" xfId="19534" xr:uid="{CC08ED1E-CA9D-4D28-9ABB-BF2263460405}"/>
    <cellStyle name="Normal 5 2 4 3 7" xfId="4809" xr:uid="{00000000-0005-0000-0000-00000E190000}"/>
    <cellStyle name="Normal 5 2 4 3 7 2" xfId="13251" xr:uid="{239CC18D-F37A-4B74-8343-E9FBAA574D29}"/>
    <cellStyle name="Normal 5 2 4 3 7 3" xfId="21686" xr:uid="{7A25E1AE-437F-4FCD-B49C-4AA5332A79A9}"/>
    <cellStyle name="Normal 5 2 4 3 8" xfId="9033" xr:uid="{C0E6741B-729D-4966-8937-5D501597BD5E}"/>
    <cellStyle name="Normal 5 2 4 3 9" xfId="17469" xr:uid="{2C18AB5D-2D0D-4339-9F0F-D0625123473B}"/>
    <cellStyle name="Normal 5 2 4 4" xfId="906" xr:uid="{00000000-0005-0000-0000-00000F190000}"/>
    <cellStyle name="Normal 5 2 4 4 2" xfId="3141" xr:uid="{00000000-0005-0000-0000-000010190000}"/>
    <cellStyle name="Normal 5 2 4 4 2 2" xfId="7364" xr:uid="{00000000-0005-0000-0000-000011190000}"/>
    <cellStyle name="Normal 5 2 4 4 2 2 2" xfId="15806" xr:uid="{BDD76E42-A59B-41C9-A3FF-0C2DBBE326BC}"/>
    <cellStyle name="Normal 5 2 4 4 2 2 3" xfId="24241" xr:uid="{A90E8D0A-D595-46FC-AE60-E5F32826E115}"/>
    <cellStyle name="Normal 5 2 4 4 2 3" xfId="11588" xr:uid="{1E899346-6067-4942-8FE8-C91CACC22037}"/>
    <cellStyle name="Normal 5 2 4 4 2 4" xfId="20024" xr:uid="{2A91C946-FB45-47BC-8452-0BB678582123}"/>
    <cellStyle name="Normal 5 2 4 4 3" xfId="5219" xr:uid="{00000000-0005-0000-0000-000012190000}"/>
    <cellStyle name="Normal 5 2 4 4 3 2" xfId="13661" xr:uid="{14585648-129B-4C52-91E4-3B066085B0FA}"/>
    <cellStyle name="Normal 5 2 4 4 3 3" xfId="22096" xr:uid="{F1CB5A7E-8741-44E1-9223-53713E227B47}"/>
    <cellStyle name="Normal 5 2 4 4 4" xfId="9443" xr:uid="{26AFC26D-7F49-4649-B76B-77351CFF3870}"/>
    <cellStyle name="Normal 5 2 4 4 5" xfId="17879" xr:uid="{748D9F12-FF1B-4F37-8804-2B682F3EF08D}"/>
    <cellStyle name="Normal 5 2 4 5" xfId="1324" xr:uid="{00000000-0005-0000-0000-000013190000}"/>
    <cellStyle name="Normal 5 2 4 5 2" xfId="3554" xr:uid="{00000000-0005-0000-0000-000014190000}"/>
    <cellStyle name="Normal 5 2 4 5 2 2" xfId="7777" xr:uid="{00000000-0005-0000-0000-000015190000}"/>
    <cellStyle name="Normal 5 2 4 5 2 2 2" xfId="16219" xr:uid="{24089AE3-52B8-4090-A5C6-BCC93910AE7E}"/>
    <cellStyle name="Normal 5 2 4 5 2 2 3" xfId="24654" xr:uid="{9B3981E3-7F89-4F34-A755-B8EFC82858F9}"/>
    <cellStyle name="Normal 5 2 4 5 2 3" xfId="12001" xr:uid="{A4CC8C52-8D33-433F-A66F-3D30B8181D8D}"/>
    <cellStyle name="Normal 5 2 4 5 2 4" xfId="20437" xr:uid="{A16423A7-11AF-4995-9EA0-47363DEF6809}"/>
    <cellStyle name="Normal 5 2 4 5 3" xfId="5632" xr:uid="{00000000-0005-0000-0000-000016190000}"/>
    <cellStyle name="Normal 5 2 4 5 3 2" xfId="14074" xr:uid="{9BEA0FC5-41D7-46B3-8DE4-6F97FF04B3C6}"/>
    <cellStyle name="Normal 5 2 4 5 3 3" xfId="22509" xr:uid="{7349436F-02ED-4F4B-9C8C-B135E733ADED}"/>
    <cellStyle name="Normal 5 2 4 5 4" xfId="9856" xr:uid="{AA8F81F6-A748-427D-9623-58FDB029A0CE}"/>
    <cellStyle name="Normal 5 2 4 5 5" xfId="18292" xr:uid="{E83C463B-E35B-4DB8-823F-E1962D111FDF}"/>
    <cellStyle name="Normal 5 2 4 6" xfId="1737" xr:uid="{00000000-0005-0000-0000-000017190000}"/>
    <cellStyle name="Normal 5 2 4 6 2" xfId="3967" xr:uid="{00000000-0005-0000-0000-000018190000}"/>
    <cellStyle name="Normal 5 2 4 6 2 2" xfId="8190" xr:uid="{00000000-0005-0000-0000-000019190000}"/>
    <cellStyle name="Normal 5 2 4 6 2 2 2" xfId="16632" xr:uid="{CB4BFCA0-1744-4CCB-A7AA-6C510A742529}"/>
    <cellStyle name="Normal 5 2 4 6 2 2 3" xfId="25067" xr:uid="{7A409A90-F0F4-43F5-8D5C-A7BD2A0C4C28}"/>
    <cellStyle name="Normal 5 2 4 6 2 3" xfId="12414" xr:uid="{3D34EE3A-BB7F-4702-AE8C-3E075FEFDE2D}"/>
    <cellStyle name="Normal 5 2 4 6 2 4" xfId="20850" xr:uid="{EF6B014D-CA04-41EB-8170-0B2595D95102}"/>
    <cellStyle name="Normal 5 2 4 6 3" xfId="6045" xr:uid="{00000000-0005-0000-0000-00001A190000}"/>
    <cellStyle name="Normal 5 2 4 6 3 2" xfId="14487" xr:uid="{92F6A98A-93E8-4CBA-BE12-6FEE4E80038C}"/>
    <cellStyle name="Normal 5 2 4 6 3 3" xfId="22922" xr:uid="{6742A9FF-02BF-4454-B9A5-9498D67B23E7}"/>
    <cellStyle name="Normal 5 2 4 6 4" xfId="10269" xr:uid="{7722E59A-B64A-40DB-A76A-6D5BCC296E47}"/>
    <cellStyle name="Normal 5 2 4 6 5" xfId="18705" xr:uid="{D89C8D2A-3C1E-435C-AFE2-DAF52C2633B5}"/>
    <cellStyle name="Normal 5 2 4 7" xfId="2151" xr:uid="{00000000-0005-0000-0000-00001B190000}"/>
    <cellStyle name="Normal 5 2 4 7 2" xfId="4380" xr:uid="{00000000-0005-0000-0000-00001C190000}"/>
    <cellStyle name="Normal 5 2 4 7 2 2" xfId="8603" xr:uid="{00000000-0005-0000-0000-00001D190000}"/>
    <cellStyle name="Normal 5 2 4 7 2 2 2" xfId="17045" xr:uid="{8CA8EBBF-9007-4221-88C8-5A19C1DB823F}"/>
    <cellStyle name="Normal 5 2 4 7 2 2 3" xfId="25480" xr:uid="{17167AA7-59FF-4BE3-B33F-5EB24F83B2D4}"/>
    <cellStyle name="Normal 5 2 4 7 2 3" xfId="12827" xr:uid="{3339AB04-1C03-4022-8787-0DC918A49004}"/>
    <cellStyle name="Normal 5 2 4 7 2 4" xfId="21263" xr:uid="{45EFDB22-924A-49FF-8B66-27C8CE0E8D47}"/>
    <cellStyle name="Normal 5 2 4 7 3" xfId="6458" xr:uid="{00000000-0005-0000-0000-00001E190000}"/>
    <cellStyle name="Normal 5 2 4 7 3 2" xfId="14900" xr:uid="{55418C00-7B72-4F75-9B4B-844C9C5CA324}"/>
    <cellStyle name="Normal 5 2 4 7 3 3" xfId="23335" xr:uid="{31188FC8-C030-428E-9868-C27A01FEE837}"/>
    <cellStyle name="Normal 5 2 4 7 4" xfId="10682" xr:uid="{8EF37DA3-67AD-44B8-A590-D4D6740001A4}"/>
    <cellStyle name="Normal 5 2 4 7 5" xfId="19118" xr:uid="{901F36AB-C818-409E-B52B-4C373225D721}"/>
    <cellStyle name="Normal 5 2 4 8" xfId="2587" xr:uid="{00000000-0005-0000-0000-00001F190000}"/>
    <cellStyle name="Normal 5 2 4 8 2" xfId="6871" xr:uid="{00000000-0005-0000-0000-000020190000}"/>
    <cellStyle name="Normal 5 2 4 8 2 2" xfId="15313" xr:uid="{AB5A30EA-B9DD-4C10-B490-DAA98464827C}"/>
    <cellStyle name="Normal 5 2 4 8 2 3" xfId="23748" xr:uid="{1E8F3332-82D3-4789-898E-54E9C119C4BB}"/>
    <cellStyle name="Normal 5 2 4 8 3" xfId="11095" xr:uid="{5109D2D9-93F5-4409-8E57-E3D2C36BB3E2}"/>
    <cellStyle name="Normal 5 2 4 8 4" xfId="19531" xr:uid="{C7C32617-2B82-48DA-9D34-EFFD0C48D4AE}"/>
    <cellStyle name="Normal 5 2 4 9" xfId="4806" xr:uid="{00000000-0005-0000-0000-000021190000}"/>
    <cellStyle name="Normal 5 2 4 9 2" xfId="13248" xr:uid="{936B60F1-5DAE-405D-AF0E-3BD625132C82}"/>
    <cellStyle name="Normal 5 2 4 9 3" xfId="21683" xr:uid="{83D8F907-B396-4473-8CA9-42B4C8067F68}"/>
    <cellStyle name="Normal 5 2 5" xfId="436" xr:uid="{00000000-0005-0000-0000-000022190000}"/>
    <cellStyle name="Normal 5 2 5 10" xfId="17470" xr:uid="{DA5AA207-3BD7-4052-A326-60AE458FF758}"/>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2 2 2" xfId="15811" xr:uid="{E82EDC52-2D23-449B-87C1-31ACCC925978}"/>
    <cellStyle name="Normal 5 2 5 2 2 2 2 3" xfId="24246" xr:uid="{F5299BD0-1F76-40F9-8937-C88DD1117C0A}"/>
    <cellStyle name="Normal 5 2 5 2 2 2 3" xfId="11593" xr:uid="{D3DB059B-255A-4C84-AFF4-FD345AB8E198}"/>
    <cellStyle name="Normal 5 2 5 2 2 2 4" xfId="20029" xr:uid="{6DFEA7FD-9D35-48A5-9A22-83F3BE8D7F3A}"/>
    <cellStyle name="Normal 5 2 5 2 2 3" xfId="5224" xr:uid="{00000000-0005-0000-0000-000027190000}"/>
    <cellStyle name="Normal 5 2 5 2 2 3 2" xfId="13666" xr:uid="{98A8A1F8-A6C0-4251-8A9A-906176F9011A}"/>
    <cellStyle name="Normal 5 2 5 2 2 3 3" xfId="22101" xr:uid="{BBA6914A-9453-4A2F-B662-29F74BB308C2}"/>
    <cellStyle name="Normal 5 2 5 2 2 4" xfId="9448" xr:uid="{3CB14FDB-B18D-4FBE-B0D5-1E196FE54F45}"/>
    <cellStyle name="Normal 5 2 5 2 2 5" xfId="17884" xr:uid="{15E5C89D-3499-419A-A72E-DC853DFA9BAC}"/>
    <cellStyle name="Normal 5 2 5 2 3" xfId="1329" xr:uid="{00000000-0005-0000-0000-000028190000}"/>
    <cellStyle name="Normal 5 2 5 2 3 2" xfId="3559" xr:uid="{00000000-0005-0000-0000-000029190000}"/>
    <cellStyle name="Normal 5 2 5 2 3 2 2" xfId="7782" xr:uid="{00000000-0005-0000-0000-00002A190000}"/>
    <cellStyle name="Normal 5 2 5 2 3 2 2 2" xfId="16224" xr:uid="{6F2D5BA0-0E5A-4B03-94ED-B68414EE25CF}"/>
    <cellStyle name="Normal 5 2 5 2 3 2 2 3" xfId="24659" xr:uid="{7D4DA68E-D654-46C0-A35B-581490CA4540}"/>
    <cellStyle name="Normal 5 2 5 2 3 2 3" xfId="12006" xr:uid="{D321999A-3A64-4F6A-9D7D-3E4759152881}"/>
    <cellStyle name="Normal 5 2 5 2 3 2 4" xfId="20442" xr:uid="{AEC3B978-E86E-4903-80AA-1FF0FA4F6044}"/>
    <cellStyle name="Normal 5 2 5 2 3 3" xfId="5637" xr:uid="{00000000-0005-0000-0000-00002B190000}"/>
    <cellStyle name="Normal 5 2 5 2 3 3 2" xfId="14079" xr:uid="{1EA2BB9D-925B-4D91-83F2-40813AFBB446}"/>
    <cellStyle name="Normal 5 2 5 2 3 3 3" xfId="22514" xr:uid="{B9F38C9D-394F-4C72-8467-80A155F7BE00}"/>
    <cellStyle name="Normal 5 2 5 2 3 4" xfId="9861" xr:uid="{4C3421BC-D114-435A-AAEC-5E92B9EDF9E4}"/>
    <cellStyle name="Normal 5 2 5 2 3 5" xfId="18297" xr:uid="{8769C7E0-7FFB-466D-A85D-689F286F5D41}"/>
    <cellStyle name="Normal 5 2 5 2 4" xfId="1742" xr:uid="{00000000-0005-0000-0000-00002C190000}"/>
    <cellStyle name="Normal 5 2 5 2 4 2" xfId="3972" xr:uid="{00000000-0005-0000-0000-00002D190000}"/>
    <cellStyle name="Normal 5 2 5 2 4 2 2" xfId="8195" xr:uid="{00000000-0005-0000-0000-00002E190000}"/>
    <cellStyle name="Normal 5 2 5 2 4 2 2 2" xfId="16637" xr:uid="{0C27347C-D1D3-4E1D-B390-78D73CBB5CCC}"/>
    <cellStyle name="Normal 5 2 5 2 4 2 2 3" xfId="25072" xr:uid="{CB6C2C7A-E567-4138-8164-55B7266FCA0A}"/>
    <cellStyle name="Normal 5 2 5 2 4 2 3" xfId="12419" xr:uid="{1794435B-0174-4F4F-B6C1-C11B701F52B3}"/>
    <cellStyle name="Normal 5 2 5 2 4 2 4" xfId="20855" xr:uid="{8D7810D9-D62C-4513-BA75-553D9B5FCD9C}"/>
    <cellStyle name="Normal 5 2 5 2 4 3" xfId="6050" xr:uid="{00000000-0005-0000-0000-00002F190000}"/>
    <cellStyle name="Normal 5 2 5 2 4 3 2" xfId="14492" xr:uid="{4CDE84AE-A34D-4ADD-95C4-31795D7FC5F6}"/>
    <cellStyle name="Normal 5 2 5 2 4 3 3" xfId="22927" xr:uid="{C2383D41-6135-4810-9128-A8F38E1239C0}"/>
    <cellStyle name="Normal 5 2 5 2 4 4" xfId="10274" xr:uid="{CD457310-5478-4324-B72D-ECD0C338CCDF}"/>
    <cellStyle name="Normal 5 2 5 2 4 5" xfId="18710" xr:uid="{7EC2E62E-EDFA-48F9-B0B4-D56169F53D04}"/>
    <cellStyle name="Normal 5 2 5 2 5" xfId="2156" xr:uid="{00000000-0005-0000-0000-000030190000}"/>
    <cellStyle name="Normal 5 2 5 2 5 2" xfId="4385" xr:uid="{00000000-0005-0000-0000-000031190000}"/>
    <cellStyle name="Normal 5 2 5 2 5 2 2" xfId="8608" xr:uid="{00000000-0005-0000-0000-000032190000}"/>
    <cellStyle name="Normal 5 2 5 2 5 2 2 2" xfId="17050" xr:uid="{6FF7C399-5596-47C8-993A-B95B3F046A43}"/>
    <cellStyle name="Normal 5 2 5 2 5 2 2 3" xfId="25485" xr:uid="{D2AE45D4-1A19-4898-A504-8D57AC428B8C}"/>
    <cellStyle name="Normal 5 2 5 2 5 2 3" xfId="12832" xr:uid="{E2C0E835-BA70-4480-A8B4-8B202E5CD591}"/>
    <cellStyle name="Normal 5 2 5 2 5 2 4" xfId="21268" xr:uid="{30ABBFAE-F9DB-479E-A856-82161A491293}"/>
    <cellStyle name="Normal 5 2 5 2 5 3" xfId="6463" xr:uid="{00000000-0005-0000-0000-000033190000}"/>
    <cellStyle name="Normal 5 2 5 2 5 3 2" xfId="14905" xr:uid="{DAA586C2-BF99-4AA2-90B7-E9DBD62D8F71}"/>
    <cellStyle name="Normal 5 2 5 2 5 3 3" xfId="23340" xr:uid="{0FB58C54-63D0-46E0-9F6E-94D92AAA1368}"/>
    <cellStyle name="Normal 5 2 5 2 5 4" xfId="10687" xr:uid="{5BDFB49C-017D-46D8-BF81-350C9DCB85DB}"/>
    <cellStyle name="Normal 5 2 5 2 5 5" xfId="19123" xr:uid="{F563C6A5-3432-43D7-A156-8228F4901331}"/>
    <cellStyle name="Normal 5 2 5 2 6" xfId="2592" xr:uid="{00000000-0005-0000-0000-000034190000}"/>
    <cellStyle name="Normal 5 2 5 2 6 2" xfId="6876" xr:uid="{00000000-0005-0000-0000-000035190000}"/>
    <cellStyle name="Normal 5 2 5 2 6 2 2" xfId="15318" xr:uid="{8AFFB287-D4F4-455C-9BA1-0AE3507AE185}"/>
    <cellStyle name="Normal 5 2 5 2 6 2 3" xfId="23753" xr:uid="{CD7B0055-05DE-496C-B15C-08EB6F9D033D}"/>
    <cellStyle name="Normal 5 2 5 2 6 3" xfId="11100" xr:uid="{543ED604-EFC8-408D-9021-828320BD3E9F}"/>
    <cellStyle name="Normal 5 2 5 2 6 4" xfId="19536" xr:uid="{4E499B0A-5054-4DB6-9C24-0D48A5483E17}"/>
    <cellStyle name="Normal 5 2 5 2 7" xfId="4811" xr:uid="{00000000-0005-0000-0000-000036190000}"/>
    <cellStyle name="Normal 5 2 5 2 7 2" xfId="13253" xr:uid="{5D09E9A7-EC25-435E-8B04-297ECD575409}"/>
    <cellStyle name="Normal 5 2 5 2 7 3" xfId="21688" xr:uid="{BA6B3D02-3970-48CB-917D-506A0576DF5A}"/>
    <cellStyle name="Normal 5 2 5 2 8" xfId="9035" xr:uid="{44398E58-D556-4316-98EF-2D5D8243C13D}"/>
    <cellStyle name="Normal 5 2 5 2 9" xfId="17471" xr:uid="{EF52EA26-8BF7-4405-AE3E-AEC6973D9CEE}"/>
    <cellStyle name="Normal 5 2 5 3" xfId="910" xr:uid="{00000000-0005-0000-0000-000037190000}"/>
    <cellStyle name="Normal 5 2 5 3 2" xfId="3145" xr:uid="{00000000-0005-0000-0000-000038190000}"/>
    <cellStyle name="Normal 5 2 5 3 2 2" xfId="7368" xr:uid="{00000000-0005-0000-0000-000039190000}"/>
    <cellStyle name="Normal 5 2 5 3 2 2 2" xfId="15810" xr:uid="{1E5B6BEA-6C7E-4AD5-AE27-CF068E44B747}"/>
    <cellStyle name="Normal 5 2 5 3 2 2 3" xfId="24245" xr:uid="{6996BCB9-CBC0-4F6C-93A6-F7287286074E}"/>
    <cellStyle name="Normal 5 2 5 3 2 3" xfId="11592" xr:uid="{799105B4-1CE7-46D1-94F2-C6B41F3BF5B8}"/>
    <cellStyle name="Normal 5 2 5 3 2 4" xfId="20028" xr:uid="{031DB0E3-64AC-438A-88A3-FE8968119BC9}"/>
    <cellStyle name="Normal 5 2 5 3 3" xfId="5223" xr:uid="{00000000-0005-0000-0000-00003A190000}"/>
    <cellStyle name="Normal 5 2 5 3 3 2" xfId="13665" xr:uid="{240A6914-B7EB-4312-B37B-D3A4770A5478}"/>
    <cellStyle name="Normal 5 2 5 3 3 3" xfId="22100" xr:uid="{D2668429-8DE8-4283-BA4C-01BCEBC1F1F0}"/>
    <cellStyle name="Normal 5 2 5 3 4" xfId="9447" xr:uid="{F497DF0A-ACED-4DB6-99F8-60909AB2FCAB}"/>
    <cellStyle name="Normal 5 2 5 3 5" xfId="17883" xr:uid="{66D71010-8210-4457-8133-374A472A7BA8}"/>
    <cellStyle name="Normal 5 2 5 4" xfId="1328" xr:uid="{00000000-0005-0000-0000-00003B190000}"/>
    <cellStyle name="Normal 5 2 5 4 2" xfId="3558" xr:uid="{00000000-0005-0000-0000-00003C190000}"/>
    <cellStyle name="Normal 5 2 5 4 2 2" xfId="7781" xr:uid="{00000000-0005-0000-0000-00003D190000}"/>
    <cellStyle name="Normal 5 2 5 4 2 2 2" xfId="16223" xr:uid="{4C7C384F-37AE-4A60-A60A-80387A710417}"/>
    <cellStyle name="Normal 5 2 5 4 2 2 3" xfId="24658" xr:uid="{017FE70B-51D8-4768-8E63-11602E1B01DC}"/>
    <cellStyle name="Normal 5 2 5 4 2 3" xfId="12005" xr:uid="{EAF15E3E-F5FB-4E7C-91D1-B68A83C84478}"/>
    <cellStyle name="Normal 5 2 5 4 2 4" xfId="20441" xr:uid="{70FA65A8-5251-4850-811A-F6DCA5371051}"/>
    <cellStyle name="Normal 5 2 5 4 3" xfId="5636" xr:uid="{00000000-0005-0000-0000-00003E190000}"/>
    <cellStyle name="Normal 5 2 5 4 3 2" xfId="14078" xr:uid="{C1FAA3AB-BABD-4DC1-A11C-E55DC7C1B6A4}"/>
    <cellStyle name="Normal 5 2 5 4 3 3" xfId="22513" xr:uid="{87D26544-DDF4-4517-9201-6F989306442B}"/>
    <cellStyle name="Normal 5 2 5 4 4" xfId="9860" xr:uid="{F8DFFC11-67C5-4DFB-84B9-26E32F5455FE}"/>
    <cellStyle name="Normal 5 2 5 4 5" xfId="18296" xr:uid="{71241A54-5D4E-4D90-8D2A-D9E7670BD7B6}"/>
    <cellStyle name="Normal 5 2 5 5" xfId="1741" xr:uid="{00000000-0005-0000-0000-00003F190000}"/>
    <cellStyle name="Normal 5 2 5 5 2" xfId="3971" xr:uid="{00000000-0005-0000-0000-000040190000}"/>
    <cellStyle name="Normal 5 2 5 5 2 2" xfId="8194" xr:uid="{00000000-0005-0000-0000-000041190000}"/>
    <cellStyle name="Normal 5 2 5 5 2 2 2" xfId="16636" xr:uid="{0B18E999-E636-4C60-813E-4495BD1848B8}"/>
    <cellStyle name="Normal 5 2 5 5 2 2 3" xfId="25071" xr:uid="{83655BBC-46CB-46F5-B4FD-F30D79FC219D}"/>
    <cellStyle name="Normal 5 2 5 5 2 3" xfId="12418" xr:uid="{0FE7677A-F983-4DCA-BD4B-B172AA3A8C9F}"/>
    <cellStyle name="Normal 5 2 5 5 2 4" xfId="20854" xr:uid="{5976821D-D740-46F3-B5D8-9F91A9EC5FAF}"/>
    <cellStyle name="Normal 5 2 5 5 3" xfId="6049" xr:uid="{00000000-0005-0000-0000-000042190000}"/>
    <cellStyle name="Normal 5 2 5 5 3 2" xfId="14491" xr:uid="{5A52F37B-4A1A-4DC7-AA14-E132C718891C}"/>
    <cellStyle name="Normal 5 2 5 5 3 3" xfId="22926" xr:uid="{46C26069-BA16-4E4F-97AD-9A9463A2C44C}"/>
    <cellStyle name="Normal 5 2 5 5 4" xfId="10273" xr:uid="{F4107BDC-FECA-4ECE-A302-4DE019EFC4E9}"/>
    <cellStyle name="Normal 5 2 5 5 5" xfId="18709" xr:uid="{185679A8-ABDE-4AEF-939A-7AF654188FFB}"/>
    <cellStyle name="Normal 5 2 5 6" xfId="2155" xr:uid="{00000000-0005-0000-0000-000043190000}"/>
    <cellStyle name="Normal 5 2 5 6 2" xfId="4384" xr:uid="{00000000-0005-0000-0000-000044190000}"/>
    <cellStyle name="Normal 5 2 5 6 2 2" xfId="8607" xr:uid="{00000000-0005-0000-0000-000045190000}"/>
    <cellStyle name="Normal 5 2 5 6 2 2 2" xfId="17049" xr:uid="{60D09A81-C5C2-47CF-BEE6-21DB2984A577}"/>
    <cellStyle name="Normal 5 2 5 6 2 2 3" xfId="25484" xr:uid="{9F992FAF-A92A-46FF-9D06-DEA206814136}"/>
    <cellStyle name="Normal 5 2 5 6 2 3" xfId="12831" xr:uid="{701B06F2-7E36-440C-993E-B078750BCCD4}"/>
    <cellStyle name="Normal 5 2 5 6 2 4" xfId="21267" xr:uid="{E5072788-9759-4112-AC84-169F7852E755}"/>
    <cellStyle name="Normal 5 2 5 6 3" xfId="6462" xr:uid="{00000000-0005-0000-0000-000046190000}"/>
    <cellStyle name="Normal 5 2 5 6 3 2" xfId="14904" xr:uid="{F1FE7E66-9B30-43F4-9BBF-2A6D1E0A3510}"/>
    <cellStyle name="Normal 5 2 5 6 3 3" xfId="23339" xr:uid="{75784842-9B19-44F1-BAA3-185D96DD0D2E}"/>
    <cellStyle name="Normal 5 2 5 6 4" xfId="10686" xr:uid="{21BC0598-EDCC-460F-889C-525E561EAD71}"/>
    <cellStyle name="Normal 5 2 5 6 5" xfId="19122" xr:uid="{47B4FAA4-A1E9-47C6-904D-E81C4169F81E}"/>
    <cellStyle name="Normal 5 2 5 7" xfId="2591" xr:uid="{00000000-0005-0000-0000-000047190000}"/>
    <cellStyle name="Normal 5 2 5 7 2" xfId="6875" xr:uid="{00000000-0005-0000-0000-000048190000}"/>
    <cellStyle name="Normal 5 2 5 7 2 2" xfId="15317" xr:uid="{BF0C80E4-A3E8-44A5-8C97-AA16516A5E45}"/>
    <cellStyle name="Normal 5 2 5 7 2 3" xfId="23752" xr:uid="{C934A90E-7F72-4B2F-A1BC-F85A6117CB0B}"/>
    <cellStyle name="Normal 5 2 5 7 3" xfId="11099" xr:uid="{4B18559B-1806-4FAE-B79B-B60C0BB8FE0E}"/>
    <cellStyle name="Normal 5 2 5 7 4" xfId="19535" xr:uid="{9923724C-CD7F-4580-95B6-6DBD18D74FC7}"/>
    <cellStyle name="Normal 5 2 5 8" xfId="4810" xr:uid="{00000000-0005-0000-0000-000049190000}"/>
    <cellStyle name="Normal 5 2 5 8 2" xfId="13252" xr:uid="{AB58D899-F6D4-4A65-AC4B-A7CCE3359045}"/>
    <cellStyle name="Normal 5 2 5 8 3" xfId="21687" xr:uid="{127BFF0F-3B60-4083-A6AF-1644696A4493}"/>
    <cellStyle name="Normal 5 2 5 9" xfId="9034" xr:uid="{59CF4C98-4FAE-49D1-9E5B-2B510BE62EAF}"/>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2 2 2" xfId="15812" xr:uid="{078C1C9C-FDE1-45EE-8D94-0B159978486A}"/>
    <cellStyle name="Normal 5 2 6 2 2 2 3" xfId="24247" xr:uid="{F411FDBF-6C1F-4C17-AC3A-E3ABB5C7AEDB}"/>
    <cellStyle name="Normal 5 2 6 2 2 3" xfId="11594" xr:uid="{4ED3D96B-05A4-4098-B514-19D61EF7D051}"/>
    <cellStyle name="Normal 5 2 6 2 2 4" xfId="20030" xr:uid="{113F92B0-B6D8-4C4E-8837-745A82E5BC1A}"/>
    <cellStyle name="Normal 5 2 6 2 3" xfId="5225" xr:uid="{00000000-0005-0000-0000-00004E190000}"/>
    <cellStyle name="Normal 5 2 6 2 3 2" xfId="13667" xr:uid="{1DD3172F-8C42-4374-8ACA-10444FF3A201}"/>
    <cellStyle name="Normal 5 2 6 2 3 3" xfId="22102" xr:uid="{26C33D3B-90E1-47E3-B12E-66530751582A}"/>
    <cellStyle name="Normal 5 2 6 2 4" xfId="9449" xr:uid="{E2F01DA6-F9A5-4AD0-AAF0-91F9515B02C3}"/>
    <cellStyle name="Normal 5 2 6 2 5" xfId="17885" xr:uid="{797B33F8-7491-4F85-A803-1BBB96214521}"/>
    <cellStyle name="Normal 5 2 6 3" xfId="1330" xr:uid="{00000000-0005-0000-0000-00004F190000}"/>
    <cellStyle name="Normal 5 2 6 3 2" xfId="3560" xr:uid="{00000000-0005-0000-0000-000050190000}"/>
    <cellStyle name="Normal 5 2 6 3 2 2" xfId="7783" xr:uid="{00000000-0005-0000-0000-000051190000}"/>
    <cellStyle name="Normal 5 2 6 3 2 2 2" xfId="16225" xr:uid="{3D3F974B-1467-45DE-B4E4-D1B90309C55F}"/>
    <cellStyle name="Normal 5 2 6 3 2 2 3" xfId="24660" xr:uid="{2563CD33-9A37-450D-94C4-669F3A31A12B}"/>
    <cellStyle name="Normal 5 2 6 3 2 3" xfId="12007" xr:uid="{D3B6319A-8A70-4A1D-9FA5-DB97F4E877A3}"/>
    <cellStyle name="Normal 5 2 6 3 2 4" xfId="20443" xr:uid="{A62741C7-8610-4A24-8D08-5665556F42A4}"/>
    <cellStyle name="Normal 5 2 6 3 3" xfId="5638" xr:uid="{00000000-0005-0000-0000-000052190000}"/>
    <cellStyle name="Normal 5 2 6 3 3 2" xfId="14080" xr:uid="{F1B0147D-FFD2-4AAD-9A85-E569A8B60A99}"/>
    <cellStyle name="Normal 5 2 6 3 3 3" xfId="22515" xr:uid="{14E44095-32EE-4596-B165-1017A1266CF5}"/>
    <cellStyle name="Normal 5 2 6 3 4" xfId="9862" xr:uid="{15A1F5F7-9C78-4932-95AF-3CB31AB63C2F}"/>
    <cellStyle name="Normal 5 2 6 3 5" xfId="18298" xr:uid="{63BE1979-DF03-4BAD-BC69-763624048C3E}"/>
    <cellStyle name="Normal 5 2 6 4" xfId="1743" xr:uid="{00000000-0005-0000-0000-000053190000}"/>
    <cellStyle name="Normal 5 2 6 4 2" xfId="3973" xr:uid="{00000000-0005-0000-0000-000054190000}"/>
    <cellStyle name="Normal 5 2 6 4 2 2" xfId="8196" xr:uid="{00000000-0005-0000-0000-000055190000}"/>
    <cellStyle name="Normal 5 2 6 4 2 2 2" xfId="16638" xr:uid="{0F205A87-55A6-4BB5-A0F8-CD752EF22B55}"/>
    <cellStyle name="Normal 5 2 6 4 2 2 3" xfId="25073" xr:uid="{3D50A6C7-453E-49B7-9FCE-21B1E995D273}"/>
    <cellStyle name="Normal 5 2 6 4 2 3" xfId="12420" xr:uid="{C82D6B64-F2D7-4ADE-978F-97314AC1EA70}"/>
    <cellStyle name="Normal 5 2 6 4 2 4" xfId="20856" xr:uid="{692FB44C-1666-4E12-A9FE-FA910309E104}"/>
    <cellStyle name="Normal 5 2 6 4 3" xfId="6051" xr:uid="{00000000-0005-0000-0000-000056190000}"/>
    <cellStyle name="Normal 5 2 6 4 3 2" xfId="14493" xr:uid="{EDC1C72F-5E55-47D9-B944-49AF922037BC}"/>
    <cellStyle name="Normal 5 2 6 4 3 3" xfId="22928" xr:uid="{6B1A42B9-E210-4833-A051-850478A1630A}"/>
    <cellStyle name="Normal 5 2 6 4 4" xfId="10275" xr:uid="{DB1C04F9-2EF7-4CD7-8A88-E31B06DAB0FE}"/>
    <cellStyle name="Normal 5 2 6 4 5" xfId="18711" xr:uid="{89DC3586-C199-4233-A482-0CDF1C8CCE05}"/>
    <cellStyle name="Normal 5 2 6 5" xfId="2157" xr:uid="{00000000-0005-0000-0000-000057190000}"/>
    <cellStyle name="Normal 5 2 6 5 2" xfId="4386" xr:uid="{00000000-0005-0000-0000-000058190000}"/>
    <cellStyle name="Normal 5 2 6 5 2 2" xfId="8609" xr:uid="{00000000-0005-0000-0000-000059190000}"/>
    <cellStyle name="Normal 5 2 6 5 2 2 2" xfId="17051" xr:uid="{F0AA9937-E6FE-4434-BEDC-A8750AC1C198}"/>
    <cellStyle name="Normal 5 2 6 5 2 2 3" xfId="25486" xr:uid="{FEDBA6C1-B54C-4C0F-8FFA-720E65F3C9D2}"/>
    <cellStyle name="Normal 5 2 6 5 2 3" xfId="12833" xr:uid="{D9889EA3-56DA-4D8D-BBD8-B809FAB39A13}"/>
    <cellStyle name="Normal 5 2 6 5 2 4" xfId="21269" xr:uid="{9A3671B3-F443-44B1-A054-4F62DEDEC0F0}"/>
    <cellStyle name="Normal 5 2 6 5 3" xfId="6464" xr:uid="{00000000-0005-0000-0000-00005A190000}"/>
    <cellStyle name="Normal 5 2 6 5 3 2" xfId="14906" xr:uid="{70F54A3A-3983-4245-BABF-C37F01C1AC6E}"/>
    <cellStyle name="Normal 5 2 6 5 3 3" xfId="23341" xr:uid="{AFE6143F-C08F-413E-8FA4-9A78F6CB5056}"/>
    <cellStyle name="Normal 5 2 6 5 4" xfId="10688" xr:uid="{E28DB95C-587C-48EE-B071-66208D51E66B}"/>
    <cellStyle name="Normal 5 2 6 5 5" xfId="19124" xr:uid="{42BAD774-1D29-4403-9E92-BC9ED938B2F9}"/>
    <cellStyle name="Normal 5 2 6 6" xfId="2593" xr:uid="{00000000-0005-0000-0000-00005B190000}"/>
    <cellStyle name="Normal 5 2 6 6 2" xfId="6877" xr:uid="{00000000-0005-0000-0000-00005C190000}"/>
    <cellStyle name="Normal 5 2 6 6 2 2" xfId="15319" xr:uid="{B0934013-8269-409E-B763-B3629F935D1B}"/>
    <cellStyle name="Normal 5 2 6 6 2 3" xfId="23754" xr:uid="{F0AE8320-D4B7-4D2B-826F-2A250262555D}"/>
    <cellStyle name="Normal 5 2 6 6 3" xfId="11101" xr:uid="{22846C02-F58A-47FD-99DC-14BA314A44F1}"/>
    <cellStyle name="Normal 5 2 6 6 4" xfId="19537" xr:uid="{6E75723A-C80D-4608-89EC-05E3F0E5D37F}"/>
    <cellStyle name="Normal 5 2 6 7" xfId="4812" xr:uid="{00000000-0005-0000-0000-00005D190000}"/>
    <cellStyle name="Normal 5 2 6 7 2" xfId="13254" xr:uid="{E8FEF19A-AC34-4ED7-919D-C851FEB841F4}"/>
    <cellStyle name="Normal 5 2 6 7 3" xfId="21689" xr:uid="{A6200C3D-9CAA-4980-86D3-CBF5A101CF5B}"/>
    <cellStyle name="Normal 5 2 6 8" xfId="9036" xr:uid="{DD200F26-DD62-4792-8F61-C447E6D7821C}"/>
    <cellStyle name="Normal 5 2 6 9" xfId="17472" xr:uid="{99620E9D-F153-435C-A602-807DF5311BAD}"/>
    <cellStyle name="Normal 5 2 7" xfId="881" xr:uid="{00000000-0005-0000-0000-00005E190000}"/>
    <cellStyle name="Normal 5 2 7 2" xfId="3116" xr:uid="{00000000-0005-0000-0000-00005F190000}"/>
    <cellStyle name="Normal 5 2 7 2 2" xfId="7339" xr:uid="{00000000-0005-0000-0000-000060190000}"/>
    <cellStyle name="Normal 5 2 7 2 2 2" xfId="15781" xr:uid="{73A646C2-47BB-4082-B15F-7900BA77541D}"/>
    <cellStyle name="Normal 5 2 7 2 2 3" xfId="24216" xr:uid="{138C039C-E7A7-4B7D-BBBB-B4C2B3FC0CC8}"/>
    <cellStyle name="Normal 5 2 7 2 3" xfId="11563" xr:uid="{238BE8B5-8231-4AF7-B50D-127882EC9579}"/>
    <cellStyle name="Normal 5 2 7 2 4" xfId="19999" xr:uid="{49333FC3-7675-4358-996B-E47DB163A7D2}"/>
    <cellStyle name="Normal 5 2 7 3" xfId="5194" xr:uid="{00000000-0005-0000-0000-000061190000}"/>
    <cellStyle name="Normal 5 2 7 3 2" xfId="13636" xr:uid="{493287DE-EB93-4ECF-BD93-DD3EC45E1E66}"/>
    <cellStyle name="Normal 5 2 7 3 3" xfId="22071" xr:uid="{A4707830-C8A0-43E0-A24A-6C73880004B0}"/>
    <cellStyle name="Normal 5 2 7 4" xfId="9418" xr:uid="{7B967887-C4B8-4434-9E8C-0E58FB87EC1D}"/>
    <cellStyle name="Normal 5 2 7 5" xfId="17854" xr:uid="{1B27A24A-679F-453D-A6EF-0BB3C5106B18}"/>
    <cellStyle name="Normal 5 2 8" xfId="1299" xr:uid="{00000000-0005-0000-0000-000062190000}"/>
    <cellStyle name="Normal 5 2 8 2" xfId="3529" xr:uid="{00000000-0005-0000-0000-000063190000}"/>
    <cellStyle name="Normal 5 2 8 2 2" xfId="7752" xr:uid="{00000000-0005-0000-0000-000064190000}"/>
    <cellStyle name="Normal 5 2 8 2 2 2" xfId="16194" xr:uid="{A973E21A-2F64-44C3-9AA1-F78A47CBEA34}"/>
    <cellStyle name="Normal 5 2 8 2 2 3" xfId="24629" xr:uid="{ACFA5233-22F6-41AB-BF08-69300A6BC924}"/>
    <cellStyle name="Normal 5 2 8 2 3" xfId="11976" xr:uid="{08533E09-126B-4A88-8DA7-727281DB6EDA}"/>
    <cellStyle name="Normal 5 2 8 2 4" xfId="20412" xr:uid="{49EA16D5-95F0-480F-BEFF-C824C5612EE2}"/>
    <cellStyle name="Normal 5 2 8 3" xfId="5607" xr:uid="{00000000-0005-0000-0000-000065190000}"/>
    <cellStyle name="Normal 5 2 8 3 2" xfId="14049" xr:uid="{993A3752-E09D-4F95-A8CA-52DD84D11075}"/>
    <cellStyle name="Normal 5 2 8 3 3" xfId="22484" xr:uid="{32D31EF5-CEBA-41DB-846E-C967B82B838C}"/>
    <cellStyle name="Normal 5 2 8 4" xfId="9831" xr:uid="{59A03F93-4AC9-4B18-AB47-526604958E91}"/>
    <cellStyle name="Normal 5 2 8 5" xfId="18267" xr:uid="{A3713E9F-713C-42CD-9FF8-48502CA673DD}"/>
    <cellStyle name="Normal 5 2 9" xfId="1712" xr:uid="{00000000-0005-0000-0000-000066190000}"/>
    <cellStyle name="Normal 5 2 9 2" xfId="3942" xr:uid="{00000000-0005-0000-0000-000067190000}"/>
    <cellStyle name="Normal 5 2 9 2 2" xfId="8165" xr:uid="{00000000-0005-0000-0000-000068190000}"/>
    <cellStyle name="Normal 5 2 9 2 2 2" xfId="16607" xr:uid="{5326F2C2-1878-41E5-9600-FE1D974B3BA9}"/>
    <cellStyle name="Normal 5 2 9 2 2 3" xfId="25042" xr:uid="{FE14021C-C33D-48EF-8688-7924FDFD5672}"/>
    <cellStyle name="Normal 5 2 9 2 3" xfId="12389" xr:uid="{70EFFAA1-A461-4AEA-BB92-FD161848F544}"/>
    <cellStyle name="Normal 5 2 9 2 4" xfId="20825" xr:uid="{32500DBE-02AD-40A9-9741-F93989E7CE3B}"/>
    <cellStyle name="Normal 5 2 9 3" xfId="6020" xr:uid="{00000000-0005-0000-0000-000069190000}"/>
    <cellStyle name="Normal 5 2 9 3 2" xfId="14462" xr:uid="{B1AE58F0-A871-4A65-B697-379B6884ABED}"/>
    <cellStyle name="Normal 5 2 9 3 3" xfId="22897" xr:uid="{58D75459-48F6-4C71-999C-936EE61298C0}"/>
    <cellStyle name="Normal 5 2 9 4" xfId="10244" xr:uid="{C0356ADF-FA2E-4985-A5E5-3010558B7886}"/>
    <cellStyle name="Normal 5 2 9 5" xfId="18680" xr:uid="{48C10D7D-144C-4AD4-900E-E943BA50204A}"/>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2 2 2" xfId="17052" xr:uid="{83358933-6A4B-44E9-80A9-D3B513C00010}"/>
    <cellStyle name="Normal 5 3 10 2 2 3" xfId="25487" xr:uid="{6DA19798-8A60-47FF-B6DE-03FF3D39DCF6}"/>
    <cellStyle name="Normal 5 3 10 2 3" xfId="12834" xr:uid="{B5F226B6-BF6B-4A00-A284-8B890DC5D19C}"/>
    <cellStyle name="Normal 5 3 10 2 4" xfId="21270" xr:uid="{718F02DF-7432-455B-8C40-E2555A6010C1}"/>
    <cellStyle name="Normal 5 3 10 3" xfId="6465" xr:uid="{00000000-0005-0000-0000-00006E190000}"/>
    <cellStyle name="Normal 5 3 10 3 2" xfId="14907" xr:uid="{5371F014-F3FB-473E-A548-CBE55DABA3DB}"/>
    <cellStyle name="Normal 5 3 10 3 3" xfId="23342" xr:uid="{6AA5B694-6F95-4E0D-8C5C-763B3C2D4A42}"/>
    <cellStyle name="Normal 5 3 10 4" xfId="10689" xr:uid="{0158724C-1EA4-499F-B437-F55A3A2A3E04}"/>
    <cellStyle name="Normal 5 3 10 5" xfId="19125" xr:uid="{D8FA2DD8-A68E-41FF-9F55-DC8A38CCB318}"/>
    <cellStyle name="Normal 5 3 11" xfId="2594" xr:uid="{00000000-0005-0000-0000-00006F190000}"/>
    <cellStyle name="Normal 5 3 11 2" xfId="6878" xr:uid="{00000000-0005-0000-0000-000070190000}"/>
    <cellStyle name="Normal 5 3 11 2 2" xfId="15320" xr:uid="{B70EFCC3-E744-48D7-BBB6-B00D0A482A1E}"/>
    <cellStyle name="Normal 5 3 11 2 3" xfId="23755" xr:uid="{9C0ADA8B-5B93-4C3E-B589-891682BF9783}"/>
    <cellStyle name="Normal 5 3 11 3" xfId="11102" xr:uid="{DF35F846-9A3C-472C-9D2A-980296243B6A}"/>
    <cellStyle name="Normal 5 3 11 4" xfId="19538" xr:uid="{2F1D824B-C265-4AB6-BBAD-BB4ED0FE8AF1}"/>
    <cellStyle name="Normal 5 3 12" xfId="4813" xr:uid="{00000000-0005-0000-0000-000071190000}"/>
    <cellStyle name="Normal 5 3 12 2" xfId="13255" xr:uid="{BC0E6C74-2CAC-4E1F-AAD9-636A498232CA}"/>
    <cellStyle name="Normal 5 3 12 3" xfId="21690" xr:uid="{4533F5CE-64C8-4CA2-92A9-44649CF22189}"/>
    <cellStyle name="Normal 5 3 13" xfId="9037" xr:uid="{53EEBA12-DF77-40AB-9027-590DA8792289}"/>
    <cellStyle name="Normal 5 3 14" xfId="17473" xr:uid="{BE10BF25-0C6A-450D-9497-E588C39585F1}"/>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10 2" xfId="13256" xr:uid="{2FBBA096-968C-476D-BD4B-2A4461DC96C6}"/>
    <cellStyle name="Normal 5 3 3 10 3" xfId="21691" xr:uid="{D8313066-6C13-44B3-AF97-D3486FE9366E}"/>
    <cellStyle name="Normal 5 3 3 11" xfId="9038" xr:uid="{DB60D815-F822-40B7-A4AE-3E57550588B6}"/>
    <cellStyle name="Normal 5 3 3 12" xfId="17474" xr:uid="{9813036F-571B-4889-8224-0CD574E0B731}"/>
    <cellStyle name="Normal 5 3 3 2" xfId="442" xr:uid="{00000000-0005-0000-0000-000076190000}"/>
    <cellStyle name="Normal 5 3 3 2 10" xfId="9039" xr:uid="{4384ECB8-49F8-47E5-B8CA-BCCD9F2BAE01}"/>
    <cellStyle name="Normal 5 3 3 2 11" xfId="17475" xr:uid="{3A73B9DB-AB6E-48DE-A73F-F462E13D1553}"/>
    <cellStyle name="Normal 5 3 3 2 2" xfId="443" xr:uid="{00000000-0005-0000-0000-000077190000}"/>
    <cellStyle name="Normal 5 3 3 2 2 10" xfId="17476" xr:uid="{60166EC3-D896-4166-B8F2-5F13D7A10096}"/>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2 2 2" xfId="15817" xr:uid="{39CAFD3C-E998-43FF-A5E0-3A079FC7FAD2}"/>
    <cellStyle name="Normal 5 3 3 2 2 2 2 2 2 3" xfId="24252" xr:uid="{C809A98E-896C-4A12-B630-0852DD6EAF47}"/>
    <cellStyle name="Normal 5 3 3 2 2 2 2 2 3" xfId="11599" xr:uid="{9D0D54A8-F6D7-4A5C-849A-D51212DE8772}"/>
    <cellStyle name="Normal 5 3 3 2 2 2 2 2 4" xfId="20035" xr:uid="{A6AE1974-9369-410C-B2EE-70A831B5B23B}"/>
    <cellStyle name="Normal 5 3 3 2 2 2 2 3" xfId="5230" xr:uid="{00000000-0005-0000-0000-00007C190000}"/>
    <cellStyle name="Normal 5 3 3 2 2 2 2 3 2" xfId="13672" xr:uid="{9A3CC9F0-52B7-4E3E-87CF-79BF02E8FE1F}"/>
    <cellStyle name="Normal 5 3 3 2 2 2 2 3 3" xfId="22107" xr:uid="{0735A142-4AF6-42FF-A821-0ECBDECBC896}"/>
    <cellStyle name="Normal 5 3 3 2 2 2 2 4" xfId="9454" xr:uid="{30B03EDD-E250-43B6-BD9A-046F3DFDB521}"/>
    <cellStyle name="Normal 5 3 3 2 2 2 2 5" xfId="17890" xr:uid="{7C751264-F8E4-4C01-B904-F7D28B5C5AA9}"/>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2 2 2" xfId="16230" xr:uid="{91CB1F11-1FD5-4175-95FB-DDE476605D7F}"/>
    <cellStyle name="Normal 5 3 3 2 2 2 3 2 2 3" xfId="24665" xr:uid="{B180E39C-81F4-4F69-9A4B-CAA95E30BCA5}"/>
    <cellStyle name="Normal 5 3 3 2 2 2 3 2 3" xfId="12012" xr:uid="{85801E78-4C85-40C6-AD4A-45041645F3F7}"/>
    <cellStyle name="Normal 5 3 3 2 2 2 3 2 4" xfId="20448" xr:uid="{A575F0CC-FD26-4A55-9B95-DF618AB1C305}"/>
    <cellStyle name="Normal 5 3 3 2 2 2 3 3" xfId="5643" xr:uid="{00000000-0005-0000-0000-000080190000}"/>
    <cellStyle name="Normal 5 3 3 2 2 2 3 3 2" xfId="14085" xr:uid="{18E9F59D-98BC-4A79-B2FD-65EBED9B0C3C}"/>
    <cellStyle name="Normal 5 3 3 2 2 2 3 3 3" xfId="22520" xr:uid="{584D3DA4-7CB2-4624-B730-7BF559B1594B}"/>
    <cellStyle name="Normal 5 3 3 2 2 2 3 4" xfId="9867" xr:uid="{009C051E-914F-4481-9CDE-B00E2B020A88}"/>
    <cellStyle name="Normal 5 3 3 2 2 2 3 5" xfId="18303" xr:uid="{3B617E25-0141-45AF-9FE2-6B82BB25B9E6}"/>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2 2 2" xfId="16643" xr:uid="{99943B16-E897-4DA7-BE9A-AEF5707D9288}"/>
    <cellStyle name="Normal 5 3 3 2 2 2 4 2 2 3" xfId="25078" xr:uid="{AE83039B-78F4-47FF-BD98-F3BD9DB4356E}"/>
    <cellStyle name="Normal 5 3 3 2 2 2 4 2 3" xfId="12425" xr:uid="{B5A30EAC-75C3-47E3-A852-C10B9434672E}"/>
    <cellStyle name="Normal 5 3 3 2 2 2 4 2 4" xfId="20861" xr:uid="{DD228085-B924-4F15-B28A-BDCDE0CFF7D1}"/>
    <cellStyle name="Normal 5 3 3 2 2 2 4 3" xfId="6056" xr:uid="{00000000-0005-0000-0000-000084190000}"/>
    <cellStyle name="Normal 5 3 3 2 2 2 4 3 2" xfId="14498" xr:uid="{90F936DA-F85D-4B83-A7FF-0636597C9D72}"/>
    <cellStyle name="Normal 5 3 3 2 2 2 4 3 3" xfId="22933" xr:uid="{0FAB63F0-62D5-4731-9F7B-FAF935E88E3C}"/>
    <cellStyle name="Normal 5 3 3 2 2 2 4 4" xfId="10280" xr:uid="{8732654D-B0CC-4969-88F6-A89CDC09A029}"/>
    <cellStyle name="Normal 5 3 3 2 2 2 4 5" xfId="18716" xr:uid="{3E4F9542-C763-41F6-B25E-90285ED18A66}"/>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2 2 2" xfId="17056" xr:uid="{FF85571C-4388-4A3C-A34B-85783F782699}"/>
    <cellStyle name="Normal 5 3 3 2 2 2 5 2 2 3" xfId="25491" xr:uid="{3D9B74F4-B5E9-4FF5-9455-357365E25EE4}"/>
    <cellStyle name="Normal 5 3 3 2 2 2 5 2 3" xfId="12838" xr:uid="{473B8A94-18C8-4A1D-BAAD-836B200D8BCD}"/>
    <cellStyle name="Normal 5 3 3 2 2 2 5 2 4" xfId="21274" xr:uid="{25825143-1D32-4203-85BB-C3BE3E5CFA22}"/>
    <cellStyle name="Normal 5 3 3 2 2 2 5 3" xfId="6469" xr:uid="{00000000-0005-0000-0000-000088190000}"/>
    <cellStyle name="Normal 5 3 3 2 2 2 5 3 2" xfId="14911" xr:uid="{0DE7BA9F-191C-49CF-BDA7-9B026FFB5403}"/>
    <cellStyle name="Normal 5 3 3 2 2 2 5 3 3" xfId="23346" xr:uid="{45D48B2E-2AD7-4D87-B7C2-9B40A16C8B7D}"/>
    <cellStyle name="Normal 5 3 3 2 2 2 5 4" xfId="10693" xr:uid="{EC619CCD-5D5B-4BBB-8C30-9401E613E93E}"/>
    <cellStyle name="Normal 5 3 3 2 2 2 5 5" xfId="19129" xr:uid="{23DADFE7-7D59-44CA-A927-99A2EEAE3831}"/>
    <cellStyle name="Normal 5 3 3 2 2 2 6" xfId="2598" xr:uid="{00000000-0005-0000-0000-000089190000}"/>
    <cellStyle name="Normal 5 3 3 2 2 2 6 2" xfId="6882" xr:uid="{00000000-0005-0000-0000-00008A190000}"/>
    <cellStyle name="Normal 5 3 3 2 2 2 6 2 2" xfId="15324" xr:uid="{F12C7DE7-77D0-4D82-B7D0-939DCF36E595}"/>
    <cellStyle name="Normal 5 3 3 2 2 2 6 2 3" xfId="23759" xr:uid="{C994FED2-7752-46CA-84E6-A0F241D04587}"/>
    <cellStyle name="Normal 5 3 3 2 2 2 6 3" xfId="11106" xr:uid="{177C2E8D-5A3C-47E5-B93F-0ED97410A09E}"/>
    <cellStyle name="Normal 5 3 3 2 2 2 6 4" xfId="19542" xr:uid="{F4F94999-D6B9-46B0-983B-B1D5A9E4FC13}"/>
    <cellStyle name="Normal 5 3 3 2 2 2 7" xfId="4817" xr:uid="{00000000-0005-0000-0000-00008B190000}"/>
    <cellStyle name="Normal 5 3 3 2 2 2 7 2" xfId="13259" xr:uid="{AD9490BB-9573-4780-B2B6-683086F9EB2B}"/>
    <cellStyle name="Normal 5 3 3 2 2 2 7 3" xfId="21694" xr:uid="{C19F628A-8FFD-4F06-9A41-DA2E8FE2377A}"/>
    <cellStyle name="Normal 5 3 3 2 2 2 8" xfId="9041" xr:uid="{21774A02-20D0-48D3-A8B6-E38167FC6EF4}"/>
    <cellStyle name="Normal 5 3 3 2 2 2 9" xfId="17477" xr:uid="{04FFEB0E-09F8-4E1F-AA70-E0C7258216C2}"/>
    <cellStyle name="Normal 5 3 3 2 2 3" xfId="917" xr:uid="{00000000-0005-0000-0000-00008C190000}"/>
    <cellStyle name="Normal 5 3 3 2 2 3 2" xfId="3151" xr:uid="{00000000-0005-0000-0000-00008D190000}"/>
    <cellStyle name="Normal 5 3 3 2 2 3 2 2" xfId="7374" xr:uid="{00000000-0005-0000-0000-00008E190000}"/>
    <cellStyle name="Normal 5 3 3 2 2 3 2 2 2" xfId="15816" xr:uid="{006A0CAC-1A79-44C3-89F0-3FB51D9AEEF8}"/>
    <cellStyle name="Normal 5 3 3 2 2 3 2 2 3" xfId="24251" xr:uid="{CDDBCBCF-41EC-4D39-B838-BFB1B4EA0008}"/>
    <cellStyle name="Normal 5 3 3 2 2 3 2 3" xfId="11598" xr:uid="{5312B302-5E4F-47CB-8193-2A45823CBAA1}"/>
    <cellStyle name="Normal 5 3 3 2 2 3 2 4" xfId="20034" xr:uid="{74EB848C-09CD-4F36-8B16-BF13F002D03F}"/>
    <cellStyle name="Normal 5 3 3 2 2 3 3" xfId="5229" xr:uid="{00000000-0005-0000-0000-00008F190000}"/>
    <cellStyle name="Normal 5 3 3 2 2 3 3 2" xfId="13671" xr:uid="{20B5EF11-D34D-4FFE-8FD4-EE36604AE2FC}"/>
    <cellStyle name="Normal 5 3 3 2 2 3 3 3" xfId="22106" xr:uid="{13AD64C9-98C4-4358-B0C1-D4CE4D3E6612}"/>
    <cellStyle name="Normal 5 3 3 2 2 3 4" xfId="9453" xr:uid="{39C46D8C-FA71-4194-8B0C-5E8A36B4B530}"/>
    <cellStyle name="Normal 5 3 3 2 2 3 5" xfId="17889" xr:uid="{4988B12C-5211-4FC4-B10D-AACF37B38425}"/>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2 2 2" xfId="16229" xr:uid="{126F10D5-7712-42D1-969A-7E85EFF0AD39}"/>
    <cellStyle name="Normal 5 3 3 2 2 4 2 2 3" xfId="24664" xr:uid="{5FF93490-D1C0-4B23-8970-5546B86EF945}"/>
    <cellStyle name="Normal 5 3 3 2 2 4 2 3" xfId="12011" xr:uid="{CA28EABD-D9BC-4444-B351-427C88624880}"/>
    <cellStyle name="Normal 5 3 3 2 2 4 2 4" xfId="20447" xr:uid="{DC7FF6D1-4024-4EBA-B950-EF875B52152F}"/>
    <cellStyle name="Normal 5 3 3 2 2 4 3" xfId="5642" xr:uid="{00000000-0005-0000-0000-000093190000}"/>
    <cellStyle name="Normal 5 3 3 2 2 4 3 2" xfId="14084" xr:uid="{EA714E48-06AA-4748-9647-F70E64DB3359}"/>
    <cellStyle name="Normal 5 3 3 2 2 4 3 3" xfId="22519" xr:uid="{A7EEBC49-5BE7-4A13-962A-72286855C487}"/>
    <cellStyle name="Normal 5 3 3 2 2 4 4" xfId="9866" xr:uid="{47190A04-4577-4CA0-B8E1-51CB7779169A}"/>
    <cellStyle name="Normal 5 3 3 2 2 4 5" xfId="18302" xr:uid="{0451F958-CBED-4D03-BE17-2240223B6F8F}"/>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2 2 2" xfId="16642" xr:uid="{00FA70BA-1BF2-4A73-AA64-736AA4180660}"/>
    <cellStyle name="Normal 5 3 3 2 2 5 2 2 3" xfId="25077" xr:uid="{508B0F75-A52E-4632-A9AB-C54A55B0F8CF}"/>
    <cellStyle name="Normal 5 3 3 2 2 5 2 3" xfId="12424" xr:uid="{E57A754C-D05C-4587-8CB4-FD5B5E4138C9}"/>
    <cellStyle name="Normal 5 3 3 2 2 5 2 4" xfId="20860" xr:uid="{06360C9D-24C1-4E8E-8590-B92545C3D6A8}"/>
    <cellStyle name="Normal 5 3 3 2 2 5 3" xfId="6055" xr:uid="{00000000-0005-0000-0000-000097190000}"/>
    <cellStyle name="Normal 5 3 3 2 2 5 3 2" xfId="14497" xr:uid="{536EBFD3-BA11-49EF-803E-D1729E9C353A}"/>
    <cellStyle name="Normal 5 3 3 2 2 5 3 3" xfId="22932" xr:uid="{52004E79-C1AB-41D7-87BA-C783E1578EEA}"/>
    <cellStyle name="Normal 5 3 3 2 2 5 4" xfId="10279" xr:uid="{3522BC26-2BA2-49F8-891A-BE4611FD2AA0}"/>
    <cellStyle name="Normal 5 3 3 2 2 5 5" xfId="18715" xr:uid="{9F469BF3-F8D1-425C-A922-8244D13E9D6B}"/>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2 2 2" xfId="17055" xr:uid="{08E6397B-0595-49F4-B2BC-BDD5A294C2A9}"/>
    <cellStyle name="Normal 5 3 3 2 2 6 2 2 3" xfId="25490" xr:uid="{DED622AF-0BF0-454B-846B-665C7EA2F4CB}"/>
    <cellStyle name="Normal 5 3 3 2 2 6 2 3" xfId="12837" xr:uid="{7B040BB4-6D53-45D5-A97B-E6A8A1C8B515}"/>
    <cellStyle name="Normal 5 3 3 2 2 6 2 4" xfId="21273" xr:uid="{1BD256A1-EF8A-4D77-8B5A-CA1AE3A779FC}"/>
    <cellStyle name="Normal 5 3 3 2 2 6 3" xfId="6468" xr:uid="{00000000-0005-0000-0000-00009B190000}"/>
    <cellStyle name="Normal 5 3 3 2 2 6 3 2" xfId="14910" xr:uid="{B5E28AC4-A5C7-43D0-BB1A-2AC549CACCE7}"/>
    <cellStyle name="Normal 5 3 3 2 2 6 3 3" xfId="23345" xr:uid="{45D8E583-39FC-403A-8A83-A14A9D5E98A9}"/>
    <cellStyle name="Normal 5 3 3 2 2 6 4" xfId="10692" xr:uid="{3B1D772E-4709-44D4-8DA0-02187C710038}"/>
    <cellStyle name="Normal 5 3 3 2 2 6 5" xfId="19128" xr:uid="{9EC2DD26-97F2-424E-808F-3D568E8FB4C9}"/>
    <cellStyle name="Normal 5 3 3 2 2 7" xfId="2597" xr:uid="{00000000-0005-0000-0000-00009C190000}"/>
    <cellStyle name="Normal 5 3 3 2 2 7 2" xfId="6881" xr:uid="{00000000-0005-0000-0000-00009D190000}"/>
    <cellStyle name="Normal 5 3 3 2 2 7 2 2" xfId="15323" xr:uid="{AB86F729-0165-4FF5-A3D7-3C4581B667EA}"/>
    <cellStyle name="Normal 5 3 3 2 2 7 2 3" xfId="23758" xr:uid="{ADEE8858-E4AC-4FD7-A31C-0BC99EE7A641}"/>
    <cellStyle name="Normal 5 3 3 2 2 7 3" xfId="11105" xr:uid="{794BCFC9-B5ED-4B54-803A-12958369A52F}"/>
    <cellStyle name="Normal 5 3 3 2 2 7 4" xfId="19541" xr:uid="{EA1346DE-01E1-43D8-9C3B-F3DCE05C6651}"/>
    <cellStyle name="Normal 5 3 3 2 2 8" xfId="4816" xr:uid="{00000000-0005-0000-0000-00009E190000}"/>
    <cellStyle name="Normal 5 3 3 2 2 8 2" xfId="13258" xr:uid="{5C53FC40-74ED-4B36-8984-8C3B437D37BE}"/>
    <cellStyle name="Normal 5 3 3 2 2 8 3" xfId="21693" xr:uid="{9184D2C8-24E6-47C1-8E60-B014AE477D69}"/>
    <cellStyle name="Normal 5 3 3 2 2 9" xfId="9040" xr:uid="{BED77C3E-4F95-4EBD-BB64-3836846DD7B3}"/>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2 2 2" xfId="15818" xr:uid="{85A16EAC-931D-4C75-ACF4-C26241EF2F74}"/>
    <cellStyle name="Normal 5 3 3 2 3 2 2 2 3" xfId="24253" xr:uid="{573BC1B2-BCF8-40D9-85E7-F8AA9F5AE493}"/>
    <cellStyle name="Normal 5 3 3 2 3 2 2 3" xfId="11600" xr:uid="{40A96112-FBAB-4C8A-B256-C68A46C047F4}"/>
    <cellStyle name="Normal 5 3 3 2 3 2 2 4" xfId="20036" xr:uid="{7FE1A8C9-E0E8-4F9B-9880-2CA7A2525ECA}"/>
    <cellStyle name="Normal 5 3 3 2 3 2 3" xfId="5231" xr:uid="{00000000-0005-0000-0000-0000A3190000}"/>
    <cellStyle name="Normal 5 3 3 2 3 2 3 2" xfId="13673" xr:uid="{CB192D8A-CA10-4522-85EC-50B0473DBEB1}"/>
    <cellStyle name="Normal 5 3 3 2 3 2 3 3" xfId="22108" xr:uid="{E68DBE5D-9483-4A55-BAD6-DCB2FA56B056}"/>
    <cellStyle name="Normal 5 3 3 2 3 2 4" xfId="9455" xr:uid="{4B1BCDCA-8350-46B9-B0B0-5211A9FC6418}"/>
    <cellStyle name="Normal 5 3 3 2 3 2 5" xfId="17891" xr:uid="{CFAEBF09-751A-4F2C-99F0-1CAE78AF3369}"/>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2 2 2" xfId="16231" xr:uid="{42A83DF1-FC7B-46D6-87F6-A29B451A4776}"/>
    <cellStyle name="Normal 5 3 3 2 3 3 2 2 3" xfId="24666" xr:uid="{5127D687-11E1-401E-A2C8-6B4303F7353D}"/>
    <cellStyle name="Normal 5 3 3 2 3 3 2 3" xfId="12013" xr:uid="{F4EF9FDE-A6E4-47E1-9D9D-AE3DE4AC7BC4}"/>
    <cellStyle name="Normal 5 3 3 2 3 3 2 4" xfId="20449" xr:uid="{39952893-9C63-44E9-A0CE-409FCF4BF5C7}"/>
    <cellStyle name="Normal 5 3 3 2 3 3 3" xfId="5644" xr:uid="{00000000-0005-0000-0000-0000A7190000}"/>
    <cellStyle name="Normal 5 3 3 2 3 3 3 2" xfId="14086" xr:uid="{311F6CC2-D7C9-4C7D-8B51-E310DE2361FC}"/>
    <cellStyle name="Normal 5 3 3 2 3 3 3 3" xfId="22521" xr:uid="{099B8230-BECA-4669-B0C4-948F5E7D7FD6}"/>
    <cellStyle name="Normal 5 3 3 2 3 3 4" xfId="9868" xr:uid="{EB3D8962-9D3E-4B02-8BEB-28BA6C7643DD}"/>
    <cellStyle name="Normal 5 3 3 2 3 3 5" xfId="18304" xr:uid="{16E02C3A-CE49-4EB0-BB3D-0B738C2A685D}"/>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2 2 2" xfId="16644" xr:uid="{AFD49A6B-3373-4782-9BE4-FA45050B9836}"/>
    <cellStyle name="Normal 5 3 3 2 3 4 2 2 3" xfId="25079" xr:uid="{E0C89AF4-6F8C-4AE7-9AED-73D025675C4B}"/>
    <cellStyle name="Normal 5 3 3 2 3 4 2 3" xfId="12426" xr:uid="{36C22533-60C3-4E38-A608-D32CA56C26C8}"/>
    <cellStyle name="Normal 5 3 3 2 3 4 2 4" xfId="20862" xr:uid="{DB6F4322-AA0C-4DB2-AD4D-9A6FA34BF594}"/>
    <cellStyle name="Normal 5 3 3 2 3 4 3" xfId="6057" xr:uid="{00000000-0005-0000-0000-0000AB190000}"/>
    <cellStyle name="Normal 5 3 3 2 3 4 3 2" xfId="14499" xr:uid="{A0829BDC-F5AF-4F73-8A0A-3D9230E9B23A}"/>
    <cellStyle name="Normal 5 3 3 2 3 4 3 3" xfId="22934" xr:uid="{3AD14AF7-DF73-4F7C-9DB1-84AE68CBECFB}"/>
    <cellStyle name="Normal 5 3 3 2 3 4 4" xfId="10281" xr:uid="{E84A614A-8065-4DC3-8203-25955E454DA7}"/>
    <cellStyle name="Normal 5 3 3 2 3 4 5" xfId="18717" xr:uid="{F809416B-EDF7-4D82-BBF5-C80D79B1575C}"/>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2 2 2" xfId="17057" xr:uid="{E982E897-684E-49EE-992D-73FE32FEB4C8}"/>
    <cellStyle name="Normal 5 3 3 2 3 5 2 2 3" xfId="25492" xr:uid="{FE8E353A-35C2-4BAD-A074-B43E17B9FAAC}"/>
    <cellStyle name="Normal 5 3 3 2 3 5 2 3" xfId="12839" xr:uid="{E7F6A88A-A971-45EE-BC9D-9578555C1CC8}"/>
    <cellStyle name="Normal 5 3 3 2 3 5 2 4" xfId="21275" xr:uid="{C0482DE3-53F0-42AA-B66C-4A33D00BC659}"/>
    <cellStyle name="Normal 5 3 3 2 3 5 3" xfId="6470" xr:uid="{00000000-0005-0000-0000-0000AF190000}"/>
    <cellStyle name="Normal 5 3 3 2 3 5 3 2" xfId="14912" xr:uid="{D194F92A-B99C-4FF9-B39E-FF1AF882D00D}"/>
    <cellStyle name="Normal 5 3 3 2 3 5 3 3" xfId="23347" xr:uid="{FF6E9537-246A-4902-8A5D-468EF00F851F}"/>
    <cellStyle name="Normal 5 3 3 2 3 5 4" xfId="10694" xr:uid="{40DC41DE-9672-4D6E-BCAF-F850BA457E09}"/>
    <cellStyle name="Normal 5 3 3 2 3 5 5" xfId="19130" xr:uid="{85B598C1-37DF-4F76-B14D-1B196BBC6E75}"/>
    <cellStyle name="Normal 5 3 3 2 3 6" xfId="2599" xr:uid="{00000000-0005-0000-0000-0000B0190000}"/>
    <cellStyle name="Normal 5 3 3 2 3 6 2" xfId="6883" xr:uid="{00000000-0005-0000-0000-0000B1190000}"/>
    <cellStyle name="Normal 5 3 3 2 3 6 2 2" xfId="15325" xr:uid="{63659F47-0AB5-4B0C-BF15-121A7367AB10}"/>
    <cellStyle name="Normal 5 3 3 2 3 6 2 3" xfId="23760" xr:uid="{F7CD9E6E-E127-45BE-A1BC-13C9D1FC2ACA}"/>
    <cellStyle name="Normal 5 3 3 2 3 6 3" xfId="11107" xr:uid="{01130A09-2A2A-4324-B21D-74A13B2F63A4}"/>
    <cellStyle name="Normal 5 3 3 2 3 6 4" xfId="19543" xr:uid="{9E4672AD-2EBF-4A51-BB1F-17667232A225}"/>
    <cellStyle name="Normal 5 3 3 2 3 7" xfId="4818" xr:uid="{00000000-0005-0000-0000-0000B2190000}"/>
    <cellStyle name="Normal 5 3 3 2 3 7 2" xfId="13260" xr:uid="{53FE2113-A8B9-4FF1-AC91-C0F76D87824B}"/>
    <cellStyle name="Normal 5 3 3 2 3 7 3" xfId="21695" xr:uid="{BA0E1F5C-A682-46D2-84C3-0A9BE57DDEC6}"/>
    <cellStyle name="Normal 5 3 3 2 3 8" xfId="9042" xr:uid="{BC360741-9E52-42BE-BE06-12A4780748FA}"/>
    <cellStyle name="Normal 5 3 3 2 3 9" xfId="17478" xr:uid="{BA059811-2ED9-4AF9-AD63-9AD85141DFB4}"/>
    <cellStyle name="Normal 5 3 3 2 4" xfId="916" xr:uid="{00000000-0005-0000-0000-0000B3190000}"/>
    <cellStyle name="Normal 5 3 3 2 4 2" xfId="3150" xr:uid="{00000000-0005-0000-0000-0000B4190000}"/>
    <cellStyle name="Normal 5 3 3 2 4 2 2" xfId="7373" xr:uid="{00000000-0005-0000-0000-0000B5190000}"/>
    <cellStyle name="Normal 5 3 3 2 4 2 2 2" xfId="15815" xr:uid="{9AD9D57B-FA08-4864-952D-F7C8DA2AC496}"/>
    <cellStyle name="Normal 5 3 3 2 4 2 2 3" xfId="24250" xr:uid="{36C77E6B-81A8-49AD-8C5C-BABC33C517C5}"/>
    <cellStyle name="Normal 5 3 3 2 4 2 3" xfId="11597" xr:uid="{D15FBBDB-CFFE-42AD-B3AB-DF28A0782488}"/>
    <cellStyle name="Normal 5 3 3 2 4 2 4" xfId="20033" xr:uid="{C2C51F4A-F454-49AD-AE7C-50A062DFE44A}"/>
    <cellStyle name="Normal 5 3 3 2 4 3" xfId="5228" xr:uid="{00000000-0005-0000-0000-0000B6190000}"/>
    <cellStyle name="Normal 5 3 3 2 4 3 2" xfId="13670" xr:uid="{5E0B5A03-3341-4AFC-AFE1-A1E2111B1AA8}"/>
    <cellStyle name="Normal 5 3 3 2 4 3 3" xfId="22105" xr:uid="{33217B24-827A-412D-8A6F-E09042513A2B}"/>
    <cellStyle name="Normal 5 3 3 2 4 4" xfId="9452" xr:uid="{BF63896C-7280-4388-8891-E6E705176514}"/>
    <cellStyle name="Normal 5 3 3 2 4 5" xfId="17888" xr:uid="{7E711412-B97C-49BD-802F-708460503E37}"/>
    <cellStyle name="Normal 5 3 3 2 5" xfId="1333" xr:uid="{00000000-0005-0000-0000-0000B7190000}"/>
    <cellStyle name="Normal 5 3 3 2 5 2" xfId="3563" xr:uid="{00000000-0005-0000-0000-0000B8190000}"/>
    <cellStyle name="Normal 5 3 3 2 5 2 2" xfId="7786" xr:uid="{00000000-0005-0000-0000-0000B9190000}"/>
    <cellStyle name="Normal 5 3 3 2 5 2 2 2" xfId="16228" xr:uid="{5E5B7D53-0203-486B-A5A7-1FF9B4B5753A}"/>
    <cellStyle name="Normal 5 3 3 2 5 2 2 3" xfId="24663" xr:uid="{4F885374-E136-4142-ADF2-513B19A00014}"/>
    <cellStyle name="Normal 5 3 3 2 5 2 3" xfId="12010" xr:uid="{B5DF5B52-288F-4E72-BC40-B1FF36E91641}"/>
    <cellStyle name="Normal 5 3 3 2 5 2 4" xfId="20446" xr:uid="{86E303EF-E865-4CEE-82C8-0E135C9546B3}"/>
    <cellStyle name="Normal 5 3 3 2 5 3" xfId="5641" xr:uid="{00000000-0005-0000-0000-0000BA190000}"/>
    <cellStyle name="Normal 5 3 3 2 5 3 2" xfId="14083" xr:uid="{5A920381-9E16-44D0-B664-DF0B549BBE9A}"/>
    <cellStyle name="Normal 5 3 3 2 5 3 3" xfId="22518" xr:uid="{2C2FCADB-6E82-4E75-AC76-77CF270DCA3B}"/>
    <cellStyle name="Normal 5 3 3 2 5 4" xfId="9865" xr:uid="{05A3B7E4-6839-447B-9BFF-C8B17055262A}"/>
    <cellStyle name="Normal 5 3 3 2 5 5" xfId="18301" xr:uid="{5B5DD136-E852-4233-8016-53910C096769}"/>
    <cellStyle name="Normal 5 3 3 2 6" xfId="1746" xr:uid="{00000000-0005-0000-0000-0000BB190000}"/>
    <cellStyle name="Normal 5 3 3 2 6 2" xfId="3976" xr:uid="{00000000-0005-0000-0000-0000BC190000}"/>
    <cellStyle name="Normal 5 3 3 2 6 2 2" xfId="8199" xr:uid="{00000000-0005-0000-0000-0000BD190000}"/>
    <cellStyle name="Normal 5 3 3 2 6 2 2 2" xfId="16641" xr:uid="{198C55CF-F1A9-4633-9801-DB00BD29AD01}"/>
    <cellStyle name="Normal 5 3 3 2 6 2 2 3" xfId="25076" xr:uid="{693D0AB8-FCC6-451B-8A3B-244454D7219E}"/>
    <cellStyle name="Normal 5 3 3 2 6 2 3" xfId="12423" xr:uid="{71B299BE-1BC9-462D-BCB2-2CEC587487C7}"/>
    <cellStyle name="Normal 5 3 3 2 6 2 4" xfId="20859" xr:uid="{5E37EF83-E408-4BA1-B340-B868B5DA6A75}"/>
    <cellStyle name="Normal 5 3 3 2 6 3" xfId="6054" xr:uid="{00000000-0005-0000-0000-0000BE190000}"/>
    <cellStyle name="Normal 5 3 3 2 6 3 2" xfId="14496" xr:uid="{C55FF6CF-A75C-4CB5-9645-33EDBCF2535B}"/>
    <cellStyle name="Normal 5 3 3 2 6 3 3" xfId="22931" xr:uid="{1AAA737E-D105-4248-AFDF-20F02E786BF9}"/>
    <cellStyle name="Normal 5 3 3 2 6 4" xfId="10278" xr:uid="{D929AC89-0F68-43EF-85A5-8599E7C9455C}"/>
    <cellStyle name="Normal 5 3 3 2 6 5" xfId="18714" xr:uid="{AD64BD78-0D8F-4697-B5C8-A4551FC9F2EC}"/>
    <cellStyle name="Normal 5 3 3 2 7" xfId="2160" xr:uid="{00000000-0005-0000-0000-0000BF190000}"/>
    <cellStyle name="Normal 5 3 3 2 7 2" xfId="4389" xr:uid="{00000000-0005-0000-0000-0000C0190000}"/>
    <cellStyle name="Normal 5 3 3 2 7 2 2" xfId="8612" xr:uid="{00000000-0005-0000-0000-0000C1190000}"/>
    <cellStyle name="Normal 5 3 3 2 7 2 2 2" xfId="17054" xr:uid="{83477E82-A8FC-4454-B5A7-14761F8DF72E}"/>
    <cellStyle name="Normal 5 3 3 2 7 2 2 3" xfId="25489" xr:uid="{CA9F75C2-9E7F-4935-BC33-C317355919DB}"/>
    <cellStyle name="Normal 5 3 3 2 7 2 3" xfId="12836" xr:uid="{EF1EB0CE-8BBB-45B1-8048-F4BEE9481D75}"/>
    <cellStyle name="Normal 5 3 3 2 7 2 4" xfId="21272" xr:uid="{578BF0A6-C0DD-43D2-8415-96BF1061170E}"/>
    <cellStyle name="Normal 5 3 3 2 7 3" xfId="6467" xr:uid="{00000000-0005-0000-0000-0000C2190000}"/>
    <cellStyle name="Normal 5 3 3 2 7 3 2" xfId="14909" xr:uid="{A4FE1973-4D11-4C39-8B28-1085B62C174D}"/>
    <cellStyle name="Normal 5 3 3 2 7 3 3" xfId="23344" xr:uid="{C73DEC69-0FA9-4705-B136-B59E05F2A9FB}"/>
    <cellStyle name="Normal 5 3 3 2 7 4" xfId="10691" xr:uid="{7CC08D20-30C4-45C0-B753-6EDE7A5F215D}"/>
    <cellStyle name="Normal 5 3 3 2 7 5" xfId="19127" xr:uid="{48873F99-9D10-4FDB-ACE9-D947E697D694}"/>
    <cellStyle name="Normal 5 3 3 2 8" xfId="2596" xr:uid="{00000000-0005-0000-0000-0000C3190000}"/>
    <cellStyle name="Normal 5 3 3 2 8 2" xfId="6880" xr:uid="{00000000-0005-0000-0000-0000C4190000}"/>
    <cellStyle name="Normal 5 3 3 2 8 2 2" xfId="15322" xr:uid="{2DCA9443-588A-4D48-9AF2-3E4B06632C3D}"/>
    <cellStyle name="Normal 5 3 3 2 8 2 3" xfId="23757" xr:uid="{8AC22D2F-8924-49C9-B486-AA39FE7A2D62}"/>
    <cellStyle name="Normal 5 3 3 2 8 3" xfId="11104" xr:uid="{58B2C2D7-B043-4AEB-9F58-6B694B4CEE6C}"/>
    <cellStyle name="Normal 5 3 3 2 8 4" xfId="19540" xr:uid="{E9D489E7-D2FF-4BBD-94C6-7654A4C98FF4}"/>
    <cellStyle name="Normal 5 3 3 2 9" xfId="4815" xr:uid="{00000000-0005-0000-0000-0000C5190000}"/>
    <cellStyle name="Normal 5 3 3 2 9 2" xfId="13257" xr:uid="{9FF95CD6-A069-41B4-9DA7-79D1639B1D28}"/>
    <cellStyle name="Normal 5 3 3 2 9 3" xfId="21692" xr:uid="{C86620CE-7328-40B8-B757-75AFC1233B5E}"/>
    <cellStyle name="Normal 5 3 3 3" xfId="446" xr:uid="{00000000-0005-0000-0000-0000C6190000}"/>
    <cellStyle name="Normal 5 3 3 3 10" xfId="17479" xr:uid="{D391B22F-96F6-49A4-BE5C-34A7482E323B}"/>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2 2 2" xfId="15820" xr:uid="{D2DF88C1-D4D0-4D7D-83B9-64CE6FE29C0C}"/>
    <cellStyle name="Normal 5 3 3 3 2 2 2 2 3" xfId="24255" xr:uid="{53F2DE0A-4432-44A1-9523-9C1FDF907B20}"/>
    <cellStyle name="Normal 5 3 3 3 2 2 2 3" xfId="11602" xr:uid="{A52CFD06-8B05-4C78-B67B-D1667190205E}"/>
    <cellStyle name="Normal 5 3 3 3 2 2 2 4" xfId="20038" xr:uid="{2151B750-4063-46A3-A5FE-F7BFC3681F3B}"/>
    <cellStyle name="Normal 5 3 3 3 2 2 3" xfId="5233" xr:uid="{00000000-0005-0000-0000-0000CB190000}"/>
    <cellStyle name="Normal 5 3 3 3 2 2 3 2" xfId="13675" xr:uid="{2193E442-D64D-4734-A45D-06C9463B9ADF}"/>
    <cellStyle name="Normal 5 3 3 3 2 2 3 3" xfId="22110" xr:uid="{68DE1A09-0AFD-4E6A-AFBE-4FA13A831EBD}"/>
    <cellStyle name="Normal 5 3 3 3 2 2 4" xfId="9457" xr:uid="{AEBA1516-3347-4800-BCE3-1CCD40633B9F}"/>
    <cellStyle name="Normal 5 3 3 3 2 2 5" xfId="17893" xr:uid="{7EF3B012-B91E-42CD-834F-6243310A1542}"/>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2 2 2" xfId="16233" xr:uid="{BB8D4AC4-9E1B-4319-AF38-E16EF19387DC}"/>
    <cellStyle name="Normal 5 3 3 3 2 3 2 2 3" xfId="24668" xr:uid="{8D5E0FCE-4BE4-4525-9CFF-D1A7C78137AD}"/>
    <cellStyle name="Normal 5 3 3 3 2 3 2 3" xfId="12015" xr:uid="{87EF65D2-D92C-46ED-9CFF-FD962DEFE09C}"/>
    <cellStyle name="Normal 5 3 3 3 2 3 2 4" xfId="20451" xr:uid="{594CA317-AE28-4F91-AF4D-099AA257940E}"/>
    <cellStyle name="Normal 5 3 3 3 2 3 3" xfId="5646" xr:uid="{00000000-0005-0000-0000-0000CF190000}"/>
    <cellStyle name="Normal 5 3 3 3 2 3 3 2" xfId="14088" xr:uid="{E1419097-9D91-4845-A0E4-3AAA92E4897E}"/>
    <cellStyle name="Normal 5 3 3 3 2 3 3 3" xfId="22523" xr:uid="{E97CE13C-595A-4296-82AE-63EAEF7D7E58}"/>
    <cellStyle name="Normal 5 3 3 3 2 3 4" xfId="9870" xr:uid="{0B997D42-C71E-4530-A96E-CFDABA1ADF41}"/>
    <cellStyle name="Normal 5 3 3 3 2 3 5" xfId="18306" xr:uid="{061D66D4-977A-44A5-A372-C9FE49C3C631}"/>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2 2 2" xfId="16646" xr:uid="{72B345E3-2F96-4EB6-9826-35DC8377B278}"/>
    <cellStyle name="Normal 5 3 3 3 2 4 2 2 3" xfId="25081" xr:uid="{1AD33D12-3498-4DE5-86C3-29036BC3BB8D}"/>
    <cellStyle name="Normal 5 3 3 3 2 4 2 3" xfId="12428" xr:uid="{8F859B88-D7DB-4ABE-8E16-DEF787CD82DC}"/>
    <cellStyle name="Normal 5 3 3 3 2 4 2 4" xfId="20864" xr:uid="{C85ECB7F-9394-4B7A-A3B2-2B9CCA9E9F2A}"/>
    <cellStyle name="Normal 5 3 3 3 2 4 3" xfId="6059" xr:uid="{00000000-0005-0000-0000-0000D3190000}"/>
    <cellStyle name="Normal 5 3 3 3 2 4 3 2" xfId="14501" xr:uid="{C7FAC2C1-7C09-4DD8-828C-C90596290449}"/>
    <cellStyle name="Normal 5 3 3 3 2 4 3 3" xfId="22936" xr:uid="{1FBEAD7A-5FE2-430C-B3D2-68C6DC7B9FD9}"/>
    <cellStyle name="Normal 5 3 3 3 2 4 4" xfId="10283" xr:uid="{420E8B31-21FA-4102-9E43-7914B83726DA}"/>
    <cellStyle name="Normal 5 3 3 3 2 4 5" xfId="18719" xr:uid="{8B660E84-FDA5-4218-BF8D-ED5ADBA0DA58}"/>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2 2 2" xfId="17059" xr:uid="{7C83958B-206D-4D9A-A05A-544DE49C770B}"/>
    <cellStyle name="Normal 5 3 3 3 2 5 2 2 3" xfId="25494" xr:uid="{740626EF-224C-48CC-B653-5FFFD08B0E6A}"/>
    <cellStyle name="Normal 5 3 3 3 2 5 2 3" xfId="12841" xr:uid="{52DD1EC5-7728-45BA-929A-10B23DDA11E6}"/>
    <cellStyle name="Normal 5 3 3 3 2 5 2 4" xfId="21277" xr:uid="{B0F1188E-4285-4FF2-8BC8-A8FB2EECC152}"/>
    <cellStyle name="Normal 5 3 3 3 2 5 3" xfId="6472" xr:uid="{00000000-0005-0000-0000-0000D7190000}"/>
    <cellStyle name="Normal 5 3 3 3 2 5 3 2" xfId="14914" xr:uid="{FFD215CB-0FDF-49C3-8DDF-A8E99520F5FB}"/>
    <cellStyle name="Normal 5 3 3 3 2 5 3 3" xfId="23349" xr:uid="{EF1AA403-6834-4E51-B207-699EB33A1954}"/>
    <cellStyle name="Normal 5 3 3 3 2 5 4" xfId="10696" xr:uid="{C839CAE8-3C3A-45DA-9DA8-56E26A5AA9D5}"/>
    <cellStyle name="Normal 5 3 3 3 2 5 5" xfId="19132" xr:uid="{46FAD215-4FB8-43B9-AF8F-12D4812B4D18}"/>
    <cellStyle name="Normal 5 3 3 3 2 6" xfId="2601" xr:uid="{00000000-0005-0000-0000-0000D8190000}"/>
    <cellStyle name="Normal 5 3 3 3 2 6 2" xfId="6885" xr:uid="{00000000-0005-0000-0000-0000D9190000}"/>
    <cellStyle name="Normal 5 3 3 3 2 6 2 2" xfId="15327" xr:uid="{253F3726-843B-4C27-9315-293CA5E29855}"/>
    <cellStyle name="Normal 5 3 3 3 2 6 2 3" xfId="23762" xr:uid="{ACF550B1-2D8B-44FF-A902-B0E33802D89A}"/>
    <cellStyle name="Normal 5 3 3 3 2 6 3" xfId="11109" xr:uid="{1DB62D4F-FB35-45A7-A187-79DCF4F7A457}"/>
    <cellStyle name="Normal 5 3 3 3 2 6 4" xfId="19545" xr:uid="{C15D00B7-130F-4FBA-9AB8-0CDAB8083EED}"/>
    <cellStyle name="Normal 5 3 3 3 2 7" xfId="4820" xr:uid="{00000000-0005-0000-0000-0000DA190000}"/>
    <cellStyle name="Normal 5 3 3 3 2 7 2" xfId="13262" xr:uid="{8494DC40-3A21-4437-8B66-402C192E31C0}"/>
    <cellStyle name="Normal 5 3 3 3 2 7 3" xfId="21697" xr:uid="{0ECAFE99-B429-464C-BF63-F84A9132EE98}"/>
    <cellStyle name="Normal 5 3 3 3 2 8" xfId="9044" xr:uid="{4D5D62B0-AAAA-4482-9ABB-B3EBCB3B7509}"/>
    <cellStyle name="Normal 5 3 3 3 2 9" xfId="17480" xr:uid="{CD971099-1265-41A9-ADAE-F225D943F0AC}"/>
    <cellStyle name="Normal 5 3 3 3 3" xfId="920" xr:uid="{00000000-0005-0000-0000-0000DB190000}"/>
    <cellStyle name="Normal 5 3 3 3 3 2" xfId="3154" xr:uid="{00000000-0005-0000-0000-0000DC190000}"/>
    <cellStyle name="Normal 5 3 3 3 3 2 2" xfId="7377" xr:uid="{00000000-0005-0000-0000-0000DD190000}"/>
    <cellStyle name="Normal 5 3 3 3 3 2 2 2" xfId="15819" xr:uid="{4F0AE0B4-E2B0-4594-AD55-CC0DE92597B5}"/>
    <cellStyle name="Normal 5 3 3 3 3 2 2 3" xfId="24254" xr:uid="{4FFA6D2D-A22A-4101-AFE1-CC0DDC08781A}"/>
    <cellStyle name="Normal 5 3 3 3 3 2 3" xfId="11601" xr:uid="{40C7CCB9-EA30-4ACA-8E93-365515260B29}"/>
    <cellStyle name="Normal 5 3 3 3 3 2 4" xfId="20037" xr:uid="{BB37DBE7-9D68-4144-A7C3-42DDA1647B16}"/>
    <cellStyle name="Normal 5 3 3 3 3 3" xfId="5232" xr:uid="{00000000-0005-0000-0000-0000DE190000}"/>
    <cellStyle name="Normal 5 3 3 3 3 3 2" xfId="13674" xr:uid="{EE30B677-4A42-4567-8B26-330DF8504717}"/>
    <cellStyle name="Normal 5 3 3 3 3 3 3" xfId="22109" xr:uid="{933119FC-FA8F-4BA9-848E-55298AA0AEFA}"/>
    <cellStyle name="Normal 5 3 3 3 3 4" xfId="9456" xr:uid="{5237671B-896E-4AAF-83DB-F9B307B63C0B}"/>
    <cellStyle name="Normal 5 3 3 3 3 5" xfId="17892" xr:uid="{8685859D-C398-4204-B505-4EEF3B8F4DFD}"/>
    <cellStyle name="Normal 5 3 3 3 4" xfId="1337" xr:uid="{00000000-0005-0000-0000-0000DF190000}"/>
    <cellStyle name="Normal 5 3 3 3 4 2" xfId="3567" xr:uid="{00000000-0005-0000-0000-0000E0190000}"/>
    <cellStyle name="Normal 5 3 3 3 4 2 2" xfId="7790" xr:uid="{00000000-0005-0000-0000-0000E1190000}"/>
    <cellStyle name="Normal 5 3 3 3 4 2 2 2" xfId="16232" xr:uid="{5450C073-DD0D-4083-8B3E-BFD7C1F7FFAD}"/>
    <cellStyle name="Normal 5 3 3 3 4 2 2 3" xfId="24667" xr:uid="{4A248BA6-DA22-4BD6-B5C0-CB2C2AC01DB2}"/>
    <cellStyle name="Normal 5 3 3 3 4 2 3" xfId="12014" xr:uid="{981DFE4A-0A27-4EAE-AE96-9A41C824DB8C}"/>
    <cellStyle name="Normal 5 3 3 3 4 2 4" xfId="20450" xr:uid="{90AE7B08-297E-48D5-8651-BA1F7FDA14CF}"/>
    <cellStyle name="Normal 5 3 3 3 4 3" xfId="5645" xr:uid="{00000000-0005-0000-0000-0000E2190000}"/>
    <cellStyle name="Normal 5 3 3 3 4 3 2" xfId="14087" xr:uid="{AAC64741-6E09-435A-BD3B-999A8591A46A}"/>
    <cellStyle name="Normal 5 3 3 3 4 3 3" xfId="22522" xr:uid="{814CA56E-739F-47F1-AE79-F425BC7FC5AD}"/>
    <cellStyle name="Normal 5 3 3 3 4 4" xfId="9869" xr:uid="{6B1C37B3-5B47-4870-847C-87A475E27EE6}"/>
    <cellStyle name="Normal 5 3 3 3 4 5" xfId="18305" xr:uid="{3885AFFA-AE04-4435-9AC6-922790DA9CA7}"/>
    <cellStyle name="Normal 5 3 3 3 5" xfId="1750" xr:uid="{00000000-0005-0000-0000-0000E3190000}"/>
    <cellStyle name="Normal 5 3 3 3 5 2" xfId="3980" xr:uid="{00000000-0005-0000-0000-0000E4190000}"/>
    <cellStyle name="Normal 5 3 3 3 5 2 2" xfId="8203" xr:uid="{00000000-0005-0000-0000-0000E5190000}"/>
    <cellStyle name="Normal 5 3 3 3 5 2 2 2" xfId="16645" xr:uid="{163E3CDC-472B-4F17-A79B-381537A1146B}"/>
    <cellStyle name="Normal 5 3 3 3 5 2 2 3" xfId="25080" xr:uid="{FF552DAB-058A-46D7-B1FA-C7CEF1FE871D}"/>
    <cellStyle name="Normal 5 3 3 3 5 2 3" xfId="12427" xr:uid="{BB52E45D-DFBE-49EB-94F2-FF2FE20534D3}"/>
    <cellStyle name="Normal 5 3 3 3 5 2 4" xfId="20863" xr:uid="{C9B907BF-21AD-4CD9-A077-8F931A203785}"/>
    <cellStyle name="Normal 5 3 3 3 5 3" xfId="6058" xr:uid="{00000000-0005-0000-0000-0000E6190000}"/>
    <cellStyle name="Normal 5 3 3 3 5 3 2" xfId="14500" xr:uid="{D16124EE-732C-4126-9D39-A6F71C7E1D4A}"/>
    <cellStyle name="Normal 5 3 3 3 5 3 3" xfId="22935" xr:uid="{D2487CB2-7B5C-47C3-9D64-3DBF2DB36122}"/>
    <cellStyle name="Normal 5 3 3 3 5 4" xfId="10282" xr:uid="{CF2C8BCC-00A1-43A4-A572-6A3C8BA09B92}"/>
    <cellStyle name="Normal 5 3 3 3 5 5" xfId="18718" xr:uid="{F5C2367C-08AE-4DAA-813B-11611F2CBD86}"/>
    <cellStyle name="Normal 5 3 3 3 6" xfId="2164" xr:uid="{00000000-0005-0000-0000-0000E7190000}"/>
    <cellStyle name="Normal 5 3 3 3 6 2" xfId="4393" xr:uid="{00000000-0005-0000-0000-0000E8190000}"/>
    <cellStyle name="Normal 5 3 3 3 6 2 2" xfId="8616" xr:uid="{00000000-0005-0000-0000-0000E9190000}"/>
    <cellStyle name="Normal 5 3 3 3 6 2 2 2" xfId="17058" xr:uid="{8B5CFAAA-4F25-48C9-8D7D-DB568B7A6CC2}"/>
    <cellStyle name="Normal 5 3 3 3 6 2 2 3" xfId="25493" xr:uid="{D3732A2D-677A-47DC-8408-EC00CB939B23}"/>
    <cellStyle name="Normal 5 3 3 3 6 2 3" xfId="12840" xr:uid="{5472ADD5-1EDD-4D7C-B8CC-27DA1B00AA53}"/>
    <cellStyle name="Normal 5 3 3 3 6 2 4" xfId="21276" xr:uid="{A48A3E05-5EC3-4D68-9006-09DE944386CF}"/>
    <cellStyle name="Normal 5 3 3 3 6 3" xfId="6471" xr:uid="{00000000-0005-0000-0000-0000EA190000}"/>
    <cellStyle name="Normal 5 3 3 3 6 3 2" xfId="14913" xr:uid="{8B32E407-7EA6-49D8-947F-893F9CF4935D}"/>
    <cellStyle name="Normal 5 3 3 3 6 3 3" xfId="23348" xr:uid="{46262043-A1EF-40A7-9718-6E29FB8CAC10}"/>
    <cellStyle name="Normal 5 3 3 3 6 4" xfId="10695" xr:uid="{4CBB0034-8D8A-413D-A127-538FC7888114}"/>
    <cellStyle name="Normal 5 3 3 3 6 5" xfId="19131" xr:uid="{11CC430D-6A70-44CF-851D-96FCDE7C675E}"/>
    <cellStyle name="Normal 5 3 3 3 7" xfId="2600" xr:uid="{00000000-0005-0000-0000-0000EB190000}"/>
    <cellStyle name="Normal 5 3 3 3 7 2" xfId="6884" xr:uid="{00000000-0005-0000-0000-0000EC190000}"/>
    <cellStyle name="Normal 5 3 3 3 7 2 2" xfId="15326" xr:uid="{40599CE3-13CD-43D6-B08D-46FD3E99DBD8}"/>
    <cellStyle name="Normal 5 3 3 3 7 2 3" xfId="23761" xr:uid="{48DAFE37-10FD-4ECD-8AF6-D24EA63AF551}"/>
    <cellStyle name="Normal 5 3 3 3 7 3" xfId="11108" xr:uid="{4C0D64E1-5B2F-4FDD-A2B4-E6284A9BBF5F}"/>
    <cellStyle name="Normal 5 3 3 3 7 4" xfId="19544" xr:uid="{6DE33977-C46B-45CB-BF80-BF0ACC6D6CC3}"/>
    <cellStyle name="Normal 5 3 3 3 8" xfId="4819" xr:uid="{00000000-0005-0000-0000-0000ED190000}"/>
    <cellStyle name="Normal 5 3 3 3 8 2" xfId="13261" xr:uid="{D5C03E61-938C-4CD7-BEA7-A6BF1F5E44CE}"/>
    <cellStyle name="Normal 5 3 3 3 8 3" xfId="21696" xr:uid="{E3386233-84BE-4D8D-9788-D428ECDACBFD}"/>
    <cellStyle name="Normal 5 3 3 3 9" xfId="9043" xr:uid="{07C71D08-09C2-471C-827F-5E6588BFF108}"/>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2 2 2" xfId="15821" xr:uid="{9183631E-35A4-4E7F-AFAD-66CDE833D224}"/>
    <cellStyle name="Normal 5 3 3 4 2 2 2 3" xfId="24256" xr:uid="{3CAC09A4-2EEC-46D3-98D2-0F279D05B128}"/>
    <cellStyle name="Normal 5 3 3 4 2 2 3" xfId="11603" xr:uid="{8B930E85-C491-4832-BE5F-F4D9C956254D}"/>
    <cellStyle name="Normal 5 3 3 4 2 2 4" xfId="20039" xr:uid="{8DD5422D-7C7C-4159-8287-96AE654199F9}"/>
    <cellStyle name="Normal 5 3 3 4 2 3" xfId="5234" xr:uid="{00000000-0005-0000-0000-0000F2190000}"/>
    <cellStyle name="Normal 5 3 3 4 2 3 2" xfId="13676" xr:uid="{0C23F3B7-E225-448F-99B4-7EE877CA2C9B}"/>
    <cellStyle name="Normal 5 3 3 4 2 3 3" xfId="22111" xr:uid="{E2848BD4-1EA7-4852-83C6-39E65EE45D46}"/>
    <cellStyle name="Normal 5 3 3 4 2 4" xfId="9458" xr:uid="{B1D5403D-8D86-4441-9D57-FDA9ABCAAAAF}"/>
    <cellStyle name="Normal 5 3 3 4 2 5" xfId="17894" xr:uid="{2A6783BB-724E-4BF7-AD5A-0F7DDD2F9D51}"/>
    <cellStyle name="Normal 5 3 3 4 3" xfId="1339" xr:uid="{00000000-0005-0000-0000-0000F3190000}"/>
    <cellStyle name="Normal 5 3 3 4 3 2" xfId="3569" xr:uid="{00000000-0005-0000-0000-0000F4190000}"/>
    <cellStyle name="Normal 5 3 3 4 3 2 2" xfId="7792" xr:uid="{00000000-0005-0000-0000-0000F5190000}"/>
    <cellStyle name="Normal 5 3 3 4 3 2 2 2" xfId="16234" xr:uid="{A4A33674-3C05-47ED-911B-0C2026189D4F}"/>
    <cellStyle name="Normal 5 3 3 4 3 2 2 3" xfId="24669" xr:uid="{81458BA7-F68C-47D9-B925-4A2A3C18D3AC}"/>
    <cellStyle name="Normal 5 3 3 4 3 2 3" xfId="12016" xr:uid="{BCE0A571-07D4-42BB-882A-13CB990E4410}"/>
    <cellStyle name="Normal 5 3 3 4 3 2 4" xfId="20452" xr:uid="{AF5EFD4C-C010-4663-81CD-142C68CB5091}"/>
    <cellStyle name="Normal 5 3 3 4 3 3" xfId="5647" xr:uid="{00000000-0005-0000-0000-0000F6190000}"/>
    <cellStyle name="Normal 5 3 3 4 3 3 2" xfId="14089" xr:uid="{6BD33CA8-7E6D-445C-8441-6ECB5DEDC3FE}"/>
    <cellStyle name="Normal 5 3 3 4 3 3 3" xfId="22524" xr:uid="{9831B48B-0A0D-420F-8A91-AA49C585F8BA}"/>
    <cellStyle name="Normal 5 3 3 4 3 4" xfId="9871" xr:uid="{1F667FA3-9C34-41AB-A655-1864CE260A1A}"/>
    <cellStyle name="Normal 5 3 3 4 3 5" xfId="18307" xr:uid="{F6342DB0-EDE9-4F2C-A19C-06A163C5B345}"/>
    <cellStyle name="Normal 5 3 3 4 4" xfId="1752" xr:uid="{00000000-0005-0000-0000-0000F7190000}"/>
    <cellStyle name="Normal 5 3 3 4 4 2" xfId="3982" xr:uid="{00000000-0005-0000-0000-0000F8190000}"/>
    <cellStyle name="Normal 5 3 3 4 4 2 2" xfId="8205" xr:uid="{00000000-0005-0000-0000-0000F9190000}"/>
    <cellStyle name="Normal 5 3 3 4 4 2 2 2" xfId="16647" xr:uid="{C90045C9-0E8D-4602-9CF4-F557614D736A}"/>
    <cellStyle name="Normal 5 3 3 4 4 2 2 3" xfId="25082" xr:uid="{DF4FF7D9-7180-4898-9D5E-C85CE61495AA}"/>
    <cellStyle name="Normal 5 3 3 4 4 2 3" xfId="12429" xr:uid="{0B23C9DD-CACE-4F05-AAEC-9761065AA3BE}"/>
    <cellStyle name="Normal 5 3 3 4 4 2 4" xfId="20865" xr:uid="{DEB68898-F590-48D0-B738-36427C60C8EB}"/>
    <cellStyle name="Normal 5 3 3 4 4 3" xfId="6060" xr:uid="{00000000-0005-0000-0000-0000FA190000}"/>
    <cellStyle name="Normal 5 3 3 4 4 3 2" xfId="14502" xr:uid="{4A6A3358-4E60-49ED-B9DB-36AE2FAFCC73}"/>
    <cellStyle name="Normal 5 3 3 4 4 3 3" xfId="22937" xr:uid="{A601CFE8-1221-4010-8209-E3A34CA02ACA}"/>
    <cellStyle name="Normal 5 3 3 4 4 4" xfId="10284" xr:uid="{6B26879A-5935-4E09-BBF9-73475927B64E}"/>
    <cellStyle name="Normal 5 3 3 4 4 5" xfId="18720" xr:uid="{21691B9C-AAAB-494E-B5DE-D3AE8CAEC2DF}"/>
    <cellStyle name="Normal 5 3 3 4 5" xfId="2166" xr:uid="{00000000-0005-0000-0000-0000FB190000}"/>
    <cellStyle name="Normal 5 3 3 4 5 2" xfId="4395" xr:uid="{00000000-0005-0000-0000-0000FC190000}"/>
    <cellStyle name="Normal 5 3 3 4 5 2 2" xfId="8618" xr:uid="{00000000-0005-0000-0000-0000FD190000}"/>
    <cellStyle name="Normal 5 3 3 4 5 2 2 2" xfId="17060" xr:uid="{2006D391-4A07-4761-9B6A-82BE495C1DC4}"/>
    <cellStyle name="Normal 5 3 3 4 5 2 2 3" xfId="25495" xr:uid="{6213F837-E94B-4224-BCFC-DEF742026CC7}"/>
    <cellStyle name="Normal 5 3 3 4 5 2 3" xfId="12842" xr:uid="{DDEECFE6-8C62-47BA-99A0-2A4EA313D3CE}"/>
    <cellStyle name="Normal 5 3 3 4 5 2 4" xfId="21278" xr:uid="{20DFEA8C-F7BB-4431-B66E-8A15EEF19071}"/>
    <cellStyle name="Normal 5 3 3 4 5 3" xfId="6473" xr:uid="{00000000-0005-0000-0000-0000FE190000}"/>
    <cellStyle name="Normal 5 3 3 4 5 3 2" xfId="14915" xr:uid="{B524EA0A-CB8D-4938-8FB8-91F6ED8091E0}"/>
    <cellStyle name="Normal 5 3 3 4 5 3 3" xfId="23350" xr:uid="{51AEBCA5-7366-4DEC-BCA8-0E69988EF1F5}"/>
    <cellStyle name="Normal 5 3 3 4 5 4" xfId="10697" xr:uid="{1C1F3080-4DEE-4E95-AFA9-533A9B404EA8}"/>
    <cellStyle name="Normal 5 3 3 4 5 5" xfId="19133" xr:uid="{28C8C0BE-47C6-4966-9D2D-84B66D68D73C}"/>
    <cellStyle name="Normal 5 3 3 4 6" xfId="2602" xr:uid="{00000000-0005-0000-0000-0000FF190000}"/>
    <cellStyle name="Normal 5 3 3 4 6 2" xfId="6886" xr:uid="{00000000-0005-0000-0000-0000001A0000}"/>
    <cellStyle name="Normal 5 3 3 4 6 2 2" xfId="15328" xr:uid="{3B67F67C-23A4-4C48-A281-28CCC329C098}"/>
    <cellStyle name="Normal 5 3 3 4 6 2 3" xfId="23763" xr:uid="{B4375173-35F8-4AA8-B719-6855B9D41C82}"/>
    <cellStyle name="Normal 5 3 3 4 6 3" xfId="11110" xr:uid="{12924CC1-A3F8-4761-9D06-ACA7588D1816}"/>
    <cellStyle name="Normal 5 3 3 4 6 4" xfId="19546" xr:uid="{F4C8A5F5-2B08-46E7-8092-67D7F5D7F337}"/>
    <cellStyle name="Normal 5 3 3 4 7" xfId="4821" xr:uid="{00000000-0005-0000-0000-0000011A0000}"/>
    <cellStyle name="Normal 5 3 3 4 7 2" xfId="13263" xr:uid="{6D9D7FCA-687E-4FAA-89DA-9C6A2B4AB297}"/>
    <cellStyle name="Normal 5 3 3 4 7 3" xfId="21698" xr:uid="{65FB865D-A3CC-42C5-A57C-DE9E5A2F6582}"/>
    <cellStyle name="Normal 5 3 3 4 8" xfId="9045" xr:uid="{2E1CD364-5850-4B32-8C45-D37242DFF424}"/>
    <cellStyle name="Normal 5 3 3 4 9" xfId="17481" xr:uid="{B60B74A9-E174-4826-AD9F-A111F14A0B80}"/>
    <cellStyle name="Normal 5 3 3 5" xfId="915" xr:uid="{00000000-0005-0000-0000-0000021A0000}"/>
    <cellStyle name="Normal 5 3 3 5 2" xfId="3149" xr:uid="{00000000-0005-0000-0000-0000031A0000}"/>
    <cellStyle name="Normal 5 3 3 5 2 2" xfId="7372" xr:uid="{00000000-0005-0000-0000-0000041A0000}"/>
    <cellStyle name="Normal 5 3 3 5 2 2 2" xfId="15814" xr:uid="{17C131F2-C46E-44D0-9FF1-F725CA55B20A}"/>
    <cellStyle name="Normal 5 3 3 5 2 2 3" xfId="24249" xr:uid="{7D0D4F12-8231-49E6-9CDA-CCB3DC77727A}"/>
    <cellStyle name="Normal 5 3 3 5 2 3" xfId="11596" xr:uid="{99AC2A79-20B2-473E-88E7-BBEB534F1291}"/>
    <cellStyle name="Normal 5 3 3 5 2 4" xfId="20032" xr:uid="{318FE31D-EDF2-4ED0-B043-8224F36E0630}"/>
    <cellStyle name="Normal 5 3 3 5 3" xfId="5227" xr:uid="{00000000-0005-0000-0000-0000051A0000}"/>
    <cellStyle name="Normal 5 3 3 5 3 2" xfId="13669" xr:uid="{E693DC4A-A07A-447C-8D78-2F4916D8A725}"/>
    <cellStyle name="Normal 5 3 3 5 3 3" xfId="22104" xr:uid="{11DC3DF1-DBA0-49EF-AE98-F7BE33FA38F7}"/>
    <cellStyle name="Normal 5 3 3 5 4" xfId="9451" xr:uid="{C0CE795A-7AF6-48A7-A7BA-CECFF089AF6B}"/>
    <cellStyle name="Normal 5 3 3 5 5" xfId="17887" xr:uid="{9C0ED571-CAC5-4C4F-AFB5-120A6A3F4EF8}"/>
    <cellStyle name="Normal 5 3 3 6" xfId="1332" xr:uid="{00000000-0005-0000-0000-0000061A0000}"/>
    <cellStyle name="Normal 5 3 3 6 2" xfId="3562" xr:uid="{00000000-0005-0000-0000-0000071A0000}"/>
    <cellStyle name="Normal 5 3 3 6 2 2" xfId="7785" xr:uid="{00000000-0005-0000-0000-0000081A0000}"/>
    <cellStyle name="Normal 5 3 3 6 2 2 2" xfId="16227" xr:uid="{6E6C3288-51F8-4D4C-B0DF-D152EA6AF6AC}"/>
    <cellStyle name="Normal 5 3 3 6 2 2 3" xfId="24662" xr:uid="{3D278155-071D-45A0-BBA2-211581201C10}"/>
    <cellStyle name="Normal 5 3 3 6 2 3" xfId="12009" xr:uid="{DCDF1039-5C57-49C9-A20B-3880AA6D23B8}"/>
    <cellStyle name="Normal 5 3 3 6 2 4" xfId="20445" xr:uid="{E596E076-5796-4140-99BB-30D4FEF40A9B}"/>
    <cellStyle name="Normal 5 3 3 6 3" xfId="5640" xr:uid="{00000000-0005-0000-0000-0000091A0000}"/>
    <cellStyle name="Normal 5 3 3 6 3 2" xfId="14082" xr:uid="{64C3DBC1-B71C-4CD8-9A1E-FAAD19163BDB}"/>
    <cellStyle name="Normal 5 3 3 6 3 3" xfId="22517" xr:uid="{70E94A9F-B141-4EFE-99E2-D83DFD492AED}"/>
    <cellStyle name="Normal 5 3 3 6 4" xfId="9864" xr:uid="{DFFEF650-B6EA-4833-AC5D-88D5E20FA47D}"/>
    <cellStyle name="Normal 5 3 3 6 5" xfId="18300" xr:uid="{4D59C917-1A77-4782-AD83-C01CF611F0FA}"/>
    <cellStyle name="Normal 5 3 3 7" xfId="1745" xr:uid="{00000000-0005-0000-0000-00000A1A0000}"/>
    <cellStyle name="Normal 5 3 3 7 2" xfId="3975" xr:uid="{00000000-0005-0000-0000-00000B1A0000}"/>
    <cellStyle name="Normal 5 3 3 7 2 2" xfId="8198" xr:uid="{00000000-0005-0000-0000-00000C1A0000}"/>
    <cellStyle name="Normal 5 3 3 7 2 2 2" xfId="16640" xr:uid="{6A23FEEF-E4A6-400A-B6EC-2CCC624AA649}"/>
    <cellStyle name="Normal 5 3 3 7 2 2 3" xfId="25075" xr:uid="{C0D78050-F997-417E-A14E-8F15EC528CC4}"/>
    <cellStyle name="Normal 5 3 3 7 2 3" xfId="12422" xr:uid="{09F5A168-FB9D-4555-A434-4B3A3824496E}"/>
    <cellStyle name="Normal 5 3 3 7 2 4" xfId="20858" xr:uid="{778251F7-86D8-41BD-86B7-E8E6E552D8C6}"/>
    <cellStyle name="Normal 5 3 3 7 3" xfId="6053" xr:uid="{00000000-0005-0000-0000-00000D1A0000}"/>
    <cellStyle name="Normal 5 3 3 7 3 2" xfId="14495" xr:uid="{500D04C9-9540-4F49-89F7-EE6776C731B2}"/>
    <cellStyle name="Normal 5 3 3 7 3 3" xfId="22930" xr:uid="{949F9FB9-B7F8-4A54-B6FB-953D8E61B002}"/>
    <cellStyle name="Normal 5 3 3 7 4" xfId="10277" xr:uid="{14E24DE5-BE57-4C4D-8CC9-BE74692C2072}"/>
    <cellStyle name="Normal 5 3 3 7 5" xfId="18713" xr:uid="{B41B65AF-0520-4937-A98D-28114FA0FF65}"/>
    <cellStyle name="Normal 5 3 3 8" xfId="2159" xr:uid="{00000000-0005-0000-0000-00000E1A0000}"/>
    <cellStyle name="Normal 5 3 3 8 2" xfId="4388" xr:uid="{00000000-0005-0000-0000-00000F1A0000}"/>
    <cellStyle name="Normal 5 3 3 8 2 2" xfId="8611" xr:uid="{00000000-0005-0000-0000-0000101A0000}"/>
    <cellStyle name="Normal 5 3 3 8 2 2 2" xfId="17053" xr:uid="{5E311AAD-7EDB-4320-A1E7-F9C0A63871DD}"/>
    <cellStyle name="Normal 5 3 3 8 2 2 3" xfId="25488" xr:uid="{AE3C54A2-EFDF-4ADC-BFDA-8C17FC81E699}"/>
    <cellStyle name="Normal 5 3 3 8 2 3" xfId="12835" xr:uid="{21D41679-132A-4FEB-B28D-B8BA08328A56}"/>
    <cellStyle name="Normal 5 3 3 8 2 4" xfId="21271" xr:uid="{F6B653A5-9311-4A89-9A4A-1DE7DA6447C1}"/>
    <cellStyle name="Normal 5 3 3 8 3" xfId="6466" xr:uid="{00000000-0005-0000-0000-0000111A0000}"/>
    <cellStyle name="Normal 5 3 3 8 3 2" xfId="14908" xr:uid="{6C979B25-83F1-407A-9DD8-8AAF9122912A}"/>
    <cellStyle name="Normal 5 3 3 8 3 3" xfId="23343" xr:uid="{496B03C6-552E-4DB9-8091-1FD05392D7E5}"/>
    <cellStyle name="Normal 5 3 3 8 4" xfId="10690" xr:uid="{98D26CFA-CCCA-4404-BE8C-09B5A39048C8}"/>
    <cellStyle name="Normal 5 3 3 8 5" xfId="19126" xr:uid="{D3851DF6-A72B-41CE-9F5E-1E9B7F9E829E}"/>
    <cellStyle name="Normal 5 3 3 9" xfId="2595" xr:uid="{00000000-0005-0000-0000-0000121A0000}"/>
    <cellStyle name="Normal 5 3 3 9 2" xfId="6879" xr:uid="{00000000-0005-0000-0000-0000131A0000}"/>
    <cellStyle name="Normal 5 3 3 9 2 2" xfId="15321" xr:uid="{576DB992-9BC3-4C61-8891-BD77C92BAA2F}"/>
    <cellStyle name="Normal 5 3 3 9 2 3" xfId="23756" xr:uid="{9F6A0A8A-B91F-4951-BA15-D88B7BB543A5}"/>
    <cellStyle name="Normal 5 3 3 9 3" xfId="11103" xr:uid="{F291D933-F3B8-4275-B296-0C5C1E41707A}"/>
    <cellStyle name="Normal 5 3 3 9 4" xfId="19539" xr:uid="{3F04DD1A-3E3D-40B0-8560-C0283ED39E4E}"/>
    <cellStyle name="Normal 5 3 4" xfId="449" xr:uid="{00000000-0005-0000-0000-0000141A0000}"/>
    <cellStyle name="Normal 5 3 4 10" xfId="9046" xr:uid="{D383EE9F-2932-4B61-BCEC-19561F563C1F}"/>
    <cellStyle name="Normal 5 3 4 11" xfId="17482" xr:uid="{EB5E1D09-1A5F-40EF-B666-2787A2A9EC0C}"/>
    <cellStyle name="Normal 5 3 4 2" xfId="450" xr:uid="{00000000-0005-0000-0000-0000151A0000}"/>
    <cellStyle name="Normal 5 3 4 2 10" xfId="17483" xr:uid="{62129CDC-9C49-477F-8C3D-CA1A218BD217}"/>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2 2 2" xfId="15824" xr:uid="{E1EF0DB1-57C2-4F2B-B2F5-8CC828DDD9E0}"/>
    <cellStyle name="Normal 5 3 4 2 2 2 2 2 3" xfId="24259" xr:uid="{F92D74EA-397B-4120-BC70-9EA09251769D}"/>
    <cellStyle name="Normal 5 3 4 2 2 2 2 3" xfId="11606" xr:uid="{DECEEC79-3D06-4715-9467-150B8DC9A7DC}"/>
    <cellStyle name="Normal 5 3 4 2 2 2 2 4" xfId="20042" xr:uid="{79D3A20B-8658-49BE-90F4-3A2D658284CA}"/>
    <cellStyle name="Normal 5 3 4 2 2 2 3" xfId="5237" xr:uid="{00000000-0005-0000-0000-00001A1A0000}"/>
    <cellStyle name="Normal 5 3 4 2 2 2 3 2" xfId="13679" xr:uid="{8D28E474-AA62-46AD-AA07-14E51D0E88CA}"/>
    <cellStyle name="Normal 5 3 4 2 2 2 3 3" xfId="22114" xr:uid="{A7304A59-F8E1-469A-9308-37B78C116EB2}"/>
    <cellStyle name="Normal 5 3 4 2 2 2 4" xfId="9461" xr:uid="{4B778D66-0DA9-4463-84C4-6679415915BE}"/>
    <cellStyle name="Normal 5 3 4 2 2 2 5" xfId="17897" xr:uid="{0EFBB831-F8D6-46F1-9E10-4D30BB45CA89}"/>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2 2 2" xfId="16237" xr:uid="{FEC523D6-0257-4135-B8E5-3F368D75ABE0}"/>
    <cellStyle name="Normal 5 3 4 2 2 3 2 2 3" xfId="24672" xr:uid="{690FC37C-18C4-4E94-B881-967913165ED4}"/>
    <cellStyle name="Normal 5 3 4 2 2 3 2 3" xfId="12019" xr:uid="{D7FB8D1A-25BB-4A4C-B463-93058972F260}"/>
    <cellStyle name="Normal 5 3 4 2 2 3 2 4" xfId="20455" xr:uid="{1F8EB45F-C700-4613-B345-7408E62A8C57}"/>
    <cellStyle name="Normal 5 3 4 2 2 3 3" xfId="5650" xr:uid="{00000000-0005-0000-0000-00001E1A0000}"/>
    <cellStyle name="Normal 5 3 4 2 2 3 3 2" xfId="14092" xr:uid="{3A113C77-AAA8-4274-B877-C18C53737A2F}"/>
    <cellStyle name="Normal 5 3 4 2 2 3 3 3" xfId="22527" xr:uid="{2AF1DD5D-F392-4B80-BD65-178E6D696F7A}"/>
    <cellStyle name="Normal 5 3 4 2 2 3 4" xfId="9874" xr:uid="{92B5E302-6730-4FD0-9432-2E671793920C}"/>
    <cellStyle name="Normal 5 3 4 2 2 3 5" xfId="18310" xr:uid="{6EA96B7F-AAC0-4CD0-9BD2-D383158759E7}"/>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2 2 2" xfId="16650" xr:uid="{53430277-7C8E-411E-BC70-309598594A73}"/>
    <cellStyle name="Normal 5 3 4 2 2 4 2 2 3" xfId="25085" xr:uid="{FADA66E4-B7FF-4CDF-9E55-0F4734E45FBA}"/>
    <cellStyle name="Normal 5 3 4 2 2 4 2 3" xfId="12432" xr:uid="{210F2E72-B243-403F-B8C6-0D5070238C60}"/>
    <cellStyle name="Normal 5 3 4 2 2 4 2 4" xfId="20868" xr:uid="{3C27C700-7BD9-458C-83EA-9999339CA421}"/>
    <cellStyle name="Normal 5 3 4 2 2 4 3" xfId="6063" xr:uid="{00000000-0005-0000-0000-0000221A0000}"/>
    <cellStyle name="Normal 5 3 4 2 2 4 3 2" xfId="14505" xr:uid="{F91F9E1E-949F-4EB7-AB33-DFC3C7DC3425}"/>
    <cellStyle name="Normal 5 3 4 2 2 4 3 3" xfId="22940" xr:uid="{81BD4D74-727C-4AC0-9A53-35F72AC43551}"/>
    <cellStyle name="Normal 5 3 4 2 2 4 4" xfId="10287" xr:uid="{CB28ADB9-A16F-4902-A09A-142BC48C1021}"/>
    <cellStyle name="Normal 5 3 4 2 2 4 5" xfId="18723" xr:uid="{6468D214-0211-4980-9A1A-F7FEF0DD2462}"/>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2 2 2" xfId="17063" xr:uid="{F4D26C59-AE09-42B8-9BA3-67E7A7E553E7}"/>
    <cellStyle name="Normal 5 3 4 2 2 5 2 2 3" xfId="25498" xr:uid="{615FDE47-AC12-401F-8668-FE2D903AA531}"/>
    <cellStyle name="Normal 5 3 4 2 2 5 2 3" xfId="12845" xr:uid="{7267C83A-8D8B-4278-9CC4-58289A9A88AD}"/>
    <cellStyle name="Normal 5 3 4 2 2 5 2 4" xfId="21281" xr:uid="{96A9120E-2CD4-4BAA-A82A-238B30920CC3}"/>
    <cellStyle name="Normal 5 3 4 2 2 5 3" xfId="6476" xr:uid="{00000000-0005-0000-0000-0000261A0000}"/>
    <cellStyle name="Normal 5 3 4 2 2 5 3 2" xfId="14918" xr:uid="{F788C9D1-B4AE-43AC-8632-E11D22CD27C4}"/>
    <cellStyle name="Normal 5 3 4 2 2 5 3 3" xfId="23353" xr:uid="{52F2F411-39AF-4174-AA93-A529FC3BAB42}"/>
    <cellStyle name="Normal 5 3 4 2 2 5 4" xfId="10700" xr:uid="{061E1B7B-CFCE-43C8-AB99-2C1EB535C729}"/>
    <cellStyle name="Normal 5 3 4 2 2 5 5" xfId="19136" xr:uid="{D0B0248A-67C0-484D-81CE-16589E35A992}"/>
    <cellStyle name="Normal 5 3 4 2 2 6" xfId="2605" xr:uid="{00000000-0005-0000-0000-0000271A0000}"/>
    <cellStyle name="Normal 5 3 4 2 2 6 2" xfId="6889" xr:uid="{00000000-0005-0000-0000-0000281A0000}"/>
    <cellStyle name="Normal 5 3 4 2 2 6 2 2" xfId="15331" xr:uid="{57A032C0-0D5D-4A31-8CAC-FD0C31450538}"/>
    <cellStyle name="Normal 5 3 4 2 2 6 2 3" xfId="23766" xr:uid="{2844FC36-BC78-49D1-B1E2-0C2FDE51D8D4}"/>
    <cellStyle name="Normal 5 3 4 2 2 6 3" xfId="11113" xr:uid="{4BB64552-FF50-478F-B0D1-8555B859AFE4}"/>
    <cellStyle name="Normal 5 3 4 2 2 6 4" xfId="19549" xr:uid="{9B70B2B7-B401-4BD3-A89D-62CF5AB95490}"/>
    <cellStyle name="Normal 5 3 4 2 2 7" xfId="4824" xr:uid="{00000000-0005-0000-0000-0000291A0000}"/>
    <cellStyle name="Normal 5 3 4 2 2 7 2" xfId="13266" xr:uid="{A9A7B302-AF86-47D5-AD9C-7D4EF2BFD59C}"/>
    <cellStyle name="Normal 5 3 4 2 2 7 3" xfId="21701" xr:uid="{E8055C0E-94AB-4D57-B59B-C13DA1C84204}"/>
    <cellStyle name="Normal 5 3 4 2 2 8" xfId="9048" xr:uid="{430A20F3-58EB-43FF-B2D7-6C89B2C49195}"/>
    <cellStyle name="Normal 5 3 4 2 2 9" xfId="17484" xr:uid="{3D1B9A34-4B3F-4883-ADFF-FDA99A9FB4E5}"/>
    <cellStyle name="Normal 5 3 4 2 3" xfId="924" xr:uid="{00000000-0005-0000-0000-00002A1A0000}"/>
    <cellStyle name="Normal 5 3 4 2 3 2" xfId="3158" xr:uid="{00000000-0005-0000-0000-00002B1A0000}"/>
    <cellStyle name="Normal 5 3 4 2 3 2 2" xfId="7381" xr:uid="{00000000-0005-0000-0000-00002C1A0000}"/>
    <cellStyle name="Normal 5 3 4 2 3 2 2 2" xfId="15823" xr:uid="{E4A9E927-2DA6-4FA7-8268-9F3CAC685821}"/>
    <cellStyle name="Normal 5 3 4 2 3 2 2 3" xfId="24258" xr:uid="{C0148FA3-3DFA-413E-8731-B2BD815CF141}"/>
    <cellStyle name="Normal 5 3 4 2 3 2 3" xfId="11605" xr:uid="{673DFB4A-C86E-4E2E-B614-A77E9BD7EA14}"/>
    <cellStyle name="Normal 5 3 4 2 3 2 4" xfId="20041" xr:uid="{984DD832-459B-479C-8EC7-E4B4E1594B5B}"/>
    <cellStyle name="Normal 5 3 4 2 3 3" xfId="5236" xr:uid="{00000000-0005-0000-0000-00002D1A0000}"/>
    <cellStyle name="Normal 5 3 4 2 3 3 2" xfId="13678" xr:uid="{DF6F99A8-A351-4905-B124-BE06B1866396}"/>
    <cellStyle name="Normal 5 3 4 2 3 3 3" xfId="22113" xr:uid="{CD6B7EC7-60CA-4C74-8F38-7E9FBF3ADA26}"/>
    <cellStyle name="Normal 5 3 4 2 3 4" xfId="9460" xr:uid="{511DE9BA-63C6-46F6-8597-76B5EF4CD367}"/>
    <cellStyle name="Normal 5 3 4 2 3 5" xfId="17896" xr:uid="{EEB25F86-69EA-4332-939C-320031A5AE55}"/>
    <cellStyle name="Normal 5 3 4 2 4" xfId="1341" xr:uid="{00000000-0005-0000-0000-00002E1A0000}"/>
    <cellStyle name="Normal 5 3 4 2 4 2" xfId="3571" xr:uid="{00000000-0005-0000-0000-00002F1A0000}"/>
    <cellStyle name="Normal 5 3 4 2 4 2 2" xfId="7794" xr:uid="{00000000-0005-0000-0000-0000301A0000}"/>
    <cellStyle name="Normal 5 3 4 2 4 2 2 2" xfId="16236" xr:uid="{7BC9D938-D72A-4B11-9157-44932A2F4F1E}"/>
    <cellStyle name="Normal 5 3 4 2 4 2 2 3" xfId="24671" xr:uid="{E486D882-4CED-4DA4-B3BA-6469B42742D6}"/>
    <cellStyle name="Normal 5 3 4 2 4 2 3" xfId="12018" xr:uid="{5DBE4C81-AA91-4096-87CF-50753F17B164}"/>
    <cellStyle name="Normal 5 3 4 2 4 2 4" xfId="20454" xr:uid="{0C3421CA-1E2A-4537-B741-E3A8FF38DA23}"/>
    <cellStyle name="Normal 5 3 4 2 4 3" xfId="5649" xr:uid="{00000000-0005-0000-0000-0000311A0000}"/>
    <cellStyle name="Normal 5 3 4 2 4 3 2" xfId="14091" xr:uid="{5F310B2F-769F-4FAB-A02C-067FA5450E37}"/>
    <cellStyle name="Normal 5 3 4 2 4 3 3" xfId="22526" xr:uid="{2EBB79CA-3625-4067-8B27-0EA9EE3388DC}"/>
    <cellStyle name="Normal 5 3 4 2 4 4" xfId="9873" xr:uid="{35B15788-949C-4AF2-876E-DC2E12B3C382}"/>
    <cellStyle name="Normal 5 3 4 2 4 5" xfId="18309" xr:uid="{AD0A3503-29C6-45A9-B0B8-509D77FFD2C7}"/>
    <cellStyle name="Normal 5 3 4 2 5" xfId="1754" xr:uid="{00000000-0005-0000-0000-0000321A0000}"/>
    <cellStyle name="Normal 5 3 4 2 5 2" xfId="3984" xr:uid="{00000000-0005-0000-0000-0000331A0000}"/>
    <cellStyle name="Normal 5 3 4 2 5 2 2" xfId="8207" xr:uid="{00000000-0005-0000-0000-0000341A0000}"/>
    <cellStyle name="Normal 5 3 4 2 5 2 2 2" xfId="16649" xr:uid="{D5F7075F-38E8-402D-B083-F89D0270F209}"/>
    <cellStyle name="Normal 5 3 4 2 5 2 2 3" xfId="25084" xr:uid="{14678565-2B03-4594-BA9D-4D6646E2DDAF}"/>
    <cellStyle name="Normal 5 3 4 2 5 2 3" xfId="12431" xr:uid="{B47B60FC-F6E1-4A43-BD58-6D024916E0D7}"/>
    <cellStyle name="Normal 5 3 4 2 5 2 4" xfId="20867" xr:uid="{2DA8A42C-F468-40D8-A480-95A0B352C817}"/>
    <cellStyle name="Normal 5 3 4 2 5 3" xfId="6062" xr:uid="{00000000-0005-0000-0000-0000351A0000}"/>
    <cellStyle name="Normal 5 3 4 2 5 3 2" xfId="14504" xr:uid="{191BA92E-DD12-403B-B330-68AB3AB19490}"/>
    <cellStyle name="Normal 5 3 4 2 5 3 3" xfId="22939" xr:uid="{4234D832-4CB3-48C3-ACF8-4FC0E8305C6E}"/>
    <cellStyle name="Normal 5 3 4 2 5 4" xfId="10286" xr:uid="{69FD3A2E-4B82-4B7D-ADA1-CA491352C82B}"/>
    <cellStyle name="Normal 5 3 4 2 5 5" xfId="18722" xr:uid="{EB2F5DF1-FE83-45DE-96E4-DD0EF6A55F6D}"/>
    <cellStyle name="Normal 5 3 4 2 6" xfId="2168" xr:uid="{00000000-0005-0000-0000-0000361A0000}"/>
    <cellStyle name="Normal 5 3 4 2 6 2" xfId="4397" xr:uid="{00000000-0005-0000-0000-0000371A0000}"/>
    <cellStyle name="Normal 5 3 4 2 6 2 2" xfId="8620" xr:uid="{00000000-0005-0000-0000-0000381A0000}"/>
    <cellStyle name="Normal 5 3 4 2 6 2 2 2" xfId="17062" xr:uid="{26846308-0F2F-47FD-BCCC-BC7430623319}"/>
    <cellStyle name="Normal 5 3 4 2 6 2 2 3" xfId="25497" xr:uid="{4E0FB1CA-FBC9-4A37-93FC-36BB7065C52B}"/>
    <cellStyle name="Normal 5 3 4 2 6 2 3" xfId="12844" xr:uid="{4264CEAF-32EC-4A30-99B3-5751B78B64DA}"/>
    <cellStyle name="Normal 5 3 4 2 6 2 4" xfId="21280" xr:uid="{ECF4BA77-4A12-4B09-A81E-94C74F991210}"/>
    <cellStyle name="Normal 5 3 4 2 6 3" xfId="6475" xr:uid="{00000000-0005-0000-0000-0000391A0000}"/>
    <cellStyle name="Normal 5 3 4 2 6 3 2" xfId="14917" xr:uid="{865E3E1A-D403-4949-885B-97B2A9002E6A}"/>
    <cellStyle name="Normal 5 3 4 2 6 3 3" xfId="23352" xr:uid="{8C75A1EC-87B3-4C22-A12A-148432E94C64}"/>
    <cellStyle name="Normal 5 3 4 2 6 4" xfId="10699" xr:uid="{857ECE7C-93F5-4706-89BC-8F517ACAAAD4}"/>
    <cellStyle name="Normal 5 3 4 2 6 5" xfId="19135" xr:uid="{67225DFB-3523-4B71-97CF-FCD332EB8642}"/>
    <cellStyle name="Normal 5 3 4 2 7" xfId="2604" xr:uid="{00000000-0005-0000-0000-00003A1A0000}"/>
    <cellStyle name="Normal 5 3 4 2 7 2" xfId="6888" xr:uid="{00000000-0005-0000-0000-00003B1A0000}"/>
    <cellStyle name="Normal 5 3 4 2 7 2 2" xfId="15330" xr:uid="{BC0E430D-FB59-4DFD-8A18-06A1225A3770}"/>
    <cellStyle name="Normal 5 3 4 2 7 2 3" xfId="23765" xr:uid="{65766F31-40D3-4329-B807-133C30023811}"/>
    <cellStyle name="Normal 5 3 4 2 7 3" xfId="11112" xr:uid="{E7F6A126-4D94-435F-94DE-01B49908BC26}"/>
    <cellStyle name="Normal 5 3 4 2 7 4" xfId="19548" xr:uid="{0515B43F-E56F-4167-92DF-9F6C421C1B14}"/>
    <cellStyle name="Normal 5 3 4 2 8" xfId="4823" xr:uid="{00000000-0005-0000-0000-00003C1A0000}"/>
    <cellStyle name="Normal 5 3 4 2 8 2" xfId="13265" xr:uid="{74300F93-89A7-451A-807A-EEED427DC79E}"/>
    <cellStyle name="Normal 5 3 4 2 8 3" xfId="21700" xr:uid="{20076F95-15E5-45D9-8C3D-F8FF96EFD808}"/>
    <cellStyle name="Normal 5 3 4 2 9" xfId="9047" xr:uid="{8B91773F-19DB-4765-A661-316B065CB607}"/>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2 2 2" xfId="15825" xr:uid="{257ADFAD-5F08-4C9C-95B4-99448FF76D18}"/>
    <cellStyle name="Normal 5 3 4 3 2 2 2 3" xfId="24260" xr:uid="{C7B6F279-F067-4114-9512-DD739F7C1E44}"/>
    <cellStyle name="Normal 5 3 4 3 2 2 3" xfId="11607" xr:uid="{22897E30-5EE9-4198-B0F5-D9B871D9C1B2}"/>
    <cellStyle name="Normal 5 3 4 3 2 2 4" xfId="20043" xr:uid="{FCE4898B-829E-49F6-AE91-5873DD813E74}"/>
    <cellStyle name="Normal 5 3 4 3 2 3" xfId="5238" xr:uid="{00000000-0005-0000-0000-0000411A0000}"/>
    <cellStyle name="Normal 5 3 4 3 2 3 2" xfId="13680" xr:uid="{2A895127-D1A3-44E7-95B3-1A843BB31512}"/>
    <cellStyle name="Normal 5 3 4 3 2 3 3" xfId="22115" xr:uid="{25211BB9-050E-4E59-B8CA-4734DBA556EB}"/>
    <cellStyle name="Normal 5 3 4 3 2 4" xfId="9462" xr:uid="{4853465C-529D-4F15-BF07-507BB1A28543}"/>
    <cellStyle name="Normal 5 3 4 3 2 5" xfId="17898" xr:uid="{506CDB09-A72F-4D9A-A246-791BB0E70959}"/>
    <cellStyle name="Normal 5 3 4 3 3" xfId="1343" xr:uid="{00000000-0005-0000-0000-0000421A0000}"/>
    <cellStyle name="Normal 5 3 4 3 3 2" xfId="3573" xr:uid="{00000000-0005-0000-0000-0000431A0000}"/>
    <cellStyle name="Normal 5 3 4 3 3 2 2" xfId="7796" xr:uid="{00000000-0005-0000-0000-0000441A0000}"/>
    <cellStyle name="Normal 5 3 4 3 3 2 2 2" xfId="16238" xr:uid="{B1C88E01-F1B8-4212-B91D-8EB3CA3B06EE}"/>
    <cellStyle name="Normal 5 3 4 3 3 2 2 3" xfId="24673" xr:uid="{C04B2D94-E481-48F6-86E2-AD7B5196EF79}"/>
    <cellStyle name="Normal 5 3 4 3 3 2 3" xfId="12020" xr:uid="{BB7A62BB-FB49-47F2-8070-4C5C53E10D64}"/>
    <cellStyle name="Normal 5 3 4 3 3 2 4" xfId="20456" xr:uid="{430E597C-3A1D-4840-B493-853EA6632DCF}"/>
    <cellStyle name="Normal 5 3 4 3 3 3" xfId="5651" xr:uid="{00000000-0005-0000-0000-0000451A0000}"/>
    <cellStyle name="Normal 5 3 4 3 3 3 2" xfId="14093" xr:uid="{032804AC-0B1F-4D3F-B2FE-69E3689F4394}"/>
    <cellStyle name="Normal 5 3 4 3 3 3 3" xfId="22528" xr:uid="{6F41CA26-922A-4935-B3F2-45FD2771C8F2}"/>
    <cellStyle name="Normal 5 3 4 3 3 4" xfId="9875" xr:uid="{DE0388FC-28EB-4E48-A793-5F4232B870C4}"/>
    <cellStyle name="Normal 5 3 4 3 3 5" xfId="18311" xr:uid="{3B3046A7-36CB-49AD-9CDF-1DC96301413B}"/>
    <cellStyle name="Normal 5 3 4 3 4" xfId="1756" xr:uid="{00000000-0005-0000-0000-0000461A0000}"/>
    <cellStyle name="Normal 5 3 4 3 4 2" xfId="3986" xr:uid="{00000000-0005-0000-0000-0000471A0000}"/>
    <cellStyle name="Normal 5 3 4 3 4 2 2" xfId="8209" xr:uid="{00000000-0005-0000-0000-0000481A0000}"/>
    <cellStyle name="Normal 5 3 4 3 4 2 2 2" xfId="16651" xr:uid="{DC571A37-19DB-4B8B-841A-9510C12092DC}"/>
    <cellStyle name="Normal 5 3 4 3 4 2 2 3" xfId="25086" xr:uid="{677336F7-81FE-4C17-8273-AE7CDF04B826}"/>
    <cellStyle name="Normal 5 3 4 3 4 2 3" xfId="12433" xr:uid="{2700468D-6086-43BA-B773-F274FC2D9F4E}"/>
    <cellStyle name="Normal 5 3 4 3 4 2 4" xfId="20869" xr:uid="{7FEAA41C-3641-4183-A391-5C04F6F05550}"/>
    <cellStyle name="Normal 5 3 4 3 4 3" xfId="6064" xr:uid="{00000000-0005-0000-0000-0000491A0000}"/>
    <cellStyle name="Normal 5 3 4 3 4 3 2" xfId="14506" xr:uid="{C9E98771-4AD4-4A56-937A-77EC801F5EC5}"/>
    <cellStyle name="Normal 5 3 4 3 4 3 3" xfId="22941" xr:uid="{B09F75B5-DC51-42FB-98FF-F49E90B2A4D1}"/>
    <cellStyle name="Normal 5 3 4 3 4 4" xfId="10288" xr:uid="{5DF7A684-78F7-407D-92DB-67A656419C0F}"/>
    <cellStyle name="Normal 5 3 4 3 4 5" xfId="18724" xr:uid="{CCDEF6D6-7906-4D74-B3D4-88FBFBFD9870}"/>
    <cellStyle name="Normal 5 3 4 3 5" xfId="2170" xr:uid="{00000000-0005-0000-0000-00004A1A0000}"/>
    <cellStyle name="Normal 5 3 4 3 5 2" xfId="4399" xr:uid="{00000000-0005-0000-0000-00004B1A0000}"/>
    <cellStyle name="Normal 5 3 4 3 5 2 2" xfId="8622" xr:uid="{00000000-0005-0000-0000-00004C1A0000}"/>
    <cellStyle name="Normal 5 3 4 3 5 2 2 2" xfId="17064" xr:uid="{C79AB294-373C-4944-8AAC-75E02F3BDE5B}"/>
    <cellStyle name="Normal 5 3 4 3 5 2 2 3" xfId="25499" xr:uid="{329C72ED-95B6-4413-80D1-782F4A5AA72C}"/>
    <cellStyle name="Normal 5 3 4 3 5 2 3" xfId="12846" xr:uid="{73C1B98B-E82F-419C-B0EC-4233321B5486}"/>
    <cellStyle name="Normal 5 3 4 3 5 2 4" xfId="21282" xr:uid="{0DFA3EF9-D357-49CB-919A-6A4BA061164A}"/>
    <cellStyle name="Normal 5 3 4 3 5 3" xfId="6477" xr:uid="{00000000-0005-0000-0000-00004D1A0000}"/>
    <cellStyle name="Normal 5 3 4 3 5 3 2" xfId="14919" xr:uid="{935D0478-B074-4F75-9AE5-845F0FA24B6D}"/>
    <cellStyle name="Normal 5 3 4 3 5 3 3" xfId="23354" xr:uid="{FA08B2C2-8384-417F-A627-B27514643843}"/>
    <cellStyle name="Normal 5 3 4 3 5 4" xfId="10701" xr:uid="{CDB84A00-B3C9-4676-98FA-9F39945C5280}"/>
    <cellStyle name="Normal 5 3 4 3 5 5" xfId="19137" xr:uid="{CB00400A-86B9-4E09-B534-7A675A73ECA2}"/>
    <cellStyle name="Normal 5 3 4 3 6" xfId="2606" xr:uid="{00000000-0005-0000-0000-00004E1A0000}"/>
    <cellStyle name="Normal 5 3 4 3 6 2" xfId="6890" xr:uid="{00000000-0005-0000-0000-00004F1A0000}"/>
    <cellStyle name="Normal 5 3 4 3 6 2 2" xfId="15332" xr:uid="{56DE4213-2DEC-4425-80B7-08E3BF3BBF2E}"/>
    <cellStyle name="Normal 5 3 4 3 6 2 3" xfId="23767" xr:uid="{59318F8F-19D5-4E74-92E1-0AFD39A0FE88}"/>
    <cellStyle name="Normal 5 3 4 3 6 3" xfId="11114" xr:uid="{0EF34B24-49B5-45FE-883C-7D97A219C1B9}"/>
    <cellStyle name="Normal 5 3 4 3 6 4" xfId="19550" xr:uid="{6CE6FD90-EFFD-4761-9783-51608431D5B6}"/>
    <cellStyle name="Normal 5 3 4 3 7" xfId="4825" xr:uid="{00000000-0005-0000-0000-0000501A0000}"/>
    <cellStyle name="Normal 5 3 4 3 7 2" xfId="13267" xr:uid="{0E6C0CEE-4318-4F44-B16E-0AD0B8B410D7}"/>
    <cellStyle name="Normal 5 3 4 3 7 3" xfId="21702" xr:uid="{8527A3AA-CDB7-43E0-82B0-29B3D51BC4BA}"/>
    <cellStyle name="Normal 5 3 4 3 8" xfId="9049" xr:uid="{3827D19A-8182-4519-8F2D-BF7325F27E0C}"/>
    <cellStyle name="Normal 5 3 4 3 9" xfId="17485" xr:uid="{5CB71BE5-1B0E-459B-B5D3-FD0CFC5FD6DE}"/>
    <cellStyle name="Normal 5 3 4 4" xfId="923" xr:uid="{00000000-0005-0000-0000-0000511A0000}"/>
    <cellStyle name="Normal 5 3 4 4 2" xfId="3157" xr:uid="{00000000-0005-0000-0000-0000521A0000}"/>
    <cellStyle name="Normal 5 3 4 4 2 2" xfId="7380" xr:uid="{00000000-0005-0000-0000-0000531A0000}"/>
    <cellStyle name="Normal 5 3 4 4 2 2 2" xfId="15822" xr:uid="{816C8CB4-FBD9-4A5D-9B2B-877572C1AE28}"/>
    <cellStyle name="Normal 5 3 4 4 2 2 3" xfId="24257" xr:uid="{04934943-82B4-42F2-93CB-BCC462392748}"/>
    <cellStyle name="Normal 5 3 4 4 2 3" xfId="11604" xr:uid="{164D995B-B6CE-4C7F-87CC-CD9CF24B337B}"/>
    <cellStyle name="Normal 5 3 4 4 2 4" xfId="20040" xr:uid="{68A21B20-79B2-4E12-AA55-D69629B7A625}"/>
    <cellStyle name="Normal 5 3 4 4 3" xfId="5235" xr:uid="{00000000-0005-0000-0000-0000541A0000}"/>
    <cellStyle name="Normal 5 3 4 4 3 2" xfId="13677" xr:uid="{26752F98-BE53-412D-A225-2A64048FBCFB}"/>
    <cellStyle name="Normal 5 3 4 4 3 3" xfId="22112" xr:uid="{116ED36B-16FF-4DC8-A808-8EAB6F6B8933}"/>
    <cellStyle name="Normal 5 3 4 4 4" xfId="9459" xr:uid="{A7E5A419-C354-436F-9BBB-54CEA3F77361}"/>
    <cellStyle name="Normal 5 3 4 4 5" xfId="17895" xr:uid="{647AEA55-3F6F-4109-9C43-329F43C8C895}"/>
    <cellStyle name="Normal 5 3 4 5" xfId="1340" xr:uid="{00000000-0005-0000-0000-0000551A0000}"/>
    <cellStyle name="Normal 5 3 4 5 2" xfId="3570" xr:uid="{00000000-0005-0000-0000-0000561A0000}"/>
    <cellStyle name="Normal 5 3 4 5 2 2" xfId="7793" xr:uid="{00000000-0005-0000-0000-0000571A0000}"/>
    <cellStyle name="Normal 5 3 4 5 2 2 2" xfId="16235" xr:uid="{5A237751-CDBB-481A-AEC7-9CF777D1E916}"/>
    <cellStyle name="Normal 5 3 4 5 2 2 3" xfId="24670" xr:uid="{8F5E1138-75B2-4621-A1AA-3AB33F0147F5}"/>
    <cellStyle name="Normal 5 3 4 5 2 3" xfId="12017" xr:uid="{34CF2E88-84C0-4FC2-9339-7ACFE22C1E96}"/>
    <cellStyle name="Normal 5 3 4 5 2 4" xfId="20453" xr:uid="{AC3671CD-7764-4D14-8CA8-5297CF7B69AD}"/>
    <cellStyle name="Normal 5 3 4 5 3" xfId="5648" xr:uid="{00000000-0005-0000-0000-0000581A0000}"/>
    <cellStyle name="Normal 5 3 4 5 3 2" xfId="14090" xr:uid="{864226A7-4E5F-4FBA-9A2B-6A3DFAD93963}"/>
    <cellStyle name="Normal 5 3 4 5 3 3" xfId="22525" xr:uid="{A95F94EE-F034-4613-A64F-E2496D7B5AE2}"/>
    <cellStyle name="Normal 5 3 4 5 4" xfId="9872" xr:uid="{2749F0CC-03C6-4B01-9FB3-B95DEEF2EC0E}"/>
    <cellStyle name="Normal 5 3 4 5 5" xfId="18308" xr:uid="{EE65D13A-7640-431B-B9EF-6A35FA6A57FD}"/>
    <cellStyle name="Normal 5 3 4 6" xfId="1753" xr:uid="{00000000-0005-0000-0000-0000591A0000}"/>
    <cellStyle name="Normal 5 3 4 6 2" xfId="3983" xr:uid="{00000000-0005-0000-0000-00005A1A0000}"/>
    <cellStyle name="Normal 5 3 4 6 2 2" xfId="8206" xr:uid="{00000000-0005-0000-0000-00005B1A0000}"/>
    <cellStyle name="Normal 5 3 4 6 2 2 2" xfId="16648" xr:uid="{CE1B7E72-1319-4552-8D6C-6575DD961224}"/>
    <cellStyle name="Normal 5 3 4 6 2 2 3" xfId="25083" xr:uid="{C6553724-4DCD-4995-A843-1154DF2343CD}"/>
    <cellStyle name="Normal 5 3 4 6 2 3" xfId="12430" xr:uid="{CD19E34E-9FF1-4719-8241-85137650B9FE}"/>
    <cellStyle name="Normal 5 3 4 6 2 4" xfId="20866" xr:uid="{E18E5D87-6844-4CC6-B6C0-94B46D7624F3}"/>
    <cellStyle name="Normal 5 3 4 6 3" xfId="6061" xr:uid="{00000000-0005-0000-0000-00005C1A0000}"/>
    <cellStyle name="Normal 5 3 4 6 3 2" xfId="14503" xr:uid="{66944053-BD48-4B24-B5CC-8B13200EF2E8}"/>
    <cellStyle name="Normal 5 3 4 6 3 3" xfId="22938" xr:uid="{38951633-CD39-45C3-9AFE-2E09FB5394DF}"/>
    <cellStyle name="Normal 5 3 4 6 4" xfId="10285" xr:uid="{681DF365-7BBE-473A-A43F-525AED66A3A1}"/>
    <cellStyle name="Normal 5 3 4 6 5" xfId="18721" xr:uid="{8A962394-F000-4EA8-BFBB-02F4B6F410B8}"/>
    <cellStyle name="Normal 5 3 4 7" xfId="2167" xr:uid="{00000000-0005-0000-0000-00005D1A0000}"/>
    <cellStyle name="Normal 5 3 4 7 2" xfId="4396" xr:uid="{00000000-0005-0000-0000-00005E1A0000}"/>
    <cellStyle name="Normal 5 3 4 7 2 2" xfId="8619" xr:uid="{00000000-0005-0000-0000-00005F1A0000}"/>
    <cellStyle name="Normal 5 3 4 7 2 2 2" xfId="17061" xr:uid="{CD979B36-6C86-4144-932E-9BE457A090A9}"/>
    <cellStyle name="Normal 5 3 4 7 2 2 3" xfId="25496" xr:uid="{6C998FBB-A541-44E6-BF08-0ECCE069B2FE}"/>
    <cellStyle name="Normal 5 3 4 7 2 3" xfId="12843" xr:uid="{5A8048E6-534A-4116-AA20-39E83922E86D}"/>
    <cellStyle name="Normal 5 3 4 7 2 4" xfId="21279" xr:uid="{A5708C5D-E814-46B7-AEDD-BE6E2F0DA7E8}"/>
    <cellStyle name="Normal 5 3 4 7 3" xfId="6474" xr:uid="{00000000-0005-0000-0000-0000601A0000}"/>
    <cellStyle name="Normal 5 3 4 7 3 2" xfId="14916" xr:uid="{68315BCD-4B4B-4CD9-9AB4-CA54315CA74F}"/>
    <cellStyle name="Normal 5 3 4 7 3 3" xfId="23351" xr:uid="{90A20B48-3FAF-4D9E-9F43-D8E3262BBB69}"/>
    <cellStyle name="Normal 5 3 4 7 4" xfId="10698" xr:uid="{C04069F0-051E-44DB-B3CF-D3BFE9C54307}"/>
    <cellStyle name="Normal 5 3 4 7 5" xfId="19134" xr:uid="{4B1FC1B4-FD44-483D-8C5D-4D209CD8B38F}"/>
    <cellStyle name="Normal 5 3 4 8" xfId="2603" xr:uid="{00000000-0005-0000-0000-0000611A0000}"/>
    <cellStyle name="Normal 5 3 4 8 2" xfId="6887" xr:uid="{00000000-0005-0000-0000-0000621A0000}"/>
    <cellStyle name="Normal 5 3 4 8 2 2" xfId="15329" xr:uid="{4D475D7A-517B-4CEA-A1BB-FD9D9F626840}"/>
    <cellStyle name="Normal 5 3 4 8 2 3" xfId="23764" xr:uid="{5EBD6A92-F8DD-416A-AC24-80152AA9DAE0}"/>
    <cellStyle name="Normal 5 3 4 8 3" xfId="11111" xr:uid="{570859A6-F013-498D-85E7-D8697AD21F44}"/>
    <cellStyle name="Normal 5 3 4 8 4" xfId="19547" xr:uid="{F6106209-BA7B-4D8E-B4E2-465C13D54B28}"/>
    <cellStyle name="Normal 5 3 4 9" xfId="4822" xr:uid="{00000000-0005-0000-0000-0000631A0000}"/>
    <cellStyle name="Normal 5 3 4 9 2" xfId="13264" xr:uid="{A668B398-A6C3-488A-A447-B3D49B4115F0}"/>
    <cellStyle name="Normal 5 3 4 9 3" xfId="21699" xr:uid="{41EC8B10-3DA8-4983-A219-6DFE31C13E2B}"/>
    <cellStyle name="Normal 5 3 5" xfId="453" xr:uid="{00000000-0005-0000-0000-0000641A0000}"/>
    <cellStyle name="Normal 5 3 5 10" xfId="17486" xr:uid="{AAC90078-9258-4575-85E3-4D4B46B46CC3}"/>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2 2 2" xfId="15827" xr:uid="{D1F84F62-C6FB-4EE3-BC06-A6F602915FEE}"/>
    <cellStyle name="Normal 5 3 5 2 2 2 2 3" xfId="24262" xr:uid="{E45DD726-3E70-4808-94B9-2389FC7EE0B8}"/>
    <cellStyle name="Normal 5 3 5 2 2 2 3" xfId="11609" xr:uid="{ECEC1B95-61E4-4E10-96AE-A4BDDE0BCCFE}"/>
    <cellStyle name="Normal 5 3 5 2 2 2 4" xfId="20045" xr:uid="{DDA90FF6-A577-41F2-9A5E-0D7EE6167681}"/>
    <cellStyle name="Normal 5 3 5 2 2 3" xfId="5240" xr:uid="{00000000-0005-0000-0000-0000691A0000}"/>
    <cellStyle name="Normal 5 3 5 2 2 3 2" xfId="13682" xr:uid="{9A1D31E1-036F-48CE-8AB3-A7BB49379C02}"/>
    <cellStyle name="Normal 5 3 5 2 2 3 3" xfId="22117" xr:uid="{D26F6537-CFA3-40C1-921F-9158DAB3C882}"/>
    <cellStyle name="Normal 5 3 5 2 2 4" xfId="9464" xr:uid="{16D7653C-69CD-4699-9BC9-87C80CD6B69D}"/>
    <cellStyle name="Normal 5 3 5 2 2 5" xfId="17900" xr:uid="{57A862AB-D816-4F62-822A-D932E1B799B9}"/>
    <cellStyle name="Normal 5 3 5 2 3" xfId="1345" xr:uid="{00000000-0005-0000-0000-00006A1A0000}"/>
    <cellStyle name="Normal 5 3 5 2 3 2" xfId="3575" xr:uid="{00000000-0005-0000-0000-00006B1A0000}"/>
    <cellStyle name="Normal 5 3 5 2 3 2 2" xfId="7798" xr:uid="{00000000-0005-0000-0000-00006C1A0000}"/>
    <cellStyle name="Normal 5 3 5 2 3 2 2 2" xfId="16240" xr:uid="{8914A9FD-64EB-4621-8F75-2C3F4944B70A}"/>
    <cellStyle name="Normal 5 3 5 2 3 2 2 3" xfId="24675" xr:uid="{95D26A10-CAB5-49C0-821F-A182F2076D79}"/>
    <cellStyle name="Normal 5 3 5 2 3 2 3" xfId="12022" xr:uid="{735593F8-FD54-4CDA-AE28-331CB5B1D8F2}"/>
    <cellStyle name="Normal 5 3 5 2 3 2 4" xfId="20458" xr:uid="{70B58CE7-A90C-4363-A8A7-D6DC8A9D418A}"/>
    <cellStyle name="Normal 5 3 5 2 3 3" xfId="5653" xr:uid="{00000000-0005-0000-0000-00006D1A0000}"/>
    <cellStyle name="Normal 5 3 5 2 3 3 2" xfId="14095" xr:uid="{46313C32-FA0C-4611-8680-3BA6933F6AF1}"/>
    <cellStyle name="Normal 5 3 5 2 3 3 3" xfId="22530" xr:uid="{1A8CA74D-FCEB-4AB5-9522-BFA13F5FD1A0}"/>
    <cellStyle name="Normal 5 3 5 2 3 4" xfId="9877" xr:uid="{C9E6E4F1-A413-44AF-BCBB-D1457230EE88}"/>
    <cellStyle name="Normal 5 3 5 2 3 5" xfId="18313" xr:uid="{394C1EB5-D89B-4699-BF9E-06B4386A6283}"/>
    <cellStyle name="Normal 5 3 5 2 4" xfId="1758" xr:uid="{00000000-0005-0000-0000-00006E1A0000}"/>
    <cellStyle name="Normal 5 3 5 2 4 2" xfId="3988" xr:uid="{00000000-0005-0000-0000-00006F1A0000}"/>
    <cellStyle name="Normal 5 3 5 2 4 2 2" xfId="8211" xr:uid="{00000000-0005-0000-0000-0000701A0000}"/>
    <cellStyle name="Normal 5 3 5 2 4 2 2 2" xfId="16653" xr:uid="{1958BF4C-B2E1-49AA-8E3E-E862DBFEF073}"/>
    <cellStyle name="Normal 5 3 5 2 4 2 2 3" xfId="25088" xr:uid="{C6027694-A17B-48D8-AE2E-93F8CD7BD693}"/>
    <cellStyle name="Normal 5 3 5 2 4 2 3" xfId="12435" xr:uid="{08080130-C8DA-4F89-B80E-893A48A452FB}"/>
    <cellStyle name="Normal 5 3 5 2 4 2 4" xfId="20871" xr:uid="{CF532774-62DE-45B8-A40E-A3E8976E37A4}"/>
    <cellStyle name="Normal 5 3 5 2 4 3" xfId="6066" xr:uid="{00000000-0005-0000-0000-0000711A0000}"/>
    <cellStyle name="Normal 5 3 5 2 4 3 2" xfId="14508" xr:uid="{DFF31050-58A6-4317-8DBE-F977A9A30C76}"/>
    <cellStyle name="Normal 5 3 5 2 4 3 3" xfId="22943" xr:uid="{C1949743-7616-4C8D-891D-56CE7095695D}"/>
    <cellStyle name="Normal 5 3 5 2 4 4" xfId="10290" xr:uid="{3667F3C3-6F0C-4D47-A060-935073630F1F}"/>
    <cellStyle name="Normal 5 3 5 2 4 5" xfId="18726" xr:uid="{1A742274-6019-4D89-AC60-A43A608F0B14}"/>
    <cellStyle name="Normal 5 3 5 2 5" xfId="2172" xr:uid="{00000000-0005-0000-0000-0000721A0000}"/>
    <cellStyle name="Normal 5 3 5 2 5 2" xfId="4401" xr:uid="{00000000-0005-0000-0000-0000731A0000}"/>
    <cellStyle name="Normal 5 3 5 2 5 2 2" xfId="8624" xr:uid="{00000000-0005-0000-0000-0000741A0000}"/>
    <cellStyle name="Normal 5 3 5 2 5 2 2 2" xfId="17066" xr:uid="{27664105-5D25-44E9-9FE1-01DDEECFB51D}"/>
    <cellStyle name="Normal 5 3 5 2 5 2 2 3" xfId="25501" xr:uid="{B052ED93-AE27-4B3A-AAEF-E66388E19F4B}"/>
    <cellStyle name="Normal 5 3 5 2 5 2 3" xfId="12848" xr:uid="{920702B7-2651-4F38-A449-D7FAB2A9BEBA}"/>
    <cellStyle name="Normal 5 3 5 2 5 2 4" xfId="21284" xr:uid="{B190F464-4441-4DB6-AADB-75B8E84011F7}"/>
    <cellStyle name="Normal 5 3 5 2 5 3" xfId="6479" xr:uid="{00000000-0005-0000-0000-0000751A0000}"/>
    <cellStyle name="Normal 5 3 5 2 5 3 2" xfId="14921" xr:uid="{4DB1BC2A-5F2D-4D4F-8372-D7CBE0F65DE8}"/>
    <cellStyle name="Normal 5 3 5 2 5 3 3" xfId="23356" xr:uid="{714C674C-7B6C-443C-A9AA-EF167E7478D1}"/>
    <cellStyle name="Normal 5 3 5 2 5 4" xfId="10703" xr:uid="{DF537CB1-E876-437B-A1B0-8F6A2C37C0F9}"/>
    <cellStyle name="Normal 5 3 5 2 5 5" xfId="19139" xr:uid="{0F5C8D94-189D-4B23-8583-72E936E8A98D}"/>
    <cellStyle name="Normal 5 3 5 2 6" xfId="2608" xr:uid="{00000000-0005-0000-0000-0000761A0000}"/>
    <cellStyle name="Normal 5 3 5 2 6 2" xfId="6892" xr:uid="{00000000-0005-0000-0000-0000771A0000}"/>
    <cellStyle name="Normal 5 3 5 2 6 2 2" xfId="15334" xr:uid="{9BDF8A5B-EEBF-4482-A88D-CF06C67BB42D}"/>
    <cellStyle name="Normal 5 3 5 2 6 2 3" xfId="23769" xr:uid="{B2896F9B-CF71-4A2A-8ED0-028BEF2480EF}"/>
    <cellStyle name="Normal 5 3 5 2 6 3" xfId="11116" xr:uid="{E1592A07-5274-4874-966D-DDB5D6633222}"/>
    <cellStyle name="Normal 5 3 5 2 6 4" xfId="19552" xr:uid="{CE82623D-21AC-4D7B-8CAC-EA35FF330756}"/>
    <cellStyle name="Normal 5 3 5 2 7" xfId="4827" xr:uid="{00000000-0005-0000-0000-0000781A0000}"/>
    <cellStyle name="Normal 5 3 5 2 7 2" xfId="13269" xr:uid="{94BAFDFC-8A49-4748-9106-D91FED3FEEB6}"/>
    <cellStyle name="Normal 5 3 5 2 7 3" xfId="21704" xr:uid="{58FCA8FB-E6DC-42E0-AF47-71EE29C5B641}"/>
    <cellStyle name="Normal 5 3 5 2 8" xfId="9051" xr:uid="{C2A4A6D0-2BD7-450D-8063-E1CF1888B2E4}"/>
    <cellStyle name="Normal 5 3 5 2 9" xfId="17487" xr:uid="{3CB792DD-50B3-4FF4-946C-1394758D58F8}"/>
    <cellStyle name="Normal 5 3 5 3" xfId="927" xr:uid="{00000000-0005-0000-0000-0000791A0000}"/>
    <cellStyle name="Normal 5 3 5 3 2" xfId="3161" xr:uid="{00000000-0005-0000-0000-00007A1A0000}"/>
    <cellStyle name="Normal 5 3 5 3 2 2" xfId="7384" xr:uid="{00000000-0005-0000-0000-00007B1A0000}"/>
    <cellStyle name="Normal 5 3 5 3 2 2 2" xfId="15826" xr:uid="{B6461D25-2243-4887-83AC-F95A4B1272FD}"/>
    <cellStyle name="Normal 5 3 5 3 2 2 3" xfId="24261" xr:uid="{0D8426BE-D34C-44E0-A2B5-E38262A07E5D}"/>
    <cellStyle name="Normal 5 3 5 3 2 3" xfId="11608" xr:uid="{8BFD7464-623F-439C-BAB5-A06D31644791}"/>
    <cellStyle name="Normal 5 3 5 3 2 4" xfId="20044" xr:uid="{5587B3A3-AAB5-4255-AC4C-9ACC772BA522}"/>
    <cellStyle name="Normal 5 3 5 3 3" xfId="5239" xr:uid="{00000000-0005-0000-0000-00007C1A0000}"/>
    <cellStyle name="Normal 5 3 5 3 3 2" xfId="13681" xr:uid="{091C32A1-308A-4536-A038-240B1D45A115}"/>
    <cellStyle name="Normal 5 3 5 3 3 3" xfId="22116" xr:uid="{BB13CB70-964D-4AF1-A9B2-D1032357636B}"/>
    <cellStyle name="Normal 5 3 5 3 4" xfId="9463" xr:uid="{038CC27E-A279-4198-B8CB-C6B2F4A898A8}"/>
    <cellStyle name="Normal 5 3 5 3 5" xfId="17899" xr:uid="{90EC48CA-B5A7-4588-B6DC-5F941F4A85B8}"/>
    <cellStyle name="Normal 5 3 5 4" xfId="1344" xr:uid="{00000000-0005-0000-0000-00007D1A0000}"/>
    <cellStyle name="Normal 5 3 5 4 2" xfId="3574" xr:uid="{00000000-0005-0000-0000-00007E1A0000}"/>
    <cellStyle name="Normal 5 3 5 4 2 2" xfId="7797" xr:uid="{00000000-0005-0000-0000-00007F1A0000}"/>
    <cellStyle name="Normal 5 3 5 4 2 2 2" xfId="16239" xr:uid="{70DB00A8-88AF-454E-9157-FA4C102DC331}"/>
    <cellStyle name="Normal 5 3 5 4 2 2 3" xfId="24674" xr:uid="{C36812F4-B9AC-4AC2-A19E-DB23415C24FC}"/>
    <cellStyle name="Normal 5 3 5 4 2 3" xfId="12021" xr:uid="{1C622E22-2E5B-4889-84DB-29C0C7403A88}"/>
    <cellStyle name="Normal 5 3 5 4 2 4" xfId="20457" xr:uid="{AE5C8CEA-0FD3-4E2A-9CC9-C68B0692B1E2}"/>
    <cellStyle name="Normal 5 3 5 4 3" xfId="5652" xr:uid="{00000000-0005-0000-0000-0000801A0000}"/>
    <cellStyle name="Normal 5 3 5 4 3 2" xfId="14094" xr:uid="{E587FCDE-466B-4EBE-B760-FC2CEB445582}"/>
    <cellStyle name="Normal 5 3 5 4 3 3" xfId="22529" xr:uid="{54E2A503-E564-4E27-9477-9391D2CD1B5D}"/>
    <cellStyle name="Normal 5 3 5 4 4" xfId="9876" xr:uid="{B8AB9F9B-916F-4031-BC51-019A2005C376}"/>
    <cellStyle name="Normal 5 3 5 4 5" xfId="18312" xr:uid="{8056A510-DDA9-4D54-97A2-DBFA48598655}"/>
    <cellStyle name="Normal 5 3 5 5" xfId="1757" xr:uid="{00000000-0005-0000-0000-0000811A0000}"/>
    <cellStyle name="Normal 5 3 5 5 2" xfId="3987" xr:uid="{00000000-0005-0000-0000-0000821A0000}"/>
    <cellStyle name="Normal 5 3 5 5 2 2" xfId="8210" xr:uid="{00000000-0005-0000-0000-0000831A0000}"/>
    <cellStyle name="Normal 5 3 5 5 2 2 2" xfId="16652" xr:uid="{7542538C-352F-4A31-9314-248ED0683B3B}"/>
    <cellStyle name="Normal 5 3 5 5 2 2 3" xfId="25087" xr:uid="{DB52EAA7-027A-4B06-BE16-FEFDA08050CA}"/>
    <cellStyle name="Normal 5 3 5 5 2 3" xfId="12434" xr:uid="{8B992057-2BC5-47F4-967F-322B3A263B89}"/>
    <cellStyle name="Normal 5 3 5 5 2 4" xfId="20870" xr:uid="{FE72A08A-6EFB-4FF7-9C54-7030E9CCB605}"/>
    <cellStyle name="Normal 5 3 5 5 3" xfId="6065" xr:uid="{00000000-0005-0000-0000-0000841A0000}"/>
    <cellStyle name="Normal 5 3 5 5 3 2" xfId="14507" xr:uid="{061B4D3F-3547-48B9-9981-6FDA63CD0D07}"/>
    <cellStyle name="Normal 5 3 5 5 3 3" xfId="22942" xr:uid="{AF86933D-FDDE-4AE5-93F1-7E49EBBF1DBD}"/>
    <cellStyle name="Normal 5 3 5 5 4" xfId="10289" xr:uid="{0BE725A0-31BF-44AC-917F-129AC54E1517}"/>
    <cellStyle name="Normal 5 3 5 5 5" xfId="18725" xr:uid="{86ADE832-E0F9-4B0F-BCFE-C5305D39D431}"/>
    <cellStyle name="Normal 5 3 5 6" xfId="2171" xr:uid="{00000000-0005-0000-0000-0000851A0000}"/>
    <cellStyle name="Normal 5 3 5 6 2" xfId="4400" xr:uid="{00000000-0005-0000-0000-0000861A0000}"/>
    <cellStyle name="Normal 5 3 5 6 2 2" xfId="8623" xr:uid="{00000000-0005-0000-0000-0000871A0000}"/>
    <cellStyle name="Normal 5 3 5 6 2 2 2" xfId="17065" xr:uid="{ADFCF9C5-190B-4A59-AAF2-0F2968B98B8F}"/>
    <cellStyle name="Normal 5 3 5 6 2 2 3" xfId="25500" xr:uid="{1ADF4A29-E177-4DB3-99DA-4D2A549BA8F3}"/>
    <cellStyle name="Normal 5 3 5 6 2 3" xfId="12847" xr:uid="{4A42E6FE-D9F5-45A9-AE07-D814DC252C76}"/>
    <cellStyle name="Normal 5 3 5 6 2 4" xfId="21283" xr:uid="{976D5B62-58F5-459F-8A11-09EAB5D4D049}"/>
    <cellStyle name="Normal 5 3 5 6 3" xfId="6478" xr:uid="{00000000-0005-0000-0000-0000881A0000}"/>
    <cellStyle name="Normal 5 3 5 6 3 2" xfId="14920" xr:uid="{79E3D163-6CAD-4C3C-BE79-D26C033E2086}"/>
    <cellStyle name="Normal 5 3 5 6 3 3" xfId="23355" xr:uid="{CBFA7401-CE5B-4CFC-BE16-7EA74155C2B5}"/>
    <cellStyle name="Normal 5 3 5 6 4" xfId="10702" xr:uid="{D1944BA8-7D7D-4426-AD48-C2E145F92726}"/>
    <cellStyle name="Normal 5 3 5 6 5" xfId="19138" xr:uid="{498B6562-79B2-44EB-9CB0-9F9B1A9BF0BB}"/>
    <cellStyle name="Normal 5 3 5 7" xfId="2607" xr:uid="{00000000-0005-0000-0000-0000891A0000}"/>
    <cellStyle name="Normal 5 3 5 7 2" xfId="6891" xr:uid="{00000000-0005-0000-0000-00008A1A0000}"/>
    <cellStyle name="Normal 5 3 5 7 2 2" xfId="15333" xr:uid="{FFC6B8B9-DA5D-4AD5-81BF-55F7B0E13B78}"/>
    <cellStyle name="Normal 5 3 5 7 2 3" xfId="23768" xr:uid="{F344AE43-D522-4FCE-9BAC-3D03A25B87C4}"/>
    <cellStyle name="Normal 5 3 5 7 3" xfId="11115" xr:uid="{B38B46D2-91E3-4D4B-86C3-AFC1FD618D2E}"/>
    <cellStyle name="Normal 5 3 5 7 4" xfId="19551" xr:uid="{1523A074-23C3-4017-A244-4244A219567A}"/>
    <cellStyle name="Normal 5 3 5 8" xfId="4826" xr:uid="{00000000-0005-0000-0000-00008B1A0000}"/>
    <cellStyle name="Normal 5 3 5 8 2" xfId="13268" xr:uid="{CA62652C-CC2A-4EED-9912-49DFD5FB69EC}"/>
    <cellStyle name="Normal 5 3 5 8 3" xfId="21703" xr:uid="{478C51D3-FE6E-490B-A2DD-A430537947B7}"/>
    <cellStyle name="Normal 5 3 5 9" xfId="9050" xr:uid="{CC6AA1EF-761E-4E3C-B2D3-CE7E5053D9DE}"/>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2 2 2" xfId="15828" xr:uid="{E951D978-EB68-4A1B-8EF7-03101332B86D}"/>
    <cellStyle name="Normal 5 3 6 2 2 2 3" xfId="24263" xr:uid="{62F63A86-39B4-44B4-8665-1E4F5D1E66F1}"/>
    <cellStyle name="Normal 5 3 6 2 2 3" xfId="11610" xr:uid="{D1F97C3B-CFC5-442D-A7F1-87A9CD88213A}"/>
    <cellStyle name="Normal 5 3 6 2 2 4" xfId="20046" xr:uid="{8807E66A-C36D-4130-B696-1706392078AE}"/>
    <cellStyle name="Normal 5 3 6 2 3" xfId="5241" xr:uid="{00000000-0005-0000-0000-0000901A0000}"/>
    <cellStyle name="Normal 5 3 6 2 3 2" xfId="13683" xr:uid="{F1835FDF-F94A-43C8-AD7B-5A0786C87C9B}"/>
    <cellStyle name="Normal 5 3 6 2 3 3" xfId="22118" xr:uid="{7E58FE93-B033-41C7-98F1-535AE427CEA9}"/>
    <cellStyle name="Normal 5 3 6 2 4" xfId="9465" xr:uid="{1ADDBBE5-FA2A-47B7-84C3-389DCFDBA400}"/>
    <cellStyle name="Normal 5 3 6 2 5" xfId="17901" xr:uid="{CBD807AF-FCFA-4A4A-A21E-543DDDAAC1F9}"/>
    <cellStyle name="Normal 5 3 6 3" xfId="1346" xr:uid="{00000000-0005-0000-0000-0000911A0000}"/>
    <cellStyle name="Normal 5 3 6 3 2" xfId="3576" xr:uid="{00000000-0005-0000-0000-0000921A0000}"/>
    <cellStyle name="Normal 5 3 6 3 2 2" xfId="7799" xr:uid="{00000000-0005-0000-0000-0000931A0000}"/>
    <cellStyle name="Normal 5 3 6 3 2 2 2" xfId="16241" xr:uid="{F8BF6660-5631-41B1-994F-CEE64329840F}"/>
    <cellStyle name="Normal 5 3 6 3 2 2 3" xfId="24676" xr:uid="{0DFC60DD-0891-42DF-8667-563B38D054D6}"/>
    <cellStyle name="Normal 5 3 6 3 2 3" xfId="12023" xr:uid="{356F1EC7-F04E-4727-BEBB-0EB7D61A9562}"/>
    <cellStyle name="Normal 5 3 6 3 2 4" xfId="20459" xr:uid="{E9BDEE27-9636-4C8C-B7B6-42FC12ADE7A1}"/>
    <cellStyle name="Normal 5 3 6 3 3" xfId="5654" xr:uid="{00000000-0005-0000-0000-0000941A0000}"/>
    <cellStyle name="Normal 5 3 6 3 3 2" xfId="14096" xr:uid="{32193696-5CA4-4622-AF75-F81A29C3C6C2}"/>
    <cellStyle name="Normal 5 3 6 3 3 3" xfId="22531" xr:uid="{CD51ABB8-95DF-40AB-B54E-0FC4DF0C9D44}"/>
    <cellStyle name="Normal 5 3 6 3 4" xfId="9878" xr:uid="{DC824EDD-6E44-4BF6-AADE-9822657A8056}"/>
    <cellStyle name="Normal 5 3 6 3 5" xfId="18314" xr:uid="{FCC5466A-3AE3-4D6D-BCF7-3CFCF4A8538A}"/>
    <cellStyle name="Normal 5 3 6 4" xfId="1759" xr:uid="{00000000-0005-0000-0000-0000951A0000}"/>
    <cellStyle name="Normal 5 3 6 4 2" xfId="3989" xr:uid="{00000000-0005-0000-0000-0000961A0000}"/>
    <cellStyle name="Normal 5 3 6 4 2 2" xfId="8212" xr:uid="{00000000-0005-0000-0000-0000971A0000}"/>
    <cellStyle name="Normal 5 3 6 4 2 2 2" xfId="16654" xr:uid="{3CB0A74B-5316-4938-9BD9-4FF080A8D5A7}"/>
    <cellStyle name="Normal 5 3 6 4 2 2 3" xfId="25089" xr:uid="{C0330176-59DE-4D8B-995C-6E1A776C9127}"/>
    <cellStyle name="Normal 5 3 6 4 2 3" xfId="12436" xr:uid="{D65518CF-BAC3-4C1D-AB92-321ECDC69D01}"/>
    <cellStyle name="Normal 5 3 6 4 2 4" xfId="20872" xr:uid="{1349B3AD-EC33-4FF0-B743-6AE15E97514D}"/>
    <cellStyle name="Normal 5 3 6 4 3" xfId="6067" xr:uid="{00000000-0005-0000-0000-0000981A0000}"/>
    <cellStyle name="Normal 5 3 6 4 3 2" xfId="14509" xr:uid="{6B27E885-D5A2-4167-9993-C98EC7043C38}"/>
    <cellStyle name="Normal 5 3 6 4 3 3" xfId="22944" xr:uid="{CDBC0A47-2AC6-43EE-94A8-E31736A9261C}"/>
    <cellStyle name="Normal 5 3 6 4 4" xfId="10291" xr:uid="{C74251B6-3D35-4E37-A8F3-3AAE12A6D2CA}"/>
    <cellStyle name="Normal 5 3 6 4 5" xfId="18727" xr:uid="{AB469491-80DA-4306-8C76-EF16772CE5EC}"/>
    <cellStyle name="Normal 5 3 6 5" xfId="2173" xr:uid="{00000000-0005-0000-0000-0000991A0000}"/>
    <cellStyle name="Normal 5 3 6 5 2" xfId="4402" xr:uid="{00000000-0005-0000-0000-00009A1A0000}"/>
    <cellStyle name="Normal 5 3 6 5 2 2" xfId="8625" xr:uid="{00000000-0005-0000-0000-00009B1A0000}"/>
    <cellStyle name="Normal 5 3 6 5 2 2 2" xfId="17067" xr:uid="{CF939E76-81A4-4F33-BA97-53BA550699F7}"/>
    <cellStyle name="Normal 5 3 6 5 2 2 3" xfId="25502" xr:uid="{4E703CB1-C146-484D-B3C4-1C77F0D37C30}"/>
    <cellStyle name="Normal 5 3 6 5 2 3" xfId="12849" xr:uid="{153D5B4B-44FF-4182-9401-B5E155615F3A}"/>
    <cellStyle name="Normal 5 3 6 5 2 4" xfId="21285" xr:uid="{63D4588E-2835-4191-89E5-3F9D1B8B455A}"/>
    <cellStyle name="Normal 5 3 6 5 3" xfId="6480" xr:uid="{00000000-0005-0000-0000-00009C1A0000}"/>
    <cellStyle name="Normal 5 3 6 5 3 2" xfId="14922" xr:uid="{0B6989C1-E3D6-4302-A9B9-A95CB0BB6832}"/>
    <cellStyle name="Normal 5 3 6 5 3 3" xfId="23357" xr:uid="{ADFA3A04-028B-4DE5-8534-4A03A00EA3A5}"/>
    <cellStyle name="Normal 5 3 6 5 4" xfId="10704" xr:uid="{7E88960F-1229-4F81-BDD4-D0B036BA3D5E}"/>
    <cellStyle name="Normal 5 3 6 5 5" xfId="19140" xr:uid="{FA556A76-EE15-4552-9A5C-AAFF1C34DC24}"/>
    <cellStyle name="Normal 5 3 6 6" xfId="2609" xr:uid="{00000000-0005-0000-0000-00009D1A0000}"/>
    <cellStyle name="Normal 5 3 6 6 2" xfId="6893" xr:uid="{00000000-0005-0000-0000-00009E1A0000}"/>
    <cellStyle name="Normal 5 3 6 6 2 2" xfId="15335" xr:uid="{CC69935F-9CDE-48E2-B3A7-FEA7C94824D1}"/>
    <cellStyle name="Normal 5 3 6 6 2 3" xfId="23770" xr:uid="{A2956F25-81FC-47A0-819C-1953C3A5CABD}"/>
    <cellStyle name="Normal 5 3 6 6 3" xfId="11117" xr:uid="{56D1022A-E9C7-4698-A3A9-6A95C0E5268C}"/>
    <cellStyle name="Normal 5 3 6 6 4" xfId="19553" xr:uid="{E52BA0A7-52E2-431C-948C-4F18FB118CAC}"/>
    <cellStyle name="Normal 5 3 6 7" xfId="4828" xr:uid="{00000000-0005-0000-0000-00009F1A0000}"/>
    <cellStyle name="Normal 5 3 6 7 2" xfId="13270" xr:uid="{43FBA60C-5C25-4B70-AFF6-947BAE6DC4FF}"/>
    <cellStyle name="Normal 5 3 6 7 3" xfId="21705" xr:uid="{586521C1-183A-4D42-BEFA-8F94C9AC87D4}"/>
    <cellStyle name="Normal 5 3 6 8" xfId="9052" xr:uid="{CC315383-4D30-44FE-94E5-3B76F200D800}"/>
    <cellStyle name="Normal 5 3 6 9" xfId="17488" xr:uid="{DC1304E6-FD98-4DFA-AE36-69282DA24CA0}"/>
    <cellStyle name="Normal 5 3 7" xfId="913" xr:uid="{00000000-0005-0000-0000-0000A01A0000}"/>
    <cellStyle name="Normal 5 3 7 2" xfId="3148" xr:uid="{00000000-0005-0000-0000-0000A11A0000}"/>
    <cellStyle name="Normal 5 3 7 2 2" xfId="7371" xr:uid="{00000000-0005-0000-0000-0000A21A0000}"/>
    <cellStyle name="Normal 5 3 7 2 2 2" xfId="15813" xr:uid="{B3E4DEB4-21D7-49DE-92CB-D7D776F40AFA}"/>
    <cellStyle name="Normal 5 3 7 2 2 3" xfId="24248" xr:uid="{A664BED7-1468-419A-B9D6-DFBC3038F5FF}"/>
    <cellStyle name="Normal 5 3 7 2 3" xfId="11595" xr:uid="{BAF2450A-18C0-4E67-ABBA-3D5FDA592E1E}"/>
    <cellStyle name="Normal 5 3 7 2 4" xfId="20031" xr:uid="{05B055DC-05F3-49D3-A605-478BBF62B199}"/>
    <cellStyle name="Normal 5 3 7 3" xfId="5226" xr:uid="{00000000-0005-0000-0000-0000A31A0000}"/>
    <cellStyle name="Normal 5 3 7 3 2" xfId="13668" xr:uid="{FBBE8508-5B88-449D-9AA8-AC68E3A844FC}"/>
    <cellStyle name="Normal 5 3 7 3 3" xfId="22103" xr:uid="{8F63B112-E7BA-435B-9015-035116641450}"/>
    <cellStyle name="Normal 5 3 7 4" xfId="9450" xr:uid="{06DB6842-58EC-422F-9847-D1D69586DA93}"/>
    <cellStyle name="Normal 5 3 7 5" xfId="17886" xr:uid="{39450E00-E429-41B6-999C-1A90DBB13941}"/>
    <cellStyle name="Normal 5 3 8" xfId="1331" xr:uid="{00000000-0005-0000-0000-0000A41A0000}"/>
    <cellStyle name="Normal 5 3 8 2" xfId="3561" xr:uid="{00000000-0005-0000-0000-0000A51A0000}"/>
    <cellStyle name="Normal 5 3 8 2 2" xfId="7784" xr:uid="{00000000-0005-0000-0000-0000A61A0000}"/>
    <cellStyle name="Normal 5 3 8 2 2 2" xfId="16226" xr:uid="{1ACB178F-75FA-4F6C-AB25-95A21464B05B}"/>
    <cellStyle name="Normal 5 3 8 2 2 3" xfId="24661" xr:uid="{B244587A-FA7E-46B3-8E62-962B210144C3}"/>
    <cellStyle name="Normal 5 3 8 2 3" xfId="12008" xr:uid="{FF69684F-B486-4A96-856B-56D5398BA7D2}"/>
    <cellStyle name="Normal 5 3 8 2 4" xfId="20444" xr:uid="{9D9A56D2-4B4F-4BCE-A429-C009DE42C6C6}"/>
    <cellStyle name="Normal 5 3 8 3" xfId="5639" xr:uid="{00000000-0005-0000-0000-0000A71A0000}"/>
    <cellStyle name="Normal 5 3 8 3 2" xfId="14081" xr:uid="{CD82AE78-5D68-47BD-8B47-A40F9F6925BC}"/>
    <cellStyle name="Normal 5 3 8 3 3" xfId="22516" xr:uid="{3F6ED354-2BCE-4111-BEE7-FE2A86F47E3F}"/>
    <cellStyle name="Normal 5 3 8 4" xfId="9863" xr:uid="{BCD6FB46-1F9E-4AD0-8A25-2B442889965E}"/>
    <cellStyle name="Normal 5 3 8 5" xfId="18299" xr:uid="{74712CD6-E947-4AB2-B3F7-59D2807D1F13}"/>
    <cellStyle name="Normal 5 3 9" xfId="1744" xr:uid="{00000000-0005-0000-0000-0000A81A0000}"/>
    <cellStyle name="Normal 5 3 9 2" xfId="3974" xr:uid="{00000000-0005-0000-0000-0000A91A0000}"/>
    <cellStyle name="Normal 5 3 9 2 2" xfId="8197" xr:uid="{00000000-0005-0000-0000-0000AA1A0000}"/>
    <cellStyle name="Normal 5 3 9 2 2 2" xfId="16639" xr:uid="{58C3B3AD-E8F6-42CB-BAE0-81201C18647D}"/>
    <cellStyle name="Normal 5 3 9 2 2 3" xfId="25074" xr:uid="{18271495-5FFD-47F6-A9CD-6160DE424575}"/>
    <cellStyle name="Normal 5 3 9 2 3" xfId="12421" xr:uid="{5FACFC43-4ED5-4164-B74F-F4E4841AF5F5}"/>
    <cellStyle name="Normal 5 3 9 2 4" xfId="20857" xr:uid="{2DE52657-C3E2-44C8-B82A-F9B2D3F8C97B}"/>
    <cellStyle name="Normal 5 3 9 3" xfId="6052" xr:uid="{00000000-0005-0000-0000-0000AB1A0000}"/>
    <cellStyle name="Normal 5 3 9 3 2" xfId="14494" xr:uid="{936DC237-495E-499B-86A0-2D566CD45893}"/>
    <cellStyle name="Normal 5 3 9 3 3" xfId="22929" xr:uid="{58151690-65D9-4676-BCEC-0A5E30F4E173}"/>
    <cellStyle name="Normal 5 3 9 4" xfId="10276" xr:uid="{E3A4C864-697D-48D7-B3A4-6E66D7F2276A}"/>
    <cellStyle name="Normal 5 3 9 5" xfId="18712" xr:uid="{6F48EBB1-5E08-4140-BA62-9E02216A0DE4}"/>
    <cellStyle name="Normal 5 4" xfId="456" xr:uid="{00000000-0005-0000-0000-0000AC1A0000}"/>
    <cellStyle name="Normal 5 4 10" xfId="4829" xr:uid="{00000000-0005-0000-0000-0000AD1A0000}"/>
    <cellStyle name="Normal 5 4 10 2" xfId="13271" xr:uid="{EFDED13F-1531-4A00-BA05-04F23A6D9E7F}"/>
    <cellStyle name="Normal 5 4 10 3" xfId="21706" xr:uid="{679C9E97-D2B0-4992-B78F-2E329F745AAF}"/>
    <cellStyle name="Normal 5 4 11" xfId="9053" xr:uid="{85834859-D049-44CE-9310-871B813BFC56}"/>
    <cellStyle name="Normal 5 4 12" xfId="17489" xr:uid="{7CFD2D7A-8F06-4195-9DDE-CFE46F743E21}"/>
    <cellStyle name="Normal 5 4 2" xfId="457" xr:uid="{00000000-0005-0000-0000-0000AE1A0000}"/>
    <cellStyle name="Normal 5 4 2 10" xfId="9054" xr:uid="{4A9C62A0-3612-45AA-A6D8-E86495EA90CF}"/>
    <cellStyle name="Normal 5 4 2 11" xfId="17490" xr:uid="{9E18A432-9628-4971-AAC2-38D3D011A467}"/>
    <cellStyle name="Normal 5 4 2 2" xfId="458" xr:uid="{00000000-0005-0000-0000-0000AF1A0000}"/>
    <cellStyle name="Normal 5 4 2 2 10" xfId="17491" xr:uid="{E3CA1A71-1467-4F9B-A7EA-EE04156623D2}"/>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2 2 2" xfId="15832" xr:uid="{AF14E2F1-DF2C-417B-9554-5E0520F0BECC}"/>
    <cellStyle name="Normal 5 4 2 2 2 2 2 2 3" xfId="24267" xr:uid="{FB127895-495A-4D03-8CC8-EFBE9C5AD1A7}"/>
    <cellStyle name="Normal 5 4 2 2 2 2 2 3" xfId="11614" xr:uid="{0250B184-2A1E-44F9-B54E-F72B7EF6BF68}"/>
    <cellStyle name="Normal 5 4 2 2 2 2 2 4" xfId="20050" xr:uid="{2DAC0005-70C2-47B7-AB3E-BAA0D8328D00}"/>
    <cellStyle name="Normal 5 4 2 2 2 2 3" xfId="5245" xr:uid="{00000000-0005-0000-0000-0000B41A0000}"/>
    <cellStyle name="Normal 5 4 2 2 2 2 3 2" xfId="13687" xr:uid="{0D48955F-59AC-4E91-825A-57EB01B26A55}"/>
    <cellStyle name="Normal 5 4 2 2 2 2 3 3" xfId="22122" xr:uid="{B9A91072-2C7F-448E-9D04-CA6377B14D77}"/>
    <cellStyle name="Normal 5 4 2 2 2 2 4" xfId="9469" xr:uid="{AD3AA788-D42E-4CAC-B65B-2E97F1D1C1E1}"/>
    <cellStyle name="Normal 5 4 2 2 2 2 5" xfId="17905" xr:uid="{5FBF48BA-78AD-4623-AF36-A751B2750E2F}"/>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2 2 2" xfId="16245" xr:uid="{AA4EE8A5-99EC-49AE-A689-31E8322619DF}"/>
    <cellStyle name="Normal 5 4 2 2 2 3 2 2 3" xfId="24680" xr:uid="{C1AB067E-FF92-4E4F-9E74-61B9823CB61E}"/>
    <cellStyle name="Normal 5 4 2 2 2 3 2 3" xfId="12027" xr:uid="{BFF2CE2E-BBEE-49CB-AF2E-94FE5268D38C}"/>
    <cellStyle name="Normal 5 4 2 2 2 3 2 4" xfId="20463" xr:uid="{119C3F10-D597-473D-9463-E3242FA46BB1}"/>
    <cellStyle name="Normal 5 4 2 2 2 3 3" xfId="5658" xr:uid="{00000000-0005-0000-0000-0000B81A0000}"/>
    <cellStyle name="Normal 5 4 2 2 2 3 3 2" xfId="14100" xr:uid="{C1CD4BC9-02B9-4920-9313-CEACE52EAA13}"/>
    <cellStyle name="Normal 5 4 2 2 2 3 3 3" xfId="22535" xr:uid="{94255B03-22A5-429B-B4D3-F5F567F3780D}"/>
    <cellStyle name="Normal 5 4 2 2 2 3 4" xfId="9882" xr:uid="{9A843896-D788-4C5B-8A47-26D6E2C301DE}"/>
    <cellStyle name="Normal 5 4 2 2 2 3 5" xfId="18318" xr:uid="{2D359263-A0B2-4417-92F5-92D02FC5FC1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2 2 2" xfId="16658" xr:uid="{F8012F7F-B990-4121-B8DE-DA7BB527AF7D}"/>
    <cellStyle name="Normal 5 4 2 2 2 4 2 2 3" xfId="25093" xr:uid="{09382369-DFCF-464E-A24B-812EB07E972E}"/>
    <cellStyle name="Normal 5 4 2 2 2 4 2 3" xfId="12440" xr:uid="{6FC344D5-B45E-422E-9546-3A042B9AD002}"/>
    <cellStyle name="Normal 5 4 2 2 2 4 2 4" xfId="20876" xr:uid="{22642EF0-1264-452B-8C1A-8B7B6C6998B6}"/>
    <cellStyle name="Normal 5 4 2 2 2 4 3" xfId="6071" xr:uid="{00000000-0005-0000-0000-0000BC1A0000}"/>
    <cellStyle name="Normal 5 4 2 2 2 4 3 2" xfId="14513" xr:uid="{B298809B-2E3E-4E32-8093-F7E1856A93C6}"/>
    <cellStyle name="Normal 5 4 2 2 2 4 3 3" xfId="22948" xr:uid="{E3DE00F1-D0A7-493E-9089-9DDC621FBADE}"/>
    <cellStyle name="Normal 5 4 2 2 2 4 4" xfId="10295" xr:uid="{7EB77740-E8F7-4613-965B-6C8CBCE9CA31}"/>
    <cellStyle name="Normal 5 4 2 2 2 4 5" xfId="18731" xr:uid="{B709E8A0-91B6-40B3-9F5D-864D1AF903FF}"/>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2 2 2" xfId="17071" xr:uid="{6BBDABE1-544E-444E-9C5A-8A302C3F97F6}"/>
    <cellStyle name="Normal 5 4 2 2 2 5 2 2 3" xfId="25506" xr:uid="{A7B2380C-DE99-4B1E-9673-23E4673922AE}"/>
    <cellStyle name="Normal 5 4 2 2 2 5 2 3" xfId="12853" xr:uid="{C644C094-F073-4FB2-884F-9CEB2679BAF8}"/>
    <cellStyle name="Normal 5 4 2 2 2 5 2 4" xfId="21289" xr:uid="{95003E97-326A-4274-876D-34966CD53E66}"/>
    <cellStyle name="Normal 5 4 2 2 2 5 3" xfId="6484" xr:uid="{00000000-0005-0000-0000-0000C01A0000}"/>
    <cellStyle name="Normal 5 4 2 2 2 5 3 2" xfId="14926" xr:uid="{73D42EAD-77F8-47A4-9E65-602EA422FFD3}"/>
    <cellStyle name="Normal 5 4 2 2 2 5 3 3" xfId="23361" xr:uid="{7DAA321F-A10D-44A6-906E-87C644C402AC}"/>
    <cellStyle name="Normal 5 4 2 2 2 5 4" xfId="10708" xr:uid="{EACCCCC3-A7B1-4C43-A7D5-77513D3DF0BD}"/>
    <cellStyle name="Normal 5 4 2 2 2 5 5" xfId="19144" xr:uid="{41D6B705-B693-418B-9D49-DFDA0A6EA33B}"/>
    <cellStyle name="Normal 5 4 2 2 2 6" xfId="2613" xr:uid="{00000000-0005-0000-0000-0000C11A0000}"/>
    <cellStyle name="Normal 5 4 2 2 2 6 2" xfId="6897" xr:uid="{00000000-0005-0000-0000-0000C21A0000}"/>
    <cellStyle name="Normal 5 4 2 2 2 6 2 2" xfId="15339" xr:uid="{B136716B-9C2A-46E3-88C3-A0976CC561A2}"/>
    <cellStyle name="Normal 5 4 2 2 2 6 2 3" xfId="23774" xr:uid="{8ED5E1FB-BD4D-45FF-A24F-7C20F13E3B89}"/>
    <cellStyle name="Normal 5 4 2 2 2 6 3" xfId="11121" xr:uid="{3CE6A884-0099-4F14-A205-B63664489CC4}"/>
    <cellStyle name="Normal 5 4 2 2 2 6 4" xfId="19557" xr:uid="{5BB1BE7E-D25B-41C0-A153-60377A03B36D}"/>
    <cellStyle name="Normal 5 4 2 2 2 7" xfId="4832" xr:uid="{00000000-0005-0000-0000-0000C31A0000}"/>
    <cellStyle name="Normal 5 4 2 2 2 7 2" xfId="13274" xr:uid="{50468BF5-A84A-4A1C-A871-AF27AA5DBBDB}"/>
    <cellStyle name="Normal 5 4 2 2 2 7 3" xfId="21709" xr:uid="{89C309BC-1AC7-4685-B709-488EB9A82303}"/>
    <cellStyle name="Normal 5 4 2 2 2 8" xfId="9056" xr:uid="{C37AF796-6E54-4D2D-9E14-3D66664BDA23}"/>
    <cellStyle name="Normal 5 4 2 2 2 9" xfId="17492" xr:uid="{1AC1CCAF-294A-4A92-920E-4F7BFD9A24CB}"/>
    <cellStyle name="Normal 5 4 2 2 3" xfId="932" xr:uid="{00000000-0005-0000-0000-0000C41A0000}"/>
    <cellStyle name="Normal 5 4 2 2 3 2" xfId="3166" xr:uid="{00000000-0005-0000-0000-0000C51A0000}"/>
    <cellStyle name="Normal 5 4 2 2 3 2 2" xfId="7389" xr:uid="{00000000-0005-0000-0000-0000C61A0000}"/>
    <cellStyle name="Normal 5 4 2 2 3 2 2 2" xfId="15831" xr:uid="{110DB8E7-96E5-4C1E-94A1-1F030DE4419C}"/>
    <cellStyle name="Normal 5 4 2 2 3 2 2 3" xfId="24266" xr:uid="{0962FA0D-4DCD-46C3-AECE-A7839F0761AF}"/>
    <cellStyle name="Normal 5 4 2 2 3 2 3" xfId="11613" xr:uid="{A90AF97A-4092-4434-B03A-E58B7F9FC3FC}"/>
    <cellStyle name="Normal 5 4 2 2 3 2 4" xfId="20049" xr:uid="{8D2ABEBE-C3AE-480B-819C-B675E0E3DB5C}"/>
    <cellStyle name="Normal 5 4 2 2 3 3" xfId="5244" xr:uid="{00000000-0005-0000-0000-0000C71A0000}"/>
    <cellStyle name="Normal 5 4 2 2 3 3 2" xfId="13686" xr:uid="{DE108D4D-B3CE-4470-A79D-962391C74B86}"/>
    <cellStyle name="Normal 5 4 2 2 3 3 3" xfId="22121" xr:uid="{3979AFB0-F677-4631-8AB3-84FE46C7DA44}"/>
    <cellStyle name="Normal 5 4 2 2 3 4" xfId="9468" xr:uid="{1A005AF5-A044-4E40-89E1-B4B37D96D0A5}"/>
    <cellStyle name="Normal 5 4 2 2 3 5" xfId="17904" xr:uid="{4E46F1B5-CF7A-4E03-99FA-B10E8A1CC745}"/>
    <cellStyle name="Normal 5 4 2 2 4" xfId="1349" xr:uid="{00000000-0005-0000-0000-0000C81A0000}"/>
    <cellStyle name="Normal 5 4 2 2 4 2" xfId="3579" xr:uid="{00000000-0005-0000-0000-0000C91A0000}"/>
    <cellStyle name="Normal 5 4 2 2 4 2 2" xfId="7802" xr:uid="{00000000-0005-0000-0000-0000CA1A0000}"/>
    <cellStyle name="Normal 5 4 2 2 4 2 2 2" xfId="16244" xr:uid="{A8EAB98A-EED0-4FCE-80EF-07596105FD37}"/>
    <cellStyle name="Normal 5 4 2 2 4 2 2 3" xfId="24679" xr:uid="{FD478702-22BA-4588-9988-1414F0C7F608}"/>
    <cellStyle name="Normal 5 4 2 2 4 2 3" xfId="12026" xr:uid="{D3BA4A4A-9D6A-4D8C-9D7D-DCD373C340A1}"/>
    <cellStyle name="Normal 5 4 2 2 4 2 4" xfId="20462" xr:uid="{D3227752-5FC6-4263-89A8-CEFA6EA2A272}"/>
    <cellStyle name="Normal 5 4 2 2 4 3" xfId="5657" xr:uid="{00000000-0005-0000-0000-0000CB1A0000}"/>
    <cellStyle name="Normal 5 4 2 2 4 3 2" xfId="14099" xr:uid="{AAB2AE1D-AE76-44E2-A5DB-34F64C0B0569}"/>
    <cellStyle name="Normal 5 4 2 2 4 3 3" xfId="22534" xr:uid="{04A13464-E69B-4EB3-8B62-BA6D09458A1E}"/>
    <cellStyle name="Normal 5 4 2 2 4 4" xfId="9881" xr:uid="{483A371B-5B72-447E-AB49-926C4E51C53F}"/>
    <cellStyle name="Normal 5 4 2 2 4 5" xfId="18317" xr:uid="{67C0FE0A-1022-4FE6-A382-D0C535C1A18B}"/>
    <cellStyle name="Normal 5 4 2 2 5" xfId="1762" xr:uid="{00000000-0005-0000-0000-0000CC1A0000}"/>
    <cellStyle name="Normal 5 4 2 2 5 2" xfId="3992" xr:uid="{00000000-0005-0000-0000-0000CD1A0000}"/>
    <cellStyle name="Normal 5 4 2 2 5 2 2" xfId="8215" xr:uid="{00000000-0005-0000-0000-0000CE1A0000}"/>
    <cellStyle name="Normal 5 4 2 2 5 2 2 2" xfId="16657" xr:uid="{E50E9C9F-B8AA-4125-B96D-C352488DF2C5}"/>
    <cellStyle name="Normal 5 4 2 2 5 2 2 3" xfId="25092" xr:uid="{7428F717-EB2E-4EE2-816B-41EF62488C1F}"/>
    <cellStyle name="Normal 5 4 2 2 5 2 3" xfId="12439" xr:uid="{F18CBC65-BC36-4526-BF23-C9A581BFBAEB}"/>
    <cellStyle name="Normal 5 4 2 2 5 2 4" xfId="20875" xr:uid="{C1ACD73C-A63A-4939-A658-7263DBE79C7F}"/>
    <cellStyle name="Normal 5 4 2 2 5 3" xfId="6070" xr:uid="{00000000-0005-0000-0000-0000CF1A0000}"/>
    <cellStyle name="Normal 5 4 2 2 5 3 2" xfId="14512" xr:uid="{F246255B-60A5-4E3B-AD3B-F51D6591A382}"/>
    <cellStyle name="Normal 5 4 2 2 5 3 3" xfId="22947" xr:uid="{EC5BDE61-96A0-4AA4-BCB7-31F110D830AF}"/>
    <cellStyle name="Normal 5 4 2 2 5 4" xfId="10294" xr:uid="{09E6EA8E-680C-479B-B839-C35DABB58B68}"/>
    <cellStyle name="Normal 5 4 2 2 5 5" xfId="18730" xr:uid="{A4504866-90A7-459A-8400-A46D66AB7E0F}"/>
    <cellStyle name="Normal 5 4 2 2 6" xfId="2176" xr:uid="{00000000-0005-0000-0000-0000D01A0000}"/>
    <cellStyle name="Normal 5 4 2 2 6 2" xfId="4405" xr:uid="{00000000-0005-0000-0000-0000D11A0000}"/>
    <cellStyle name="Normal 5 4 2 2 6 2 2" xfId="8628" xr:uid="{00000000-0005-0000-0000-0000D21A0000}"/>
    <cellStyle name="Normal 5 4 2 2 6 2 2 2" xfId="17070" xr:uid="{CD2C4187-578D-4FDB-BD0A-A6CCAE584752}"/>
    <cellStyle name="Normal 5 4 2 2 6 2 2 3" xfId="25505" xr:uid="{3C1C756D-DED9-4D8B-8F74-70603F044F70}"/>
    <cellStyle name="Normal 5 4 2 2 6 2 3" xfId="12852" xr:uid="{8E8C57F9-41B7-4220-BB06-9BD459F87941}"/>
    <cellStyle name="Normal 5 4 2 2 6 2 4" xfId="21288" xr:uid="{AC9DF0F3-3DCF-46DB-9224-01AA9E06FB1D}"/>
    <cellStyle name="Normal 5 4 2 2 6 3" xfId="6483" xr:uid="{00000000-0005-0000-0000-0000D31A0000}"/>
    <cellStyle name="Normal 5 4 2 2 6 3 2" xfId="14925" xr:uid="{1E5E38CF-0003-481A-8E1D-380A8345EA53}"/>
    <cellStyle name="Normal 5 4 2 2 6 3 3" xfId="23360" xr:uid="{437B9602-0A42-43A9-A5B8-2F51AA9A3AC0}"/>
    <cellStyle name="Normal 5 4 2 2 6 4" xfId="10707" xr:uid="{361C2957-9713-423F-B00C-58A6ADF5F8E0}"/>
    <cellStyle name="Normal 5 4 2 2 6 5" xfId="19143" xr:uid="{55893F9F-9B66-4200-9354-815154EC272B}"/>
    <cellStyle name="Normal 5 4 2 2 7" xfId="2612" xr:uid="{00000000-0005-0000-0000-0000D41A0000}"/>
    <cellStyle name="Normal 5 4 2 2 7 2" xfId="6896" xr:uid="{00000000-0005-0000-0000-0000D51A0000}"/>
    <cellStyle name="Normal 5 4 2 2 7 2 2" xfId="15338" xr:uid="{D1C80C10-D2FC-48BD-9F4E-3272E8877A5A}"/>
    <cellStyle name="Normal 5 4 2 2 7 2 3" xfId="23773" xr:uid="{A67DAF00-2BFF-464B-8CFA-213FFE2980DA}"/>
    <cellStyle name="Normal 5 4 2 2 7 3" xfId="11120" xr:uid="{DE0C7D1C-8188-4A99-BAD8-1F37C6DF39B8}"/>
    <cellStyle name="Normal 5 4 2 2 7 4" xfId="19556" xr:uid="{D2473662-02E7-41E3-B1D3-91B3EB15F4C0}"/>
    <cellStyle name="Normal 5 4 2 2 8" xfId="4831" xr:uid="{00000000-0005-0000-0000-0000D61A0000}"/>
    <cellStyle name="Normal 5 4 2 2 8 2" xfId="13273" xr:uid="{564B957A-9E2D-4C94-B64F-95EE9D8F8A38}"/>
    <cellStyle name="Normal 5 4 2 2 8 3" xfId="21708" xr:uid="{6C7E0C2B-9C82-4CC9-B300-B304496AA662}"/>
    <cellStyle name="Normal 5 4 2 2 9" xfId="9055" xr:uid="{A93EA6A1-2FAC-4EBA-BE61-D31783056999}"/>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2 2 2" xfId="15833" xr:uid="{FEEFA777-4B2C-4850-9082-76A0E0CB9613}"/>
    <cellStyle name="Normal 5 4 2 3 2 2 2 3" xfId="24268" xr:uid="{138EE72B-D588-4859-A149-3A78DB4088BF}"/>
    <cellStyle name="Normal 5 4 2 3 2 2 3" xfId="11615" xr:uid="{CB08E306-6EFD-4739-8BAB-3CC75DB29AFC}"/>
    <cellStyle name="Normal 5 4 2 3 2 2 4" xfId="20051" xr:uid="{412B13F9-58D0-4B5B-9168-0A89728CD7B6}"/>
    <cellStyle name="Normal 5 4 2 3 2 3" xfId="5246" xr:uid="{00000000-0005-0000-0000-0000DB1A0000}"/>
    <cellStyle name="Normal 5 4 2 3 2 3 2" xfId="13688" xr:uid="{7D0BC0B6-8D25-4EB2-B98D-C70B06B036D9}"/>
    <cellStyle name="Normal 5 4 2 3 2 3 3" xfId="22123" xr:uid="{1CF375C1-778F-4A26-982F-BD1657AFF573}"/>
    <cellStyle name="Normal 5 4 2 3 2 4" xfId="9470" xr:uid="{25F148FB-2AE3-4C01-85DB-FC7D49D1D539}"/>
    <cellStyle name="Normal 5 4 2 3 2 5" xfId="17906" xr:uid="{BAE08FC3-734B-4F40-AE38-60EB98201E40}"/>
    <cellStyle name="Normal 5 4 2 3 3" xfId="1351" xr:uid="{00000000-0005-0000-0000-0000DC1A0000}"/>
    <cellStyle name="Normal 5 4 2 3 3 2" xfId="3581" xr:uid="{00000000-0005-0000-0000-0000DD1A0000}"/>
    <cellStyle name="Normal 5 4 2 3 3 2 2" xfId="7804" xr:uid="{00000000-0005-0000-0000-0000DE1A0000}"/>
    <cellStyle name="Normal 5 4 2 3 3 2 2 2" xfId="16246" xr:uid="{47725DEF-C720-417E-B97C-5B1E1C17A5BD}"/>
    <cellStyle name="Normal 5 4 2 3 3 2 2 3" xfId="24681" xr:uid="{7A6596A3-0521-4E8C-AB56-D0C7DA319659}"/>
    <cellStyle name="Normal 5 4 2 3 3 2 3" xfId="12028" xr:uid="{48B39F9E-6314-44AF-B4D8-D22ED9FEA870}"/>
    <cellStyle name="Normal 5 4 2 3 3 2 4" xfId="20464" xr:uid="{2CF74F78-2C00-4708-AA1C-99CDDB44B2B1}"/>
    <cellStyle name="Normal 5 4 2 3 3 3" xfId="5659" xr:uid="{00000000-0005-0000-0000-0000DF1A0000}"/>
    <cellStyle name="Normal 5 4 2 3 3 3 2" xfId="14101" xr:uid="{513B36F2-D727-470F-8501-20621B76F90A}"/>
    <cellStyle name="Normal 5 4 2 3 3 3 3" xfId="22536" xr:uid="{0C2B7B98-FA21-4C80-BFD0-EC382BF1D401}"/>
    <cellStyle name="Normal 5 4 2 3 3 4" xfId="9883" xr:uid="{6DB6C2CD-8371-439A-8E70-42A9576B05BB}"/>
    <cellStyle name="Normal 5 4 2 3 3 5" xfId="18319" xr:uid="{13DC80F9-191D-42E8-B6F7-879CC84CC745}"/>
    <cellStyle name="Normal 5 4 2 3 4" xfId="1764" xr:uid="{00000000-0005-0000-0000-0000E01A0000}"/>
    <cellStyle name="Normal 5 4 2 3 4 2" xfId="3994" xr:uid="{00000000-0005-0000-0000-0000E11A0000}"/>
    <cellStyle name="Normal 5 4 2 3 4 2 2" xfId="8217" xr:uid="{00000000-0005-0000-0000-0000E21A0000}"/>
    <cellStyle name="Normal 5 4 2 3 4 2 2 2" xfId="16659" xr:uid="{BBC54ACC-B74F-45F5-935E-15EAE4B8027E}"/>
    <cellStyle name="Normal 5 4 2 3 4 2 2 3" xfId="25094" xr:uid="{666373C0-BB0A-4C04-8B34-8CEFF19620B2}"/>
    <cellStyle name="Normal 5 4 2 3 4 2 3" xfId="12441" xr:uid="{D80E1029-B23F-41A4-A2E7-D7FB14ABBD92}"/>
    <cellStyle name="Normal 5 4 2 3 4 2 4" xfId="20877" xr:uid="{0DBC7122-1D48-4D65-A90C-E9148D77D3CC}"/>
    <cellStyle name="Normal 5 4 2 3 4 3" xfId="6072" xr:uid="{00000000-0005-0000-0000-0000E31A0000}"/>
    <cellStyle name="Normal 5 4 2 3 4 3 2" xfId="14514" xr:uid="{0CEF2A2C-FDED-4597-8650-D53895C7533F}"/>
    <cellStyle name="Normal 5 4 2 3 4 3 3" xfId="22949" xr:uid="{C818B3D3-C1D7-4630-9D92-98ACC8793903}"/>
    <cellStyle name="Normal 5 4 2 3 4 4" xfId="10296" xr:uid="{0377762F-6E61-4F7D-B8D0-727956339AF5}"/>
    <cellStyle name="Normal 5 4 2 3 4 5" xfId="18732" xr:uid="{5E3415D4-2AC8-49E3-9DBD-2C89F8AE3B37}"/>
    <cellStyle name="Normal 5 4 2 3 5" xfId="2178" xr:uid="{00000000-0005-0000-0000-0000E41A0000}"/>
    <cellStyle name="Normal 5 4 2 3 5 2" xfId="4407" xr:uid="{00000000-0005-0000-0000-0000E51A0000}"/>
    <cellStyle name="Normal 5 4 2 3 5 2 2" xfId="8630" xr:uid="{00000000-0005-0000-0000-0000E61A0000}"/>
    <cellStyle name="Normal 5 4 2 3 5 2 2 2" xfId="17072" xr:uid="{45A3AB74-C5AD-486C-9CC9-CEF2A957BFB3}"/>
    <cellStyle name="Normal 5 4 2 3 5 2 2 3" xfId="25507" xr:uid="{99809A04-8B79-43BB-8BA4-AB4D66A79FD0}"/>
    <cellStyle name="Normal 5 4 2 3 5 2 3" xfId="12854" xr:uid="{05A299E9-DCCE-4EE7-AAD5-80F5E65F0BD3}"/>
    <cellStyle name="Normal 5 4 2 3 5 2 4" xfId="21290" xr:uid="{B0B1E048-BEFF-4425-BAEE-FAF8F86C01FD}"/>
    <cellStyle name="Normal 5 4 2 3 5 3" xfId="6485" xr:uid="{00000000-0005-0000-0000-0000E71A0000}"/>
    <cellStyle name="Normal 5 4 2 3 5 3 2" xfId="14927" xr:uid="{083C522E-A8BA-43D4-AD3D-A3B6DB32CBD7}"/>
    <cellStyle name="Normal 5 4 2 3 5 3 3" xfId="23362" xr:uid="{1BCF2EF0-2414-4F39-81FC-0A9F807D1559}"/>
    <cellStyle name="Normal 5 4 2 3 5 4" xfId="10709" xr:uid="{51CDD171-0A1D-4D5F-BF29-1BEF08F1D156}"/>
    <cellStyle name="Normal 5 4 2 3 5 5" xfId="19145" xr:uid="{92A476AB-2629-41C4-8868-5B9796A1083B}"/>
    <cellStyle name="Normal 5 4 2 3 6" xfId="2614" xr:uid="{00000000-0005-0000-0000-0000E81A0000}"/>
    <cellStyle name="Normal 5 4 2 3 6 2" xfId="6898" xr:uid="{00000000-0005-0000-0000-0000E91A0000}"/>
    <cellStyle name="Normal 5 4 2 3 6 2 2" xfId="15340" xr:uid="{8AE2CAE7-22C3-4041-A329-967547BD189D}"/>
    <cellStyle name="Normal 5 4 2 3 6 2 3" xfId="23775" xr:uid="{FF99FF3E-CF92-4BBD-96B4-237F7DEF4277}"/>
    <cellStyle name="Normal 5 4 2 3 6 3" xfId="11122" xr:uid="{49BD74AC-5EC9-4982-9154-FD86CF379FC7}"/>
    <cellStyle name="Normal 5 4 2 3 6 4" xfId="19558" xr:uid="{8BF9FE9F-C7E7-4438-9A3B-B4D1CC42A033}"/>
    <cellStyle name="Normal 5 4 2 3 7" xfId="4833" xr:uid="{00000000-0005-0000-0000-0000EA1A0000}"/>
    <cellStyle name="Normal 5 4 2 3 7 2" xfId="13275" xr:uid="{65681463-2017-4B16-B807-5DA07118BA32}"/>
    <cellStyle name="Normal 5 4 2 3 7 3" xfId="21710" xr:uid="{000FDCDF-CCC3-43D9-8FB0-ACCA53DD95EC}"/>
    <cellStyle name="Normal 5 4 2 3 8" xfId="9057" xr:uid="{CF58CE28-5AC5-4136-A368-B33F6D21674D}"/>
    <cellStyle name="Normal 5 4 2 3 9" xfId="17493" xr:uid="{1B95B775-8C34-4E4E-90EA-ADC2734E38AC}"/>
    <cellStyle name="Normal 5 4 2 4" xfId="931" xr:uid="{00000000-0005-0000-0000-0000EB1A0000}"/>
    <cellStyle name="Normal 5 4 2 4 2" xfId="3165" xr:uid="{00000000-0005-0000-0000-0000EC1A0000}"/>
    <cellStyle name="Normal 5 4 2 4 2 2" xfId="7388" xr:uid="{00000000-0005-0000-0000-0000ED1A0000}"/>
    <cellStyle name="Normal 5 4 2 4 2 2 2" xfId="15830" xr:uid="{0B91A366-B00D-472E-A584-8AD1507C98AE}"/>
    <cellStyle name="Normal 5 4 2 4 2 2 3" xfId="24265" xr:uid="{CBF34067-5EDF-486D-B21A-6DC2F2570CAB}"/>
    <cellStyle name="Normal 5 4 2 4 2 3" xfId="11612" xr:uid="{FB7D5BAB-578B-40FE-BE08-28D5931E851A}"/>
    <cellStyle name="Normal 5 4 2 4 2 4" xfId="20048" xr:uid="{74A15434-8876-4B6A-B6BF-ACEFB6224D57}"/>
    <cellStyle name="Normal 5 4 2 4 3" xfId="5243" xr:uid="{00000000-0005-0000-0000-0000EE1A0000}"/>
    <cellStyle name="Normal 5 4 2 4 3 2" xfId="13685" xr:uid="{3912520D-491C-437E-AC29-413634EF7827}"/>
    <cellStyle name="Normal 5 4 2 4 3 3" xfId="22120" xr:uid="{7EA83442-F846-4C8C-A8EA-563C15F35AF1}"/>
    <cellStyle name="Normal 5 4 2 4 4" xfId="9467" xr:uid="{3A39EB71-39BB-47FB-AEDE-70CCE1F1C7B5}"/>
    <cellStyle name="Normal 5 4 2 4 5" xfId="17903" xr:uid="{1C9D5B5D-2B7E-49E4-84DE-9D7135EC9095}"/>
    <cellStyle name="Normal 5 4 2 5" xfId="1348" xr:uid="{00000000-0005-0000-0000-0000EF1A0000}"/>
    <cellStyle name="Normal 5 4 2 5 2" xfId="3578" xr:uid="{00000000-0005-0000-0000-0000F01A0000}"/>
    <cellStyle name="Normal 5 4 2 5 2 2" xfId="7801" xr:uid="{00000000-0005-0000-0000-0000F11A0000}"/>
    <cellStyle name="Normal 5 4 2 5 2 2 2" xfId="16243" xr:uid="{33EF9F7A-E86E-4ED3-9D9C-D97B7C4809A3}"/>
    <cellStyle name="Normal 5 4 2 5 2 2 3" xfId="24678" xr:uid="{EBFF95DC-0CC3-4D63-93D6-FFD0DB941AD6}"/>
    <cellStyle name="Normal 5 4 2 5 2 3" xfId="12025" xr:uid="{10587283-76B9-4C73-8C9B-2EC7C94AEF90}"/>
    <cellStyle name="Normal 5 4 2 5 2 4" xfId="20461" xr:uid="{4B9F0B14-0BF9-44D0-B465-93B5CF964522}"/>
    <cellStyle name="Normal 5 4 2 5 3" xfId="5656" xr:uid="{00000000-0005-0000-0000-0000F21A0000}"/>
    <cellStyle name="Normal 5 4 2 5 3 2" xfId="14098" xr:uid="{56289ABB-9882-4858-9F4D-5E2044E5ED49}"/>
    <cellStyle name="Normal 5 4 2 5 3 3" xfId="22533" xr:uid="{0E142218-1847-4D12-BA50-B35F213F615D}"/>
    <cellStyle name="Normal 5 4 2 5 4" xfId="9880" xr:uid="{E21EA1B7-0873-4A6C-8627-48740EFF9566}"/>
    <cellStyle name="Normal 5 4 2 5 5" xfId="18316" xr:uid="{036FEA6C-2492-4396-B5B8-BA4C401734B3}"/>
    <cellStyle name="Normal 5 4 2 6" xfId="1761" xr:uid="{00000000-0005-0000-0000-0000F31A0000}"/>
    <cellStyle name="Normal 5 4 2 6 2" xfId="3991" xr:uid="{00000000-0005-0000-0000-0000F41A0000}"/>
    <cellStyle name="Normal 5 4 2 6 2 2" xfId="8214" xr:uid="{00000000-0005-0000-0000-0000F51A0000}"/>
    <cellStyle name="Normal 5 4 2 6 2 2 2" xfId="16656" xr:uid="{1982CC99-9D68-44F1-920F-7A9303FA22B7}"/>
    <cellStyle name="Normal 5 4 2 6 2 2 3" xfId="25091" xr:uid="{953D2A6B-6873-48CE-9FDB-7113E3C77754}"/>
    <cellStyle name="Normal 5 4 2 6 2 3" xfId="12438" xr:uid="{AC9B417F-50E1-4BD4-81CB-D8D811146AF1}"/>
    <cellStyle name="Normal 5 4 2 6 2 4" xfId="20874" xr:uid="{9F3868D5-6C83-4BA3-A649-C3F3E96543F5}"/>
    <cellStyle name="Normal 5 4 2 6 3" xfId="6069" xr:uid="{00000000-0005-0000-0000-0000F61A0000}"/>
    <cellStyle name="Normal 5 4 2 6 3 2" xfId="14511" xr:uid="{997C9A76-FDE1-4B8D-AD78-63D69ABFA8E7}"/>
    <cellStyle name="Normal 5 4 2 6 3 3" xfId="22946" xr:uid="{C51BB73E-BFA7-40FD-AC73-2D61DAD75541}"/>
    <cellStyle name="Normal 5 4 2 6 4" xfId="10293" xr:uid="{B413918F-AC55-4241-BB6A-8A164CDC3CE8}"/>
    <cellStyle name="Normal 5 4 2 6 5" xfId="18729" xr:uid="{A5ADDE02-FFEE-4D6C-9917-A5849F55D09A}"/>
    <cellStyle name="Normal 5 4 2 7" xfId="2175" xr:uid="{00000000-0005-0000-0000-0000F71A0000}"/>
    <cellStyle name="Normal 5 4 2 7 2" xfId="4404" xr:uid="{00000000-0005-0000-0000-0000F81A0000}"/>
    <cellStyle name="Normal 5 4 2 7 2 2" xfId="8627" xr:uid="{00000000-0005-0000-0000-0000F91A0000}"/>
    <cellStyle name="Normal 5 4 2 7 2 2 2" xfId="17069" xr:uid="{DB26401B-7269-4A61-88F9-B98C728768B5}"/>
    <cellStyle name="Normal 5 4 2 7 2 2 3" xfId="25504" xr:uid="{8E4E90E1-7521-4203-9F81-F80035A36194}"/>
    <cellStyle name="Normal 5 4 2 7 2 3" xfId="12851" xr:uid="{B6E13907-BDBB-423D-8270-AF5B0137898A}"/>
    <cellStyle name="Normal 5 4 2 7 2 4" xfId="21287" xr:uid="{67AA095D-021C-46CA-93D5-CAB86D6FF6AD}"/>
    <cellStyle name="Normal 5 4 2 7 3" xfId="6482" xr:uid="{00000000-0005-0000-0000-0000FA1A0000}"/>
    <cellStyle name="Normal 5 4 2 7 3 2" xfId="14924" xr:uid="{154D0A86-03BC-41AD-8F9A-34107B897682}"/>
    <cellStyle name="Normal 5 4 2 7 3 3" xfId="23359" xr:uid="{B977B9C3-971A-4BE6-84EB-FAFB68ECD893}"/>
    <cellStyle name="Normal 5 4 2 7 4" xfId="10706" xr:uid="{CD1B4AFF-E157-47DF-8AED-D202ADDEE1DE}"/>
    <cellStyle name="Normal 5 4 2 7 5" xfId="19142" xr:uid="{21AE53EE-F2F8-466C-94F7-C9AD1E8B6E8D}"/>
    <cellStyle name="Normal 5 4 2 8" xfId="2611" xr:uid="{00000000-0005-0000-0000-0000FB1A0000}"/>
    <cellStyle name="Normal 5 4 2 8 2" xfId="6895" xr:uid="{00000000-0005-0000-0000-0000FC1A0000}"/>
    <cellStyle name="Normal 5 4 2 8 2 2" xfId="15337" xr:uid="{5AC1029A-44A7-4B60-8481-8FB52FBDF255}"/>
    <cellStyle name="Normal 5 4 2 8 2 3" xfId="23772" xr:uid="{EC895A34-FA9C-4887-8C17-0E12559B2EBC}"/>
    <cellStyle name="Normal 5 4 2 8 3" xfId="11119" xr:uid="{544D559A-35CC-4B1C-BB32-95ADEF14A8DE}"/>
    <cellStyle name="Normal 5 4 2 8 4" xfId="19555" xr:uid="{5634B125-2F88-40F4-AE69-139E7396F310}"/>
    <cellStyle name="Normal 5 4 2 9" xfId="4830" xr:uid="{00000000-0005-0000-0000-0000FD1A0000}"/>
    <cellStyle name="Normal 5 4 2 9 2" xfId="13272" xr:uid="{7B88B783-E5E0-4C39-A932-6683036191A0}"/>
    <cellStyle name="Normal 5 4 2 9 3" xfId="21707" xr:uid="{83062EE3-A587-4B2E-AA8F-E89F08777CD3}"/>
    <cellStyle name="Normal 5 4 3" xfId="461" xr:uid="{00000000-0005-0000-0000-0000FE1A0000}"/>
    <cellStyle name="Normal 5 4 3 10" xfId="17494" xr:uid="{D5331F2B-1015-47EF-B4D9-506B5230B41C}"/>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2 2 2" xfId="15835" xr:uid="{97ED7485-35B3-4868-B9B7-98F303215753}"/>
    <cellStyle name="Normal 5 4 3 2 2 2 2 3" xfId="24270" xr:uid="{E06E56C3-B96E-424A-930E-EE0C0AF29CA4}"/>
    <cellStyle name="Normal 5 4 3 2 2 2 3" xfId="11617" xr:uid="{46B26638-8AF6-4B68-9F00-1DA9566DEFBE}"/>
    <cellStyle name="Normal 5 4 3 2 2 2 4" xfId="20053" xr:uid="{6B0F3719-6622-4EBB-B7D2-907F0804FE60}"/>
    <cellStyle name="Normal 5 4 3 2 2 3" xfId="5248" xr:uid="{00000000-0005-0000-0000-0000031B0000}"/>
    <cellStyle name="Normal 5 4 3 2 2 3 2" xfId="13690" xr:uid="{D82F96A0-2853-43A7-AF7D-0B0C72117D31}"/>
    <cellStyle name="Normal 5 4 3 2 2 3 3" xfId="22125" xr:uid="{39CADA52-1B1E-4EA8-AD77-083448E2C5A2}"/>
    <cellStyle name="Normal 5 4 3 2 2 4" xfId="9472" xr:uid="{860520E7-F7E6-48B8-A6B3-DEC9C4CB6ECE}"/>
    <cellStyle name="Normal 5 4 3 2 2 5" xfId="17908" xr:uid="{669D11EF-B3C7-4178-80C8-152D6F282384}"/>
    <cellStyle name="Normal 5 4 3 2 3" xfId="1353" xr:uid="{00000000-0005-0000-0000-0000041B0000}"/>
    <cellStyle name="Normal 5 4 3 2 3 2" xfId="3583" xr:uid="{00000000-0005-0000-0000-0000051B0000}"/>
    <cellStyle name="Normal 5 4 3 2 3 2 2" xfId="7806" xr:uid="{00000000-0005-0000-0000-0000061B0000}"/>
    <cellStyle name="Normal 5 4 3 2 3 2 2 2" xfId="16248" xr:uid="{62CD13D7-8891-4E2F-A6D5-B9C06612C820}"/>
    <cellStyle name="Normal 5 4 3 2 3 2 2 3" xfId="24683" xr:uid="{47039175-1D92-4F32-B4F8-AB260567B7CC}"/>
    <cellStyle name="Normal 5 4 3 2 3 2 3" xfId="12030" xr:uid="{BFB04312-FA57-4744-985F-663123D65968}"/>
    <cellStyle name="Normal 5 4 3 2 3 2 4" xfId="20466" xr:uid="{FD49CE8F-9A56-4DE9-9695-1621419CB892}"/>
    <cellStyle name="Normal 5 4 3 2 3 3" xfId="5661" xr:uid="{00000000-0005-0000-0000-0000071B0000}"/>
    <cellStyle name="Normal 5 4 3 2 3 3 2" xfId="14103" xr:uid="{F5752776-965D-46B3-A841-67DFBD62E04D}"/>
    <cellStyle name="Normal 5 4 3 2 3 3 3" xfId="22538" xr:uid="{8928DA0A-8BB5-4586-8DE9-82CA316B633C}"/>
    <cellStyle name="Normal 5 4 3 2 3 4" xfId="9885" xr:uid="{B1728CD7-D2DD-45D7-A33E-3270ADD5A281}"/>
    <cellStyle name="Normal 5 4 3 2 3 5" xfId="18321" xr:uid="{F9ABAD28-5EA0-4808-AB0B-029B98227F21}"/>
    <cellStyle name="Normal 5 4 3 2 4" xfId="1766" xr:uid="{00000000-0005-0000-0000-0000081B0000}"/>
    <cellStyle name="Normal 5 4 3 2 4 2" xfId="3996" xr:uid="{00000000-0005-0000-0000-0000091B0000}"/>
    <cellStyle name="Normal 5 4 3 2 4 2 2" xfId="8219" xr:uid="{00000000-0005-0000-0000-00000A1B0000}"/>
    <cellStyle name="Normal 5 4 3 2 4 2 2 2" xfId="16661" xr:uid="{EF78908D-A42C-463E-98E6-D31F7EF433E8}"/>
    <cellStyle name="Normal 5 4 3 2 4 2 2 3" xfId="25096" xr:uid="{74173B19-8640-41F5-B29C-5FAF4C0759A0}"/>
    <cellStyle name="Normal 5 4 3 2 4 2 3" xfId="12443" xr:uid="{5ED522D2-5571-49AA-84D5-39C48D2B375C}"/>
    <cellStyle name="Normal 5 4 3 2 4 2 4" xfId="20879" xr:uid="{6D5073AA-30B9-460B-8A45-B88BE1468F43}"/>
    <cellStyle name="Normal 5 4 3 2 4 3" xfId="6074" xr:uid="{00000000-0005-0000-0000-00000B1B0000}"/>
    <cellStyle name="Normal 5 4 3 2 4 3 2" xfId="14516" xr:uid="{942F7DA9-AFBD-409A-B62E-13ACF3CAE9AF}"/>
    <cellStyle name="Normal 5 4 3 2 4 3 3" xfId="22951" xr:uid="{CFF32A5D-5C3B-47A2-9AFC-FCD96E0D925E}"/>
    <cellStyle name="Normal 5 4 3 2 4 4" xfId="10298" xr:uid="{DD706820-B243-4B43-8378-57AEE4CB3B77}"/>
    <cellStyle name="Normal 5 4 3 2 4 5" xfId="18734" xr:uid="{8AD07795-6E5B-4247-8695-4F13D40EF0EF}"/>
    <cellStyle name="Normal 5 4 3 2 5" xfId="2180" xr:uid="{00000000-0005-0000-0000-00000C1B0000}"/>
    <cellStyle name="Normal 5 4 3 2 5 2" xfId="4409" xr:uid="{00000000-0005-0000-0000-00000D1B0000}"/>
    <cellStyle name="Normal 5 4 3 2 5 2 2" xfId="8632" xr:uid="{00000000-0005-0000-0000-00000E1B0000}"/>
    <cellStyle name="Normal 5 4 3 2 5 2 2 2" xfId="17074" xr:uid="{8E169345-2DAB-49F6-96D8-0FB679602F32}"/>
    <cellStyle name="Normal 5 4 3 2 5 2 2 3" xfId="25509" xr:uid="{E89A9DE7-52C9-4B61-96CD-6473D429EA64}"/>
    <cellStyle name="Normal 5 4 3 2 5 2 3" xfId="12856" xr:uid="{667633CE-1F04-4FFD-81B8-5ED5EEE854CE}"/>
    <cellStyle name="Normal 5 4 3 2 5 2 4" xfId="21292" xr:uid="{D63E9B96-30E9-430B-BF7D-D11E82778DB8}"/>
    <cellStyle name="Normal 5 4 3 2 5 3" xfId="6487" xr:uid="{00000000-0005-0000-0000-00000F1B0000}"/>
    <cellStyle name="Normal 5 4 3 2 5 3 2" xfId="14929" xr:uid="{8EF68C23-9C6E-41B2-9348-AEE63468495A}"/>
    <cellStyle name="Normal 5 4 3 2 5 3 3" xfId="23364" xr:uid="{ED14D2AD-55A1-47C4-8605-9800C1D59F53}"/>
    <cellStyle name="Normal 5 4 3 2 5 4" xfId="10711" xr:uid="{EF2380DF-3166-40EC-8C71-B8E45879AF29}"/>
    <cellStyle name="Normal 5 4 3 2 5 5" xfId="19147" xr:uid="{3FD12022-79BE-4D1E-8EEA-E5396FEFB974}"/>
    <cellStyle name="Normal 5 4 3 2 6" xfId="2616" xr:uid="{00000000-0005-0000-0000-0000101B0000}"/>
    <cellStyle name="Normal 5 4 3 2 6 2" xfId="6900" xr:uid="{00000000-0005-0000-0000-0000111B0000}"/>
    <cellStyle name="Normal 5 4 3 2 6 2 2" xfId="15342" xr:uid="{F4F31B2B-7934-45BE-83A2-4357A1321B34}"/>
    <cellStyle name="Normal 5 4 3 2 6 2 3" xfId="23777" xr:uid="{80168E0D-D8BD-4CD5-811D-640A8034592B}"/>
    <cellStyle name="Normal 5 4 3 2 6 3" xfId="11124" xr:uid="{8DE324A6-FC62-4224-A7CA-57D6708D02A1}"/>
    <cellStyle name="Normal 5 4 3 2 6 4" xfId="19560" xr:uid="{DC1D0AB5-A6DA-4F0F-A9ED-0AA60B0E926F}"/>
    <cellStyle name="Normal 5 4 3 2 7" xfId="4835" xr:uid="{00000000-0005-0000-0000-0000121B0000}"/>
    <cellStyle name="Normal 5 4 3 2 7 2" xfId="13277" xr:uid="{8D0EEF38-9DDF-4010-8E72-DB95B8E4BA41}"/>
    <cellStyle name="Normal 5 4 3 2 7 3" xfId="21712" xr:uid="{AEFDAAAA-6206-4FFD-8E3E-86AD5762B039}"/>
    <cellStyle name="Normal 5 4 3 2 8" xfId="9059" xr:uid="{7959A789-B091-44BC-8CFB-948D470771B7}"/>
    <cellStyle name="Normal 5 4 3 2 9" xfId="17495" xr:uid="{6F56F86D-86E4-4C09-86A5-A24FE405B80F}"/>
    <cellStyle name="Normal 5 4 3 3" xfId="935" xr:uid="{00000000-0005-0000-0000-0000131B0000}"/>
    <cellStyle name="Normal 5 4 3 3 2" xfId="3169" xr:uid="{00000000-0005-0000-0000-0000141B0000}"/>
    <cellStyle name="Normal 5 4 3 3 2 2" xfId="7392" xr:uid="{00000000-0005-0000-0000-0000151B0000}"/>
    <cellStyle name="Normal 5 4 3 3 2 2 2" xfId="15834" xr:uid="{B3782266-955E-458F-B535-8D752B5CC687}"/>
    <cellStyle name="Normal 5 4 3 3 2 2 3" xfId="24269" xr:uid="{E18CDCF0-D65C-410F-ADDA-1BA1F9A89DCA}"/>
    <cellStyle name="Normal 5 4 3 3 2 3" xfId="11616" xr:uid="{6672B922-923D-4DFF-9A3A-556C596D6EB5}"/>
    <cellStyle name="Normal 5 4 3 3 2 4" xfId="20052" xr:uid="{50E17B91-DE4C-4F1C-AD42-5D16577783EF}"/>
    <cellStyle name="Normal 5 4 3 3 3" xfId="5247" xr:uid="{00000000-0005-0000-0000-0000161B0000}"/>
    <cellStyle name="Normal 5 4 3 3 3 2" xfId="13689" xr:uid="{685FDB3D-31FA-44FD-9EA9-F1B8C6DF8FB9}"/>
    <cellStyle name="Normal 5 4 3 3 3 3" xfId="22124" xr:uid="{5D8E1130-AA71-4AB7-8224-9E824E414B23}"/>
    <cellStyle name="Normal 5 4 3 3 4" xfId="9471" xr:uid="{24AF6271-D323-43FB-AB3F-B3FF1C124ACF}"/>
    <cellStyle name="Normal 5 4 3 3 5" xfId="17907" xr:uid="{57E58402-7457-4E8E-AFA6-5EAA84855F65}"/>
    <cellStyle name="Normal 5 4 3 4" xfId="1352" xr:uid="{00000000-0005-0000-0000-0000171B0000}"/>
    <cellStyle name="Normal 5 4 3 4 2" xfId="3582" xr:uid="{00000000-0005-0000-0000-0000181B0000}"/>
    <cellStyle name="Normal 5 4 3 4 2 2" xfId="7805" xr:uid="{00000000-0005-0000-0000-0000191B0000}"/>
    <cellStyle name="Normal 5 4 3 4 2 2 2" xfId="16247" xr:uid="{440B44AD-49A3-4FBB-8A58-03034849930C}"/>
    <cellStyle name="Normal 5 4 3 4 2 2 3" xfId="24682" xr:uid="{8BFE54C2-E0D1-40BC-9E8B-5083F26226A9}"/>
    <cellStyle name="Normal 5 4 3 4 2 3" xfId="12029" xr:uid="{5B023924-690A-46B3-8C5E-2D463B0268C6}"/>
    <cellStyle name="Normal 5 4 3 4 2 4" xfId="20465" xr:uid="{CEB8B305-9215-4AE1-ADE2-A0B9E9AF5EE3}"/>
    <cellStyle name="Normal 5 4 3 4 3" xfId="5660" xr:uid="{00000000-0005-0000-0000-00001A1B0000}"/>
    <cellStyle name="Normal 5 4 3 4 3 2" xfId="14102" xr:uid="{1EAA61E2-0A40-4107-957C-ED06B1ED2707}"/>
    <cellStyle name="Normal 5 4 3 4 3 3" xfId="22537" xr:uid="{9C34945C-09D0-4618-8FC8-5E9184C283E3}"/>
    <cellStyle name="Normal 5 4 3 4 4" xfId="9884" xr:uid="{F3688CC6-1AD2-4B8E-B72E-07028B7EDA49}"/>
    <cellStyle name="Normal 5 4 3 4 5" xfId="18320" xr:uid="{27FE3810-B421-452D-B408-03E994C4542A}"/>
    <cellStyle name="Normal 5 4 3 5" xfId="1765" xr:uid="{00000000-0005-0000-0000-00001B1B0000}"/>
    <cellStyle name="Normal 5 4 3 5 2" xfId="3995" xr:uid="{00000000-0005-0000-0000-00001C1B0000}"/>
    <cellStyle name="Normal 5 4 3 5 2 2" xfId="8218" xr:uid="{00000000-0005-0000-0000-00001D1B0000}"/>
    <cellStyle name="Normal 5 4 3 5 2 2 2" xfId="16660" xr:uid="{B9965B54-75B5-49D1-BC65-EA252738128F}"/>
    <cellStyle name="Normal 5 4 3 5 2 2 3" xfId="25095" xr:uid="{D64A0F1D-A28E-4140-9C1F-A7A4A90D52DD}"/>
    <cellStyle name="Normal 5 4 3 5 2 3" xfId="12442" xr:uid="{65229B4E-DF9C-4CC5-BD84-F49EA8E5087C}"/>
    <cellStyle name="Normal 5 4 3 5 2 4" xfId="20878" xr:uid="{ADB35839-96A6-4EA4-8FB4-BD9F91AFB93C}"/>
    <cellStyle name="Normal 5 4 3 5 3" xfId="6073" xr:uid="{00000000-0005-0000-0000-00001E1B0000}"/>
    <cellStyle name="Normal 5 4 3 5 3 2" xfId="14515" xr:uid="{AD6F088D-D470-423E-B78E-3DE7F86C7524}"/>
    <cellStyle name="Normal 5 4 3 5 3 3" xfId="22950" xr:uid="{AEDD57E1-CDBC-49FF-ACB7-EB5F967AE442}"/>
    <cellStyle name="Normal 5 4 3 5 4" xfId="10297" xr:uid="{30E5C91D-628A-4065-809B-2C2B8729AA2E}"/>
    <cellStyle name="Normal 5 4 3 5 5" xfId="18733" xr:uid="{7B096D75-798C-4ED4-8510-FA32F9E2E419}"/>
    <cellStyle name="Normal 5 4 3 6" xfId="2179" xr:uid="{00000000-0005-0000-0000-00001F1B0000}"/>
    <cellStyle name="Normal 5 4 3 6 2" xfId="4408" xr:uid="{00000000-0005-0000-0000-0000201B0000}"/>
    <cellStyle name="Normal 5 4 3 6 2 2" xfId="8631" xr:uid="{00000000-0005-0000-0000-0000211B0000}"/>
    <cellStyle name="Normal 5 4 3 6 2 2 2" xfId="17073" xr:uid="{C63C9616-8653-4454-872C-9067F767FE39}"/>
    <cellStyle name="Normal 5 4 3 6 2 2 3" xfId="25508" xr:uid="{B7A92E15-2339-4522-8F72-F05606061F0F}"/>
    <cellStyle name="Normal 5 4 3 6 2 3" xfId="12855" xr:uid="{1FA198D8-3777-4979-9F07-7A9E11423625}"/>
    <cellStyle name="Normal 5 4 3 6 2 4" xfId="21291" xr:uid="{550D2B93-D089-485B-BB5E-10DB4661B361}"/>
    <cellStyle name="Normal 5 4 3 6 3" xfId="6486" xr:uid="{00000000-0005-0000-0000-0000221B0000}"/>
    <cellStyle name="Normal 5 4 3 6 3 2" xfId="14928" xr:uid="{B7D7765A-9A5C-4659-9355-70676FC6C1FD}"/>
    <cellStyle name="Normal 5 4 3 6 3 3" xfId="23363" xr:uid="{BE2BCAF5-C1AE-4AA5-82BC-7E5CFB733ADF}"/>
    <cellStyle name="Normal 5 4 3 6 4" xfId="10710" xr:uid="{86588FE7-2EBB-4E16-99C0-1994FC99987C}"/>
    <cellStyle name="Normal 5 4 3 6 5" xfId="19146" xr:uid="{DB25382F-9BAA-42BC-BA89-EA8E3F4F670F}"/>
    <cellStyle name="Normal 5 4 3 7" xfId="2615" xr:uid="{00000000-0005-0000-0000-0000231B0000}"/>
    <cellStyle name="Normal 5 4 3 7 2" xfId="6899" xr:uid="{00000000-0005-0000-0000-0000241B0000}"/>
    <cellStyle name="Normal 5 4 3 7 2 2" xfId="15341" xr:uid="{E85AF51B-3F63-4087-A219-6347BB2B9B96}"/>
    <cellStyle name="Normal 5 4 3 7 2 3" xfId="23776" xr:uid="{186830B0-7CE9-4B9F-B29E-B82106A18CD6}"/>
    <cellStyle name="Normal 5 4 3 7 3" xfId="11123" xr:uid="{BDCE4AFB-F738-4D8A-BF84-8C2445A8C4A5}"/>
    <cellStyle name="Normal 5 4 3 7 4" xfId="19559" xr:uid="{E7590306-B5B9-45ED-AB67-E6104692D737}"/>
    <cellStyle name="Normal 5 4 3 8" xfId="4834" xr:uid="{00000000-0005-0000-0000-0000251B0000}"/>
    <cellStyle name="Normal 5 4 3 8 2" xfId="13276" xr:uid="{DB67FAE8-1AE1-4912-A117-3907E05DE55D}"/>
    <cellStyle name="Normal 5 4 3 8 3" xfId="21711" xr:uid="{923F59E3-456C-4131-8D74-CF6849BD0C7C}"/>
    <cellStyle name="Normal 5 4 3 9" xfId="9058" xr:uid="{29B9A3F6-DA44-4716-8962-59E43352A787}"/>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2 2 2" xfId="15836" xr:uid="{27121AD7-8DC7-4E57-A329-1C32BC9EDBDA}"/>
    <cellStyle name="Normal 5 4 4 2 2 2 3" xfId="24271" xr:uid="{B1C08F8B-5083-461A-A4FF-A6D047177200}"/>
    <cellStyle name="Normal 5 4 4 2 2 3" xfId="11618" xr:uid="{375A06DA-8138-4381-BA97-0FCCF8FFC0F8}"/>
    <cellStyle name="Normal 5 4 4 2 2 4" xfId="20054" xr:uid="{6C42AE97-F20B-4616-A514-736E6DBBD8D1}"/>
    <cellStyle name="Normal 5 4 4 2 3" xfId="5249" xr:uid="{00000000-0005-0000-0000-00002A1B0000}"/>
    <cellStyle name="Normal 5 4 4 2 3 2" xfId="13691" xr:uid="{0502E9D4-1C3F-4017-80A1-A39DE29CAA88}"/>
    <cellStyle name="Normal 5 4 4 2 3 3" xfId="22126" xr:uid="{5A6EDD16-6712-4926-9411-B918B559A16A}"/>
    <cellStyle name="Normal 5 4 4 2 4" xfId="9473" xr:uid="{D2A2CFB4-D19B-4C5D-B1C4-25F0896D5040}"/>
    <cellStyle name="Normal 5 4 4 2 5" xfId="17909" xr:uid="{B38092A2-9577-4D60-ADD4-A9EBFCC2FBE8}"/>
    <cellStyle name="Normal 5 4 4 3" xfId="1354" xr:uid="{00000000-0005-0000-0000-00002B1B0000}"/>
    <cellStyle name="Normal 5 4 4 3 2" xfId="3584" xr:uid="{00000000-0005-0000-0000-00002C1B0000}"/>
    <cellStyle name="Normal 5 4 4 3 2 2" xfId="7807" xr:uid="{00000000-0005-0000-0000-00002D1B0000}"/>
    <cellStyle name="Normal 5 4 4 3 2 2 2" xfId="16249" xr:uid="{C62F6C8E-881C-421C-BD1C-3B42BE3D306C}"/>
    <cellStyle name="Normal 5 4 4 3 2 2 3" xfId="24684" xr:uid="{C4A91624-427C-4AF9-889B-31824ED809FC}"/>
    <cellStyle name="Normal 5 4 4 3 2 3" xfId="12031" xr:uid="{C977F6DF-D299-4ED3-8F4D-8100493A191A}"/>
    <cellStyle name="Normal 5 4 4 3 2 4" xfId="20467" xr:uid="{B02B640D-AAEF-438E-8DEE-2A0CF1F991EA}"/>
    <cellStyle name="Normal 5 4 4 3 3" xfId="5662" xr:uid="{00000000-0005-0000-0000-00002E1B0000}"/>
    <cellStyle name="Normal 5 4 4 3 3 2" xfId="14104" xr:uid="{64700C80-3F54-4F8F-B193-C0997173F136}"/>
    <cellStyle name="Normal 5 4 4 3 3 3" xfId="22539" xr:uid="{06D35C60-AD91-4EC7-91AD-1A79E904E4A5}"/>
    <cellStyle name="Normal 5 4 4 3 4" xfId="9886" xr:uid="{3B7E82C9-5567-443C-BB3F-D02EBE442E6B}"/>
    <cellStyle name="Normal 5 4 4 3 5" xfId="18322" xr:uid="{A4403FCB-5060-41BC-831B-649AE15FE41E}"/>
    <cellStyle name="Normal 5 4 4 4" xfId="1767" xr:uid="{00000000-0005-0000-0000-00002F1B0000}"/>
    <cellStyle name="Normal 5 4 4 4 2" xfId="3997" xr:uid="{00000000-0005-0000-0000-0000301B0000}"/>
    <cellStyle name="Normal 5 4 4 4 2 2" xfId="8220" xr:uid="{00000000-0005-0000-0000-0000311B0000}"/>
    <cellStyle name="Normal 5 4 4 4 2 2 2" xfId="16662" xr:uid="{FAA7DA40-5130-4DF7-9736-CE9A9C37D3E9}"/>
    <cellStyle name="Normal 5 4 4 4 2 2 3" xfId="25097" xr:uid="{533321B5-C2D0-4CCC-A631-095C827AA317}"/>
    <cellStyle name="Normal 5 4 4 4 2 3" xfId="12444" xr:uid="{9A574FB2-30A1-44A7-834E-B6EB23CC9D4F}"/>
    <cellStyle name="Normal 5 4 4 4 2 4" xfId="20880" xr:uid="{E0AE6A23-88C1-4158-B17D-02BE97BE08DE}"/>
    <cellStyle name="Normal 5 4 4 4 3" xfId="6075" xr:uid="{00000000-0005-0000-0000-0000321B0000}"/>
    <cellStyle name="Normal 5 4 4 4 3 2" xfId="14517" xr:uid="{FD0C7D17-544E-4663-8177-977C8268A516}"/>
    <cellStyle name="Normal 5 4 4 4 3 3" xfId="22952" xr:uid="{4C6E7618-8F1D-45F8-9B1A-B141363B9D93}"/>
    <cellStyle name="Normal 5 4 4 4 4" xfId="10299" xr:uid="{65B9E8BA-7FA7-4864-BB73-AABE68E40929}"/>
    <cellStyle name="Normal 5 4 4 4 5" xfId="18735" xr:uid="{54E6D9F5-A7F8-4431-BA96-2A1A6E3E2819}"/>
    <cellStyle name="Normal 5 4 4 5" xfId="2181" xr:uid="{00000000-0005-0000-0000-0000331B0000}"/>
    <cellStyle name="Normal 5 4 4 5 2" xfId="4410" xr:uid="{00000000-0005-0000-0000-0000341B0000}"/>
    <cellStyle name="Normal 5 4 4 5 2 2" xfId="8633" xr:uid="{00000000-0005-0000-0000-0000351B0000}"/>
    <cellStyle name="Normal 5 4 4 5 2 2 2" xfId="17075" xr:uid="{20C50BD5-7A7F-48A7-94AB-747AE8621202}"/>
    <cellStyle name="Normal 5 4 4 5 2 2 3" xfId="25510" xr:uid="{EF5C57A9-1B5F-44FF-86EE-F47A22510DE5}"/>
    <cellStyle name="Normal 5 4 4 5 2 3" xfId="12857" xr:uid="{4B2899BA-AE30-4FE8-83B8-4303B6380C2C}"/>
    <cellStyle name="Normal 5 4 4 5 2 4" xfId="21293" xr:uid="{9C1AF06A-6482-445E-A5CE-C5D0A740BA89}"/>
    <cellStyle name="Normal 5 4 4 5 3" xfId="6488" xr:uid="{00000000-0005-0000-0000-0000361B0000}"/>
    <cellStyle name="Normal 5 4 4 5 3 2" xfId="14930" xr:uid="{CC27FC53-B132-4EDF-A1AF-2AE1A3D10BF5}"/>
    <cellStyle name="Normal 5 4 4 5 3 3" xfId="23365" xr:uid="{74B5F021-FBEC-4B4F-A607-AF67E066B92D}"/>
    <cellStyle name="Normal 5 4 4 5 4" xfId="10712" xr:uid="{CDAAE060-E6BD-478E-9A57-7500473FC8DD}"/>
    <cellStyle name="Normal 5 4 4 5 5" xfId="19148" xr:uid="{290EEE3F-63E2-46FE-B226-6E777A0B9527}"/>
    <cellStyle name="Normal 5 4 4 6" xfId="2617" xr:uid="{00000000-0005-0000-0000-0000371B0000}"/>
    <cellStyle name="Normal 5 4 4 6 2" xfId="6901" xr:uid="{00000000-0005-0000-0000-0000381B0000}"/>
    <cellStyle name="Normal 5 4 4 6 2 2" xfId="15343" xr:uid="{0FF88E81-F647-4A3D-A259-75EE0BD3BB70}"/>
    <cellStyle name="Normal 5 4 4 6 2 3" xfId="23778" xr:uid="{BBB0F552-6B8C-4BAC-9AD5-55478930D133}"/>
    <cellStyle name="Normal 5 4 4 6 3" xfId="11125" xr:uid="{0EEDA4A4-0B17-4703-BE79-00B4BF127B1C}"/>
    <cellStyle name="Normal 5 4 4 6 4" xfId="19561" xr:uid="{752A74A5-3E5F-418C-B3B8-942E4088F382}"/>
    <cellStyle name="Normal 5 4 4 7" xfId="4836" xr:uid="{00000000-0005-0000-0000-0000391B0000}"/>
    <cellStyle name="Normal 5 4 4 7 2" xfId="13278" xr:uid="{A75142D7-CBA9-4556-88F9-8D7F4DC37E6F}"/>
    <cellStyle name="Normal 5 4 4 7 3" xfId="21713" xr:uid="{E20405D0-2B2B-497E-9C28-3BC15C067F46}"/>
    <cellStyle name="Normal 5 4 4 8" xfId="9060" xr:uid="{5E3851A6-2324-4648-B1E3-F4EC4B700DB0}"/>
    <cellStyle name="Normal 5 4 4 9" xfId="17496" xr:uid="{920CDEC0-D225-481D-861F-F1A766462680}"/>
    <cellStyle name="Normal 5 4 5" xfId="930" xr:uid="{00000000-0005-0000-0000-00003A1B0000}"/>
    <cellStyle name="Normal 5 4 5 2" xfId="3164" xr:uid="{00000000-0005-0000-0000-00003B1B0000}"/>
    <cellStyle name="Normal 5 4 5 2 2" xfId="7387" xr:uid="{00000000-0005-0000-0000-00003C1B0000}"/>
    <cellStyle name="Normal 5 4 5 2 2 2" xfId="15829" xr:uid="{58D542BD-87D6-4639-8589-06C9C58366CF}"/>
    <cellStyle name="Normal 5 4 5 2 2 3" xfId="24264" xr:uid="{F76F5598-B58E-4C61-ADA8-20008669C93E}"/>
    <cellStyle name="Normal 5 4 5 2 3" xfId="11611" xr:uid="{C14E110E-A77C-4A3B-BE3D-6EA957D931DF}"/>
    <cellStyle name="Normal 5 4 5 2 4" xfId="20047" xr:uid="{9AB38164-2C26-4653-A24E-B73FBFFAB972}"/>
    <cellStyle name="Normal 5 4 5 3" xfId="5242" xr:uid="{00000000-0005-0000-0000-00003D1B0000}"/>
    <cellStyle name="Normal 5 4 5 3 2" xfId="13684" xr:uid="{A9D5A7E5-43B2-448E-A21C-ACEED4D88EAD}"/>
    <cellStyle name="Normal 5 4 5 3 3" xfId="22119" xr:uid="{0557CF35-4411-4124-A919-E0AE0E9C7B2F}"/>
    <cellStyle name="Normal 5 4 5 4" xfId="9466" xr:uid="{CEF558CC-0FA2-4CFA-B435-68D1B87F7F55}"/>
    <cellStyle name="Normal 5 4 5 5" xfId="17902" xr:uid="{1893E317-A255-4A6C-AD3B-C1C7A91B31E8}"/>
    <cellStyle name="Normal 5 4 6" xfId="1347" xr:uid="{00000000-0005-0000-0000-00003E1B0000}"/>
    <cellStyle name="Normal 5 4 6 2" xfId="3577" xr:uid="{00000000-0005-0000-0000-00003F1B0000}"/>
    <cellStyle name="Normal 5 4 6 2 2" xfId="7800" xr:uid="{00000000-0005-0000-0000-0000401B0000}"/>
    <cellStyle name="Normal 5 4 6 2 2 2" xfId="16242" xr:uid="{64A9826B-293A-4A6F-A051-EFC6A7E62C4E}"/>
    <cellStyle name="Normal 5 4 6 2 2 3" xfId="24677" xr:uid="{09ECFADB-842D-45CA-8561-B4641C67D821}"/>
    <cellStyle name="Normal 5 4 6 2 3" xfId="12024" xr:uid="{D417D191-7FB6-4E04-8D6B-25D85E5BD7B9}"/>
    <cellStyle name="Normal 5 4 6 2 4" xfId="20460" xr:uid="{8A17FDFC-439C-438A-A9BF-24DFE6E71BBC}"/>
    <cellStyle name="Normal 5 4 6 3" xfId="5655" xr:uid="{00000000-0005-0000-0000-0000411B0000}"/>
    <cellStyle name="Normal 5 4 6 3 2" xfId="14097" xr:uid="{716E42E5-46B3-413F-9050-15D5FC9D901F}"/>
    <cellStyle name="Normal 5 4 6 3 3" xfId="22532" xr:uid="{CAC2DF77-D629-4AEF-B5F3-73A7A013B5BB}"/>
    <cellStyle name="Normal 5 4 6 4" xfId="9879" xr:uid="{404D1B89-8D51-4F97-A6EB-40525F9B7F15}"/>
    <cellStyle name="Normal 5 4 6 5" xfId="18315" xr:uid="{E2C7B3B8-430E-487A-BF59-75A40FA11F4F}"/>
    <cellStyle name="Normal 5 4 7" xfId="1760" xr:uid="{00000000-0005-0000-0000-0000421B0000}"/>
    <cellStyle name="Normal 5 4 7 2" xfId="3990" xr:uid="{00000000-0005-0000-0000-0000431B0000}"/>
    <cellStyle name="Normal 5 4 7 2 2" xfId="8213" xr:uid="{00000000-0005-0000-0000-0000441B0000}"/>
    <cellStyle name="Normal 5 4 7 2 2 2" xfId="16655" xr:uid="{DEA23652-0720-4B78-80A7-A2BE269199FD}"/>
    <cellStyle name="Normal 5 4 7 2 2 3" xfId="25090" xr:uid="{5683DF40-C749-435E-AD9C-4E9DDB8B06D9}"/>
    <cellStyle name="Normal 5 4 7 2 3" xfId="12437" xr:uid="{47DB5C3F-0A37-4491-B875-88C1E3385ACF}"/>
    <cellStyle name="Normal 5 4 7 2 4" xfId="20873" xr:uid="{7E20ACAE-114E-4E94-AC3A-34117AFFFDF7}"/>
    <cellStyle name="Normal 5 4 7 3" xfId="6068" xr:uid="{00000000-0005-0000-0000-0000451B0000}"/>
    <cellStyle name="Normal 5 4 7 3 2" xfId="14510" xr:uid="{D5617E64-68F7-45FD-9605-41E31DA58F3E}"/>
    <cellStyle name="Normal 5 4 7 3 3" xfId="22945" xr:uid="{7B69B298-6551-44FC-8ED4-E6C598CEEF9E}"/>
    <cellStyle name="Normal 5 4 7 4" xfId="10292" xr:uid="{5A5E2985-1F29-4AC7-A931-E691652481B7}"/>
    <cellStyle name="Normal 5 4 7 5" xfId="18728" xr:uid="{86FE7BE3-9A3B-4740-BF22-5613539E6947}"/>
    <cellStyle name="Normal 5 4 8" xfId="2174" xr:uid="{00000000-0005-0000-0000-0000461B0000}"/>
    <cellStyle name="Normal 5 4 8 2" xfId="4403" xr:uid="{00000000-0005-0000-0000-0000471B0000}"/>
    <cellStyle name="Normal 5 4 8 2 2" xfId="8626" xr:uid="{00000000-0005-0000-0000-0000481B0000}"/>
    <cellStyle name="Normal 5 4 8 2 2 2" xfId="17068" xr:uid="{96875100-BAB8-4238-888C-897F20B58AFD}"/>
    <cellStyle name="Normal 5 4 8 2 2 3" xfId="25503" xr:uid="{E2691FB8-792F-459F-A8E0-4D7EED054B84}"/>
    <cellStyle name="Normal 5 4 8 2 3" xfId="12850" xr:uid="{E5815884-6D41-435D-BB94-EC2D125A4AB6}"/>
    <cellStyle name="Normal 5 4 8 2 4" xfId="21286" xr:uid="{E35D4BCA-A096-44E7-A078-FDCDE9B2CD49}"/>
    <cellStyle name="Normal 5 4 8 3" xfId="6481" xr:uid="{00000000-0005-0000-0000-0000491B0000}"/>
    <cellStyle name="Normal 5 4 8 3 2" xfId="14923" xr:uid="{F271F39E-455D-4762-ADF0-1CB4B923AA46}"/>
    <cellStyle name="Normal 5 4 8 3 3" xfId="23358" xr:uid="{2B010F94-C029-48BE-A518-2CBE9CDB79C5}"/>
    <cellStyle name="Normal 5 4 8 4" xfId="10705" xr:uid="{A3A4B925-6AC6-42BD-A6D1-21FE5E1110C5}"/>
    <cellStyle name="Normal 5 4 8 5" xfId="19141" xr:uid="{30F2668C-3987-481D-B562-6EAD5AB7A7A6}"/>
    <cellStyle name="Normal 5 4 9" xfId="2610" xr:uid="{00000000-0005-0000-0000-00004A1B0000}"/>
    <cellStyle name="Normal 5 4 9 2" xfId="6894" xr:uid="{00000000-0005-0000-0000-00004B1B0000}"/>
    <cellStyle name="Normal 5 4 9 2 2" xfId="15336" xr:uid="{8A1E9520-3AC8-48AC-A229-1F0125AF1B46}"/>
    <cellStyle name="Normal 5 4 9 2 3" xfId="23771" xr:uid="{33B61A2F-D4EF-4DDA-AAA1-526EECE0C811}"/>
    <cellStyle name="Normal 5 4 9 3" xfId="11118" xr:uid="{9E38A97F-3E0D-4CB9-871E-75E7E32A0EBF}"/>
    <cellStyle name="Normal 5 4 9 4" xfId="19554" xr:uid="{4B9EAE7B-C76C-4EFC-A7C9-18F2596A3D57}"/>
    <cellStyle name="Normal 5 5" xfId="464" xr:uid="{00000000-0005-0000-0000-00004C1B0000}"/>
    <cellStyle name="Normal 5 5 10" xfId="9061" xr:uid="{ABD6D97A-9A92-432C-A1B7-2B7A18693C07}"/>
    <cellStyle name="Normal 5 5 11" xfId="17497" xr:uid="{2773B399-4BA0-4D70-8242-B3C8026C32AE}"/>
    <cellStyle name="Normal 5 5 2" xfId="465" xr:uid="{00000000-0005-0000-0000-00004D1B0000}"/>
    <cellStyle name="Normal 5 5 2 10" xfId="17498" xr:uid="{9FB440B0-1300-4E9A-A7DA-F6FA06C0C68F}"/>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2 2 2" xfId="15839" xr:uid="{86F6356D-004A-4BA1-AEC1-08DEFF110138}"/>
    <cellStyle name="Normal 5 5 2 2 2 2 2 3" xfId="24274" xr:uid="{457E5C5A-D5B1-46A6-9D67-42B1667CF5F0}"/>
    <cellStyle name="Normal 5 5 2 2 2 2 3" xfId="11621" xr:uid="{60452055-5531-4BA6-95AA-07CA35D61929}"/>
    <cellStyle name="Normal 5 5 2 2 2 2 4" xfId="20057" xr:uid="{C55E1AEA-C2F4-441C-809F-D8DE8F2598E8}"/>
    <cellStyle name="Normal 5 5 2 2 2 3" xfId="5252" xr:uid="{00000000-0005-0000-0000-0000521B0000}"/>
    <cellStyle name="Normal 5 5 2 2 2 3 2" xfId="13694" xr:uid="{2DFD2360-7457-4E8C-AC59-7DA936CEFB1F}"/>
    <cellStyle name="Normal 5 5 2 2 2 3 3" xfId="22129" xr:uid="{B3DF7FEF-1DAF-410A-9626-AF4CED8A408D}"/>
    <cellStyle name="Normal 5 5 2 2 2 4" xfId="9476" xr:uid="{DB37A5AE-F7F2-47A3-9F5C-9F776D13713A}"/>
    <cellStyle name="Normal 5 5 2 2 2 5" xfId="17912" xr:uid="{5496DF5C-D0BA-471C-A6A6-96BDCF38A912}"/>
    <cellStyle name="Normal 5 5 2 2 3" xfId="1357" xr:uid="{00000000-0005-0000-0000-0000531B0000}"/>
    <cellStyle name="Normal 5 5 2 2 3 2" xfId="3587" xr:uid="{00000000-0005-0000-0000-0000541B0000}"/>
    <cellStyle name="Normal 5 5 2 2 3 2 2" xfId="7810" xr:uid="{00000000-0005-0000-0000-0000551B0000}"/>
    <cellStyle name="Normal 5 5 2 2 3 2 2 2" xfId="16252" xr:uid="{E8DE1422-7F29-423B-B65D-DA7E684B647A}"/>
    <cellStyle name="Normal 5 5 2 2 3 2 2 3" xfId="24687" xr:uid="{F29C5E7E-B5C5-4DE7-8398-B88E720A6ADE}"/>
    <cellStyle name="Normal 5 5 2 2 3 2 3" xfId="12034" xr:uid="{EE261970-3205-4C8E-A204-E8441D9E3BF8}"/>
    <cellStyle name="Normal 5 5 2 2 3 2 4" xfId="20470" xr:uid="{56603CF8-8F5E-4199-ACC5-51E5EA6691F4}"/>
    <cellStyle name="Normal 5 5 2 2 3 3" xfId="5665" xr:uid="{00000000-0005-0000-0000-0000561B0000}"/>
    <cellStyle name="Normal 5 5 2 2 3 3 2" xfId="14107" xr:uid="{45B026A9-492D-45D8-A54E-DC4D82BAAF0B}"/>
    <cellStyle name="Normal 5 5 2 2 3 3 3" xfId="22542" xr:uid="{42500C71-7FBA-48E3-96D0-AF4D8D5D2A8D}"/>
    <cellStyle name="Normal 5 5 2 2 3 4" xfId="9889" xr:uid="{DA42D45F-64F9-4C31-A870-3BF0013CA89F}"/>
    <cellStyle name="Normal 5 5 2 2 3 5" xfId="18325" xr:uid="{CDE2DD0E-81F6-4EDD-9546-0C3BE1C5967D}"/>
    <cellStyle name="Normal 5 5 2 2 4" xfId="1770" xr:uid="{00000000-0005-0000-0000-0000571B0000}"/>
    <cellStyle name="Normal 5 5 2 2 4 2" xfId="4000" xr:uid="{00000000-0005-0000-0000-0000581B0000}"/>
    <cellStyle name="Normal 5 5 2 2 4 2 2" xfId="8223" xr:uid="{00000000-0005-0000-0000-0000591B0000}"/>
    <cellStyle name="Normal 5 5 2 2 4 2 2 2" xfId="16665" xr:uid="{F17B6E51-E868-4D82-9116-140F478AF9DF}"/>
    <cellStyle name="Normal 5 5 2 2 4 2 2 3" xfId="25100" xr:uid="{97A43BAC-8A97-4091-BC40-83DD2CA1D0A1}"/>
    <cellStyle name="Normal 5 5 2 2 4 2 3" xfId="12447" xr:uid="{D5B8152D-1B2B-4510-BE81-0A059B210EE5}"/>
    <cellStyle name="Normal 5 5 2 2 4 2 4" xfId="20883" xr:uid="{C6F67A3B-346A-445C-8A30-F539D861EA3E}"/>
    <cellStyle name="Normal 5 5 2 2 4 3" xfId="6078" xr:uid="{00000000-0005-0000-0000-00005A1B0000}"/>
    <cellStyle name="Normal 5 5 2 2 4 3 2" xfId="14520" xr:uid="{1DAF467F-3261-4782-9D87-93A314EAF55E}"/>
    <cellStyle name="Normal 5 5 2 2 4 3 3" xfId="22955" xr:uid="{7F9D9BE9-D8A8-4E9E-AE8F-72B77C985058}"/>
    <cellStyle name="Normal 5 5 2 2 4 4" xfId="10302" xr:uid="{3364E66C-6341-4C55-970D-68D1F7480C2A}"/>
    <cellStyle name="Normal 5 5 2 2 4 5" xfId="18738" xr:uid="{111BB931-195A-462D-A9AB-5EFE121E1836}"/>
    <cellStyle name="Normal 5 5 2 2 5" xfId="2184" xr:uid="{00000000-0005-0000-0000-00005B1B0000}"/>
    <cellStyle name="Normal 5 5 2 2 5 2" xfId="4413" xr:uid="{00000000-0005-0000-0000-00005C1B0000}"/>
    <cellStyle name="Normal 5 5 2 2 5 2 2" xfId="8636" xr:uid="{00000000-0005-0000-0000-00005D1B0000}"/>
    <cellStyle name="Normal 5 5 2 2 5 2 2 2" xfId="17078" xr:uid="{FA6F130E-C89F-4227-B6F4-29210641A798}"/>
    <cellStyle name="Normal 5 5 2 2 5 2 2 3" xfId="25513" xr:uid="{1ED61107-27BF-4093-B141-B490F9C31F44}"/>
    <cellStyle name="Normal 5 5 2 2 5 2 3" xfId="12860" xr:uid="{FA62E0E9-E540-4BBA-B1EE-41829517E52D}"/>
    <cellStyle name="Normal 5 5 2 2 5 2 4" xfId="21296" xr:uid="{CE40C7DB-561C-44BB-A50E-26584700C27E}"/>
    <cellStyle name="Normal 5 5 2 2 5 3" xfId="6491" xr:uid="{00000000-0005-0000-0000-00005E1B0000}"/>
    <cellStyle name="Normal 5 5 2 2 5 3 2" xfId="14933" xr:uid="{96B3F1A6-7013-4659-88B0-CAF4BFB5794E}"/>
    <cellStyle name="Normal 5 5 2 2 5 3 3" xfId="23368" xr:uid="{4F9091D5-C3AE-40DE-AD7A-73789BC87D19}"/>
    <cellStyle name="Normal 5 5 2 2 5 4" xfId="10715" xr:uid="{6AE77094-7265-452C-9722-ED49FFF7DB48}"/>
    <cellStyle name="Normal 5 5 2 2 5 5" xfId="19151" xr:uid="{302B22CD-6831-4F50-AB0F-7F7BAE34BAED}"/>
    <cellStyle name="Normal 5 5 2 2 6" xfId="2620" xr:uid="{00000000-0005-0000-0000-00005F1B0000}"/>
    <cellStyle name="Normal 5 5 2 2 6 2" xfId="6904" xr:uid="{00000000-0005-0000-0000-0000601B0000}"/>
    <cellStyle name="Normal 5 5 2 2 6 2 2" xfId="15346" xr:uid="{3BBF81A2-DBC3-45D9-9CA7-55C957842A9C}"/>
    <cellStyle name="Normal 5 5 2 2 6 2 3" xfId="23781" xr:uid="{F90CA3E2-EBA1-4EE8-AFB1-2A3569F95319}"/>
    <cellStyle name="Normal 5 5 2 2 6 3" xfId="11128" xr:uid="{4817B89E-4C3A-461C-B7B3-71B2D872730C}"/>
    <cellStyle name="Normal 5 5 2 2 6 4" xfId="19564" xr:uid="{D381703C-E4AA-4291-B5E2-CB904C0923FC}"/>
    <cellStyle name="Normal 5 5 2 2 7" xfId="4839" xr:uid="{00000000-0005-0000-0000-0000611B0000}"/>
    <cellStyle name="Normal 5 5 2 2 7 2" xfId="13281" xr:uid="{9E3DB1D2-2B44-41B3-892B-B93D2035E3B3}"/>
    <cellStyle name="Normal 5 5 2 2 7 3" xfId="21716" xr:uid="{E236229D-C72F-453F-A4CB-F7C56B14682E}"/>
    <cellStyle name="Normal 5 5 2 2 8" xfId="9063" xr:uid="{73AF9FD3-F93B-44FD-AE7E-621F40419243}"/>
    <cellStyle name="Normal 5 5 2 2 9" xfId="17499" xr:uid="{144A7C3D-D8AA-4E10-864C-7656E74A2CE9}"/>
    <cellStyle name="Normal 5 5 2 3" xfId="939" xr:uid="{00000000-0005-0000-0000-0000621B0000}"/>
    <cellStyle name="Normal 5 5 2 3 2" xfId="3173" xr:uid="{00000000-0005-0000-0000-0000631B0000}"/>
    <cellStyle name="Normal 5 5 2 3 2 2" xfId="7396" xr:uid="{00000000-0005-0000-0000-0000641B0000}"/>
    <cellStyle name="Normal 5 5 2 3 2 2 2" xfId="15838" xr:uid="{AC37D28A-662A-4528-BA26-03B3DBF7C089}"/>
    <cellStyle name="Normal 5 5 2 3 2 2 3" xfId="24273" xr:uid="{6CD750F1-0CF2-4F0C-A30B-9E0EEB6A88E5}"/>
    <cellStyle name="Normal 5 5 2 3 2 3" xfId="11620" xr:uid="{F12152FA-6285-4151-A28F-756DA3A00441}"/>
    <cellStyle name="Normal 5 5 2 3 2 4" xfId="20056" xr:uid="{FF0B002B-CCA6-4B9B-8A54-716F765B37CA}"/>
    <cellStyle name="Normal 5 5 2 3 3" xfId="5251" xr:uid="{00000000-0005-0000-0000-0000651B0000}"/>
    <cellStyle name="Normal 5 5 2 3 3 2" xfId="13693" xr:uid="{20B50119-9E87-465B-9604-A95758ED10E8}"/>
    <cellStyle name="Normal 5 5 2 3 3 3" xfId="22128" xr:uid="{F9D411A6-4DDD-436C-82E5-E8D7509F9DE5}"/>
    <cellStyle name="Normal 5 5 2 3 4" xfId="9475" xr:uid="{D02A1BD9-F025-4A33-BE1B-3EA21FD103CF}"/>
    <cellStyle name="Normal 5 5 2 3 5" xfId="17911" xr:uid="{66AAF68B-EEE0-4A00-B594-8475F269BD03}"/>
    <cellStyle name="Normal 5 5 2 4" xfId="1356" xr:uid="{00000000-0005-0000-0000-0000661B0000}"/>
    <cellStyle name="Normal 5 5 2 4 2" xfId="3586" xr:uid="{00000000-0005-0000-0000-0000671B0000}"/>
    <cellStyle name="Normal 5 5 2 4 2 2" xfId="7809" xr:uid="{00000000-0005-0000-0000-0000681B0000}"/>
    <cellStyle name="Normal 5 5 2 4 2 2 2" xfId="16251" xr:uid="{E9E743AF-8CBE-41B1-8505-5C169C486F0B}"/>
    <cellStyle name="Normal 5 5 2 4 2 2 3" xfId="24686" xr:uid="{77EB30F7-4BD3-4EF2-9E01-C6C45ED01863}"/>
    <cellStyle name="Normal 5 5 2 4 2 3" xfId="12033" xr:uid="{7A696A0C-F857-416E-9478-38F88E79149C}"/>
    <cellStyle name="Normal 5 5 2 4 2 4" xfId="20469" xr:uid="{669E36AA-1162-40FA-B4E5-14863DA1951A}"/>
    <cellStyle name="Normal 5 5 2 4 3" xfId="5664" xr:uid="{00000000-0005-0000-0000-0000691B0000}"/>
    <cellStyle name="Normal 5 5 2 4 3 2" xfId="14106" xr:uid="{1B8237AC-DED8-4E03-B18A-E7B7C3E0F8A3}"/>
    <cellStyle name="Normal 5 5 2 4 3 3" xfId="22541" xr:uid="{EA1B77D9-65E5-42E7-8A90-D496B8C21ECB}"/>
    <cellStyle name="Normal 5 5 2 4 4" xfId="9888" xr:uid="{0225FEC1-332F-4507-953E-63B374D6540A}"/>
    <cellStyle name="Normal 5 5 2 4 5" xfId="18324" xr:uid="{95876B0D-1062-48D6-A4FB-29E971DF6084}"/>
    <cellStyle name="Normal 5 5 2 5" xfId="1769" xr:uid="{00000000-0005-0000-0000-00006A1B0000}"/>
    <cellStyle name="Normal 5 5 2 5 2" xfId="3999" xr:uid="{00000000-0005-0000-0000-00006B1B0000}"/>
    <cellStyle name="Normal 5 5 2 5 2 2" xfId="8222" xr:uid="{00000000-0005-0000-0000-00006C1B0000}"/>
    <cellStyle name="Normal 5 5 2 5 2 2 2" xfId="16664" xr:uid="{01DDA303-040D-4B32-8D6D-BC93F0738FD3}"/>
    <cellStyle name="Normal 5 5 2 5 2 2 3" xfId="25099" xr:uid="{EA37E353-F8C7-4F8E-8C53-C3178619BEBA}"/>
    <cellStyle name="Normal 5 5 2 5 2 3" xfId="12446" xr:uid="{BB4A7AA5-FB81-4F36-B2A4-9B08D1BCBD50}"/>
    <cellStyle name="Normal 5 5 2 5 2 4" xfId="20882" xr:uid="{1D132247-9233-4166-8037-C3DE0DAEBBDE}"/>
    <cellStyle name="Normal 5 5 2 5 3" xfId="6077" xr:uid="{00000000-0005-0000-0000-00006D1B0000}"/>
    <cellStyle name="Normal 5 5 2 5 3 2" xfId="14519" xr:uid="{06D92671-EF3B-4A95-9300-D70B45AEAFBC}"/>
    <cellStyle name="Normal 5 5 2 5 3 3" xfId="22954" xr:uid="{FAC78777-08F7-4446-808B-C04A0136D881}"/>
    <cellStyle name="Normal 5 5 2 5 4" xfId="10301" xr:uid="{10A8F69D-738C-4484-8E2C-C8A75FF7D862}"/>
    <cellStyle name="Normal 5 5 2 5 5" xfId="18737" xr:uid="{6A880381-208F-4417-AA34-8E103580D7C2}"/>
    <cellStyle name="Normal 5 5 2 6" xfId="2183" xr:uid="{00000000-0005-0000-0000-00006E1B0000}"/>
    <cellStyle name="Normal 5 5 2 6 2" xfId="4412" xr:uid="{00000000-0005-0000-0000-00006F1B0000}"/>
    <cellStyle name="Normal 5 5 2 6 2 2" xfId="8635" xr:uid="{00000000-0005-0000-0000-0000701B0000}"/>
    <cellStyle name="Normal 5 5 2 6 2 2 2" xfId="17077" xr:uid="{DD5D330A-D4CD-442A-89E6-58A4910EAA46}"/>
    <cellStyle name="Normal 5 5 2 6 2 2 3" xfId="25512" xr:uid="{8A22AEF1-CEEA-44B1-A712-13D949990B6F}"/>
    <cellStyle name="Normal 5 5 2 6 2 3" xfId="12859" xr:uid="{81BB5408-4CEC-416B-8A05-C2D7DD3CC384}"/>
    <cellStyle name="Normal 5 5 2 6 2 4" xfId="21295" xr:uid="{57FCDF3E-98B8-44A7-A41D-9D6C6F20762A}"/>
    <cellStyle name="Normal 5 5 2 6 3" xfId="6490" xr:uid="{00000000-0005-0000-0000-0000711B0000}"/>
    <cellStyle name="Normal 5 5 2 6 3 2" xfId="14932" xr:uid="{B400AE45-3246-48E9-8FE0-34F2C2A655DF}"/>
    <cellStyle name="Normal 5 5 2 6 3 3" xfId="23367" xr:uid="{BEFC7DF3-B7DF-4B97-8F6E-FFA94564FDE8}"/>
    <cellStyle name="Normal 5 5 2 6 4" xfId="10714" xr:uid="{63354E8D-CDA9-4C34-962E-561786CD6947}"/>
    <cellStyle name="Normal 5 5 2 6 5" xfId="19150" xr:uid="{17BE6B23-4164-442D-A342-E37E1F67F90A}"/>
    <cellStyle name="Normal 5 5 2 7" xfId="2619" xr:uid="{00000000-0005-0000-0000-0000721B0000}"/>
    <cellStyle name="Normal 5 5 2 7 2" xfId="6903" xr:uid="{00000000-0005-0000-0000-0000731B0000}"/>
    <cellStyle name="Normal 5 5 2 7 2 2" xfId="15345" xr:uid="{AFFD59D2-0A77-40D1-8F2E-158D8CE84E82}"/>
    <cellStyle name="Normal 5 5 2 7 2 3" xfId="23780" xr:uid="{A8CDE3D5-53F7-4AD8-9F35-09D9E90098EB}"/>
    <cellStyle name="Normal 5 5 2 7 3" xfId="11127" xr:uid="{CC0D2D4A-79AD-428C-8195-450618E77940}"/>
    <cellStyle name="Normal 5 5 2 7 4" xfId="19563" xr:uid="{1223C124-1BA8-49CF-B58D-C6D0F92CBA84}"/>
    <cellStyle name="Normal 5 5 2 8" xfId="4838" xr:uid="{00000000-0005-0000-0000-0000741B0000}"/>
    <cellStyle name="Normal 5 5 2 8 2" xfId="13280" xr:uid="{01A6CE24-C0DF-43F7-B2A9-7C7141752529}"/>
    <cellStyle name="Normal 5 5 2 8 3" xfId="21715" xr:uid="{DB94E0A2-AFF9-4736-AC29-65F266987E77}"/>
    <cellStyle name="Normal 5 5 2 9" xfId="9062" xr:uid="{E9DAEA95-AA1F-4C81-9AF2-B2478A1533A7}"/>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2 2 2" xfId="15840" xr:uid="{A98473F6-1903-414C-B43D-F0A6762F813F}"/>
    <cellStyle name="Normal 5 5 3 2 2 2 3" xfId="24275" xr:uid="{D91B88E7-C1B1-4713-8C5A-31FFEA857EC6}"/>
    <cellStyle name="Normal 5 5 3 2 2 3" xfId="11622" xr:uid="{17BEAC7A-DC6C-4C3E-BDF2-1EDE2DB7E540}"/>
    <cellStyle name="Normal 5 5 3 2 2 4" xfId="20058" xr:uid="{663E3CAB-0399-43C4-9F60-7BD66754459D}"/>
    <cellStyle name="Normal 5 5 3 2 3" xfId="5253" xr:uid="{00000000-0005-0000-0000-0000791B0000}"/>
    <cellStyle name="Normal 5 5 3 2 3 2" xfId="13695" xr:uid="{D22DCC54-1AA7-44E3-872E-BBFD87E44771}"/>
    <cellStyle name="Normal 5 5 3 2 3 3" xfId="22130" xr:uid="{0AE1F188-F161-47C6-B131-EB731258555F}"/>
    <cellStyle name="Normal 5 5 3 2 4" xfId="9477" xr:uid="{5C3FE9EE-CB50-469B-8EA8-BA3B23793EB2}"/>
    <cellStyle name="Normal 5 5 3 2 5" xfId="17913" xr:uid="{1331420D-79F6-41F8-95FA-3A66AD93EDD6}"/>
    <cellStyle name="Normal 5 5 3 3" xfId="1358" xr:uid="{00000000-0005-0000-0000-00007A1B0000}"/>
    <cellStyle name="Normal 5 5 3 3 2" xfId="3588" xr:uid="{00000000-0005-0000-0000-00007B1B0000}"/>
    <cellStyle name="Normal 5 5 3 3 2 2" xfId="7811" xr:uid="{00000000-0005-0000-0000-00007C1B0000}"/>
    <cellStyle name="Normal 5 5 3 3 2 2 2" xfId="16253" xr:uid="{4D66EB80-8A25-4FCD-B74D-FF857A4F6D61}"/>
    <cellStyle name="Normal 5 5 3 3 2 2 3" xfId="24688" xr:uid="{C5D84EB3-4510-4CEE-9AB7-57DF9ACE6FB8}"/>
    <cellStyle name="Normal 5 5 3 3 2 3" xfId="12035" xr:uid="{0EF0B980-17E3-4220-804E-4C26DF4CE9EE}"/>
    <cellStyle name="Normal 5 5 3 3 2 4" xfId="20471" xr:uid="{2DB830B8-5A37-4B90-B2ED-CE7825E1F2A5}"/>
    <cellStyle name="Normal 5 5 3 3 3" xfId="5666" xr:uid="{00000000-0005-0000-0000-00007D1B0000}"/>
    <cellStyle name="Normal 5 5 3 3 3 2" xfId="14108" xr:uid="{CA1FE3C9-096B-48C2-936F-6E00B5657245}"/>
    <cellStyle name="Normal 5 5 3 3 3 3" xfId="22543" xr:uid="{9D17BD99-DB07-4DF3-A5EB-2DAFAB9A358F}"/>
    <cellStyle name="Normal 5 5 3 3 4" xfId="9890" xr:uid="{92C1E239-748D-4BC7-B224-5913513D0083}"/>
    <cellStyle name="Normal 5 5 3 3 5" xfId="18326" xr:uid="{A552CF00-1F68-488C-A76D-BD0C97CDD651}"/>
    <cellStyle name="Normal 5 5 3 4" xfId="1771" xr:uid="{00000000-0005-0000-0000-00007E1B0000}"/>
    <cellStyle name="Normal 5 5 3 4 2" xfId="4001" xr:uid="{00000000-0005-0000-0000-00007F1B0000}"/>
    <cellStyle name="Normal 5 5 3 4 2 2" xfId="8224" xr:uid="{00000000-0005-0000-0000-0000801B0000}"/>
    <cellStyle name="Normal 5 5 3 4 2 2 2" xfId="16666" xr:uid="{E6C9B45C-28BF-4D81-A8D9-44F6D4A0D3E2}"/>
    <cellStyle name="Normal 5 5 3 4 2 2 3" xfId="25101" xr:uid="{67E4435D-7688-4589-A89D-7B05B679D224}"/>
    <cellStyle name="Normal 5 5 3 4 2 3" xfId="12448" xr:uid="{EA5BBCAD-AE6A-432E-8869-C3F7D5007D46}"/>
    <cellStyle name="Normal 5 5 3 4 2 4" xfId="20884" xr:uid="{A882C5AD-1354-4614-8E1E-5DD0816BBFBB}"/>
    <cellStyle name="Normal 5 5 3 4 3" xfId="6079" xr:uid="{00000000-0005-0000-0000-0000811B0000}"/>
    <cellStyle name="Normal 5 5 3 4 3 2" xfId="14521" xr:uid="{0E2D8C45-0518-4727-BBFB-E3FA9AE63730}"/>
    <cellStyle name="Normal 5 5 3 4 3 3" xfId="22956" xr:uid="{8780FF0A-75FA-45B9-A177-6E77E74F832D}"/>
    <cellStyle name="Normal 5 5 3 4 4" xfId="10303" xr:uid="{7AD5FFEF-4C24-46F2-8D09-B1CCEDB1B913}"/>
    <cellStyle name="Normal 5 5 3 4 5" xfId="18739" xr:uid="{B9E2355E-9A6C-419E-9BD9-8E63CD83E887}"/>
    <cellStyle name="Normal 5 5 3 5" xfId="2185" xr:uid="{00000000-0005-0000-0000-0000821B0000}"/>
    <cellStyle name="Normal 5 5 3 5 2" xfId="4414" xr:uid="{00000000-0005-0000-0000-0000831B0000}"/>
    <cellStyle name="Normal 5 5 3 5 2 2" xfId="8637" xr:uid="{00000000-0005-0000-0000-0000841B0000}"/>
    <cellStyle name="Normal 5 5 3 5 2 2 2" xfId="17079" xr:uid="{75A36B5A-9D43-4757-8592-25864EDAE13A}"/>
    <cellStyle name="Normal 5 5 3 5 2 2 3" xfId="25514" xr:uid="{476E169F-11A4-4A83-A33E-A937368426BF}"/>
    <cellStyle name="Normal 5 5 3 5 2 3" xfId="12861" xr:uid="{9374431C-53EB-4E5A-B97D-C8737A9E7E1E}"/>
    <cellStyle name="Normal 5 5 3 5 2 4" xfId="21297" xr:uid="{0F8E3521-1BA8-40E0-90A3-7FB268A2CD0A}"/>
    <cellStyle name="Normal 5 5 3 5 3" xfId="6492" xr:uid="{00000000-0005-0000-0000-0000851B0000}"/>
    <cellStyle name="Normal 5 5 3 5 3 2" xfId="14934" xr:uid="{BFF48DAE-26A9-4369-8EE7-4EEA227E9B00}"/>
    <cellStyle name="Normal 5 5 3 5 3 3" xfId="23369" xr:uid="{48BAE649-3F96-4316-8497-A5B26CCCA50E}"/>
    <cellStyle name="Normal 5 5 3 5 4" xfId="10716" xr:uid="{637AEB9D-9985-43A3-81D2-484B8C14F3C6}"/>
    <cellStyle name="Normal 5 5 3 5 5" xfId="19152" xr:uid="{5E0FBA8A-680D-4D62-8699-18608F7D2B00}"/>
    <cellStyle name="Normal 5 5 3 6" xfId="2621" xr:uid="{00000000-0005-0000-0000-0000861B0000}"/>
    <cellStyle name="Normal 5 5 3 6 2" xfId="6905" xr:uid="{00000000-0005-0000-0000-0000871B0000}"/>
    <cellStyle name="Normal 5 5 3 6 2 2" xfId="15347" xr:uid="{48ACD66E-83ED-4286-B951-AC50157C9769}"/>
    <cellStyle name="Normal 5 5 3 6 2 3" xfId="23782" xr:uid="{6CE8CC8E-91D4-4D71-8E8E-7992A771A8A8}"/>
    <cellStyle name="Normal 5 5 3 6 3" xfId="11129" xr:uid="{57641FAC-BA21-4AF8-8C28-1C7B2ACB5C2F}"/>
    <cellStyle name="Normal 5 5 3 6 4" xfId="19565" xr:uid="{4060814C-ABDF-4E37-AE8C-655BF0FDE4FB}"/>
    <cellStyle name="Normal 5 5 3 7" xfId="4840" xr:uid="{00000000-0005-0000-0000-0000881B0000}"/>
    <cellStyle name="Normal 5 5 3 7 2" xfId="13282" xr:uid="{B95C9D56-DB5C-423C-B460-D03FA06D2DE4}"/>
    <cellStyle name="Normal 5 5 3 7 3" xfId="21717" xr:uid="{C208A6E8-A61B-4408-9173-E09D6AC61A78}"/>
    <cellStyle name="Normal 5 5 3 8" xfId="9064" xr:uid="{17F3A5F0-0798-431B-8ED8-0FF0FC90942D}"/>
    <cellStyle name="Normal 5 5 3 9" xfId="17500" xr:uid="{35EBA28F-6FEB-4894-B2C2-A1210471C3F0}"/>
    <cellStyle name="Normal 5 5 4" xfId="938" xr:uid="{00000000-0005-0000-0000-0000891B0000}"/>
    <cellStyle name="Normal 5 5 4 2" xfId="3172" xr:uid="{00000000-0005-0000-0000-00008A1B0000}"/>
    <cellStyle name="Normal 5 5 4 2 2" xfId="7395" xr:uid="{00000000-0005-0000-0000-00008B1B0000}"/>
    <cellStyle name="Normal 5 5 4 2 2 2" xfId="15837" xr:uid="{5DF7E226-65FA-4D57-ABFC-F5A6AEDBF31E}"/>
    <cellStyle name="Normal 5 5 4 2 2 3" xfId="24272" xr:uid="{9B4F19FB-6018-420B-B92C-CD1645CAFE3F}"/>
    <cellStyle name="Normal 5 5 4 2 3" xfId="11619" xr:uid="{D1910F22-7D47-44F3-AD51-397805CAA9AD}"/>
    <cellStyle name="Normal 5 5 4 2 4" xfId="20055" xr:uid="{33DAFB4E-E73A-4389-AF14-A971F3E2894A}"/>
    <cellStyle name="Normal 5 5 4 3" xfId="5250" xr:uid="{00000000-0005-0000-0000-00008C1B0000}"/>
    <cellStyle name="Normal 5 5 4 3 2" xfId="13692" xr:uid="{D8F3E6D8-FC88-4C7B-8A84-B1E6A82E6C59}"/>
    <cellStyle name="Normal 5 5 4 3 3" xfId="22127" xr:uid="{28C45A15-58C7-4D31-9CF7-3213328C3FE1}"/>
    <cellStyle name="Normal 5 5 4 4" xfId="9474" xr:uid="{8A99B499-5ADD-4C78-9B67-54FC024BB154}"/>
    <cellStyle name="Normal 5 5 4 5" xfId="17910" xr:uid="{CB65113F-637C-4D2D-B60C-B6F2DEE7C0E1}"/>
    <cellStyle name="Normal 5 5 5" xfId="1355" xr:uid="{00000000-0005-0000-0000-00008D1B0000}"/>
    <cellStyle name="Normal 5 5 5 2" xfId="3585" xr:uid="{00000000-0005-0000-0000-00008E1B0000}"/>
    <cellStyle name="Normal 5 5 5 2 2" xfId="7808" xr:uid="{00000000-0005-0000-0000-00008F1B0000}"/>
    <cellStyle name="Normal 5 5 5 2 2 2" xfId="16250" xr:uid="{3DAB07BD-AFF7-4E9D-80DB-22189ED7536A}"/>
    <cellStyle name="Normal 5 5 5 2 2 3" xfId="24685" xr:uid="{AF774EF6-6BA5-4FA6-9BE4-0BBBE872AE29}"/>
    <cellStyle name="Normal 5 5 5 2 3" xfId="12032" xr:uid="{08FAD084-417C-4C79-85F0-FBC4140D7F6A}"/>
    <cellStyle name="Normal 5 5 5 2 4" xfId="20468" xr:uid="{ED72F82C-2F5E-4D5E-828B-264A0E690B14}"/>
    <cellStyle name="Normal 5 5 5 3" xfId="5663" xr:uid="{00000000-0005-0000-0000-0000901B0000}"/>
    <cellStyle name="Normal 5 5 5 3 2" xfId="14105" xr:uid="{B395D27B-1910-434D-B7EF-1761DCE9AEF6}"/>
    <cellStyle name="Normal 5 5 5 3 3" xfId="22540" xr:uid="{336003BE-8F7E-477A-8F98-1097A2FAAC00}"/>
    <cellStyle name="Normal 5 5 5 4" xfId="9887" xr:uid="{70271B7C-B8AD-4106-A9E2-C47DFB7681DF}"/>
    <cellStyle name="Normal 5 5 5 5" xfId="18323" xr:uid="{80542D11-4A37-49EC-843B-3499D98C49E1}"/>
    <cellStyle name="Normal 5 5 6" xfId="1768" xr:uid="{00000000-0005-0000-0000-0000911B0000}"/>
    <cellStyle name="Normal 5 5 6 2" xfId="3998" xr:uid="{00000000-0005-0000-0000-0000921B0000}"/>
    <cellStyle name="Normal 5 5 6 2 2" xfId="8221" xr:uid="{00000000-0005-0000-0000-0000931B0000}"/>
    <cellStyle name="Normal 5 5 6 2 2 2" xfId="16663" xr:uid="{0222B858-F83B-4964-965D-6AFCA54724C7}"/>
    <cellStyle name="Normal 5 5 6 2 2 3" xfId="25098" xr:uid="{C6830DC7-BB1D-412C-98C1-8059FA4D846C}"/>
    <cellStyle name="Normal 5 5 6 2 3" xfId="12445" xr:uid="{D8962CEA-3768-487D-A6D3-53C6D65E3E31}"/>
    <cellStyle name="Normal 5 5 6 2 4" xfId="20881" xr:uid="{F9B50EE5-6B89-42AA-9653-702C38A704E6}"/>
    <cellStyle name="Normal 5 5 6 3" xfId="6076" xr:uid="{00000000-0005-0000-0000-0000941B0000}"/>
    <cellStyle name="Normal 5 5 6 3 2" xfId="14518" xr:uid="{9251A6AC-95AB-4BB5-B55C-34545D50D0A1}"/>
    <cellStyle name="Normal 5 5 6 3 3" xfId="22953" xr:uid="{6ED39B1B-157A-42FB-B6AE-F8EF8AEF267D}"/>
    <cellStyle name="Normal 5 5 6 4" xfId="10300" xr:uid="{C136CE5C-6BDD-471F-8F1B-9906096B3CBD}"/>
    <cellStyle name="Normal 5 5 6 5" xfId="18736" xr:uid="{35E56199-0D58-4B63-977A-B8184392F4D2}"/>
    <cellStyle name="Normal 5 5 7" xfId="2182" xr:uid="{00000000-0005-0000-0000-0000951B0000}"/>
    <cellStyle name="Normal 5 5 7 2" xfId="4411" xr:uid="{00000000-0005-0000-0000-0000961B0000}"/>
    <cellStyle name="Normal 5 5 7 2 2" xfId="8634" xr:uid="{00000000-0005-0000-0000-0000971B0000}"/>
    <cellStyle name="Normal 5 5 7 2 2 2" xfId="17076" xr:uid="{88DEA4FF-8B7A-4BAC-88D6-DDB611672445}"/>
    <cellStyle name="Normal 5 5 7 2 2 3" xfId="25511" xr:uid="{AB662475-2697-44E2-AC40-FBF70C985D70}"/>
    <cellStyle name="Normal 5 5 7 2 3" xfId="12858" xr:uid="{6A6DE90C-73F4-40DF-8E15-F3AFD72EB9EA}"/>
    <cellStyle name="Normal 5 5 7 2 4" xfId="21294" xr:uid="{28AA558C-3370-46DE-8245-FC6B02D8CE73}"/>
    <cellStyle name="Normal 5 5 7 3" xfId="6489" xr:uid="{00000000-0005-0000-0000-0000981B0000}"/>
    <cellStyle name="Normal 5 5 7 3 2" xfId="14931" xr:uid="{69EEE84C-86C4-4CD7-BC92-86DC32BFD019}"/>
    <cellStyle name="Normal 5 5 7 3 3" xfId="23366" xr:uid="{7FA683A6-D603-4DBB-9FB9-A4AF070C512A}"/>
    <cellStyle name="Normal 5 5 7 4" xfId="10713" xr:uid="{4A07F312-2AFA-41D8-8CDD-598142498F06}"/>
    <cellStyle name="Normal 5 5 7 5" xfId="19149" xr:uid="{FC2E811A-9503-4F59-BB97-BD02CF26769F}"/>
    <cellStyle name="Normal 5 5 8" xfId="2618" xr:uid="{00000000-0005-0000-0000-0000991B0000}"/>
    <cellStyle name="Normal 5 5 8 2" xfId="6902" xr:uid="{00000000-0005-0000-0000-00009A1B0000}"/>
    <cellStyle name="Normal 5 5 8 2 2" xfId="15344" xr:uid="{49C81DB0-3E94-40B6-8F13-DD6D5664A6DB}"/>
    <cellStyle name="Normal 5 5 8 2 3" xfId="23779" xr:uid="{5F40873E-704E-4CC4-AFCC-BF6BF8790B43}"/>
    <cellStyle name="Normal 5 5 8 3" xfId="11126" xr:uid="{FDBD78EA-6596-4019-A3D7-D03FB6B64F17}"/>
    <cellStyle name="Normal 5 5 8 4" xfId="19562" xr:uid="{4B3B0FE4-A2E3-4A13-8B44-7553C29F4E07}"/>
    <cellStyle name="Normal 5 5 9" xfId="4837" xr:uid="{00000000-0005-0000-0000-00009B1B0000}"/>
    <cellStyle name="Normal 5 5 9 2" xfId="13279" xr:uid="{3A0D0638-D8B3-49FE-B77B-38E172FF9376}"/>
    <cellStyle name="Normal 5 5 9 3" xfId="21714" xr:uid="{98485B52-70BB-49A1-A152-34253F676285}"/>
    <cellStyle name="Normal 5 6" xfId="468" xr:uid="{00000000-0005-0000-0000-00009C1B0000}"/>
    <cellStyle name="Normal 5 6 10" xfId="17501" xr:uid="{B8520D80-3DC8-4B20-B0FD-8CD15EA47E19}"/>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2 2 2" xfId="15842" xr:uid="{9A1683A4-A99D-447B-9C3A-BC7BE59EDAE2}"/>
    <cellStyle name="Normal 5 6 2 2 2 2 3" xfId="24277" xr:uid="{AD1B4803-EAAC-4AE6-A349-AC07FFF93DF4}"/>
    <cellStyle name="Normal 5 6 2 2 2 3" xfId="11624" xr:uid="{16DFDF16-82D2-4ECA-845E-ECFD22B2E066}"/>
    <cellStyle name="Normal 5 6 2 2 2 4" xfId="20060" xr:uid="{13B4F25E-7510-4251-9E21-CCDFBE0EE0FE}"/>
    <cellStyle name="Normal 5 6 2 2 3" xfId="5255" xr:uid="{00000000-0005-0000-0000-0000A11B0000}"/>
    <cellStyle name="Normal 5 6 2 2 3 2" xfId="13697" xr:uid="{D5123A7A-49C3-44CD-97C3-45BE28567F46}"/>
    <cellStyle name="Normal 5 6 2 2 3 3" xfId="22132" xr:uid="{F4BB2728-6ED0-400F-9BEA-6252DAA67642}"/>
    <cellStyle name="Normal 5 6 2 2 4" xfId="9479" xr:uid="{09945EA4-139B-4792-AA13-B7F8565EC5C4}"/>
    <cellStyle name="Normal 5 6 2 2 5" xfId="17915" xr:uid="{7F3E2990-547B-4E02-97DB-A8AD11F5B3D0}"/>
    <cellStyle name="Normal 5 6 2 3" xfId="1360" xr:uid="{00000000-0005-0000-0000-0000A21B0000}"/>
    <cellStyle name="Normal 5 6 2 3 2" xfId="3590" xr:uid="{00000000-0005-0000-0000-0000A31B0000}"/>
    <cellStyle name="Normal 5 6 2 3 2 2" xfId="7813" xr:uid="{00000000-0005-0000-0000-0000A41B0000}"/>
    <cellStyle name="Normal 5 6 2 3 2 2 2" xfId="16255" xr:uid="{D17548FD-6BA7-4585-898E-204BF17B9444}"/>
    <cellStyle name="Normal 5 6 2 3 2 2 3" xfId="24690" xr:uid="{857150F8-902C-4FB1-9490-531E252C3A07}"/>
    <cellStyle name="Normal 5 6 2 3 2 3" xfId="12037" xr:uid="{3AFEC172-5E47-44FB-9454-5F357A95A787}"/>
    <cellStyle name="Normal 5 6 2 3 2 4" xfId="20473" xr:uid="{8AD4BAAC-7B9B-4241-B3E6-36ADA0823C4F}"/>
    <cellStyle name="Normal 5 6 2 3 3" xfId="5668" xr:uid="{00000000-0005-0000-0000-0000A51B0000}"/>
    <cellStyle name="Normal 5 6 2 3 3 2" xfId="14110" xr:uid="{3577FF75-FE3B-4130-9C28-786CC278C5FC}"/>
    <cellStyle name="Normal 5 6 2 3 3 3" xfId="22545" xr:uid="{ACD66906-EA2D-4304-8F94-549E0679FC13}"/>
    <cellStyle name="Normal 5 6 2 3 4" xfId="9892" xr:uid="{1E25DE1B-8D29-4C87-85AE-21525F28B699}"/>
    <cellStyle name="Normal 5 6 2 3 5" xfId="18328" xr:uid="{3AA04CA7-4BCA-48A7-A557-07EE0812BF26}"/>
    <cellStyle name="Normal 5 6 2 4" xfId="1773" xr:uid="{00000000-0005-0000-0000-0000A61B0000}"/>
    <cellStyle name="Normal 5 6 2 4 2" xfId="4003" xr:uid="{00000000-0005-0000-0000-0000A71B0000}"/>
    <cellStyle name="Normal 5 6 2 4 2 2" xfId="8226" xr:uid="{00000000-0005-0000-0000-0000A81B0000}"/>
    <cellStyle name="Normal 5 6 2 4 2 2 2" xfId="16668" xr:uid="{CA413BA2-EDCB-4701-B4BB-4436A7F8C0CF}"/>
    <cellStyle name="Normal 5 6 2 4 2 2 3" xfId="25103" xr:uid="{96A1F167-005B-4C17-A079-5F023BFD9CC1}"/>
    <cellStyle name="Normal 5 6 2 4 2 3" xfId="12450" xr:uid="{4AB2A718-E791-4075-97FF-19E63D557B3D}"/>
    <cellStyle name="Normal 5 6 2 4 2 4" xfId="20886" xr:uid="{6EA039B6-A58F-498B-A27A-CD445787F2DA}"/>
    <cellStyle name="Normal 5 6 2 4 3" xfId="6081" xr:uid="{00000000-0005-0000-0000-0000A91B0000}"/>
    <cellStyle name="Normal 5 6 2 4 3 2" xfId="14523" xr:uid="{99740603-3417-4E58-B290-D981E00AE626}"/>
    <cellStyle name="Normal 5 6 2 4 3 3" xfId="22958" xr:uid="{4434E2B3-2B6F-4FFF-BF7F-68CE875DCA3C}"/>
    <cellStyle name="Normal 5 6 2 4 4" xfId="10305" xr:uid="{DF7EE527-CFF5-4ECE-9C45-788ABEF77522}"/>
    <cellStyle name="Normal 5 6 2 4 5" xfId="18741" xr:uid="{28B5EF7D-9DDB-41CE-89EF-B91A77815072}"/>
    <cellStyle name="Normal 5 6 2 5" xfId="2187" xr:uid="{00000000-0005-0000-0000-0000AA1B0000}"/>
    <cellStyle name="Normal 5 6 2 5 2" xfId="4416" xr:uid="{00000000-0005-0000-0000-0000AB1B0000}"/>
    <cellStyle name="Normal 5 6 2 5 2 2" xfId="8639" xr:uid="{00000000-0005-0000-0000-0000AC1B0000}"/>
    <cellStyle name="Normal 5 6 2 5 2 2 2" xfId="17081" xr:uid="{5473E4E8-7280-49D9-8849-9A90212E2E71}"/>
    <cellStyle name="Normal 5 6 2 5 2 2 3" xfId="25516" xr:uid="{DAC1C038-2E75-4EEF-9C63-38B7022EC7A6}"/>
    <cellStyle name="Normal 5 6 2 5 2 3" xfId="12863" xr:uid="{0EB2FBFF-F549-4F82-A9FB-AFACB9575E22}"/>
    <cellStyle name="Normal 5 6 2 5 2 4" xfId="21299" xr:uid="{729D213D-57B6-4F28-96AA-E7A36CCEE438}"/>
    <cellStyle name="Normal 5 6 2 5 3" xfId="6494" xr:uid="{00000000-0005-0000-0000-0000AD1B0000}"/>
    <cellStyle name="Normal 5 6 2 5 3 2" xfId="14936" xr:uid="{8118182D-97E1-4D87-911B-4AC786FDACBB}"/>
    <cellStyle name="Normal 5 6 2 5 3 3" xfId="23371" xr:uid="{46B536C0-2F8A-46E6-B043-EB49F1FD26D0}"/>
    <cellStyle name="Normal 5 6 2 5 4" xfId="10718" xr:uid="{46EA0BED-8024-423C-9294-39A05CE423C2}"/>
    <cellStyle name="Normal 5 6 2 5 5" xfId="19154" xr:uid="{3D2E4FBB-2352-4285-B065-391BE1108232}"/>
    <cellStyle name="Normal 5 6 2 6" xfId="2623" xr:uid="{00000000-0005-0000-0000-0000AE1B0000}"/>
    <cellStyle name="Normal 5 6 2 6 2" xfId="6907" xr:uid="{00000000-0005-0000-0000-0000AF1B0000}"/>
    <cellStyle name="Normal 5 6 2 6 2 2" xfId="15349" xr:uid="{0AEB0CD3-86A3-4838-8AAD-A6A86C6B88F8}"/>
    <cellStyle name="Normal 5 6 2 6 2 3" xfId="23784" xr:uid="{31D008F5-D1AB-4AA9-8E17-95415079980D}"/>
    <cellStyle name="Normal 5 6 2 6 3" xfId="11131" xr:uid="{5AA3015A-1AB7-4D3D-B750-0F6CA2417ADF}"/>
    <cellStyle name="Normal 5 6 2 6 4" xfId="19567" xr:uid="{8F344CDC-B8F0-4A8E-A888-066DBDEAB03A}"/>
    <cellStyle name="Normal 5 6 2 7" xfId="4842" xr:uid="{00000000-0005-0000-0000-0000B01B0000}"/>
    <cellStyle name="Normal 5 6 2 7 2" xfId="13284" xr:uid="{F3797A5F-DEFD-4E5C-9F28-D2FEF889AD71}"/>
    <cellStyle name="Normal 5 6 2 7 3" xfId="21719" xr:uid="{1AA2AD78-8765-407C-A0A5-F34ED40972DB}"/>
    <cellStyle name="Normal 5 6 2 8" xfId="9066" xr:uid="{ACF6D9AF-04A0-430A-95E2-4A62C6154D26}"/>
    <cellStyle name="Normal 5 6 2 9" xfId="17502" xr:uid="{0BC8A759-63CE-426A-BD65-0F2CBB93B20C}"/>
    <cellStyle name="Normal 5 6 3" xfId="942" xr:uid="{00000000-0005-0000-0000-0000B11B0000}"/>
    <cellStyle name="Normal 5 6 3 2" xfId="3176" xr:uid="{00000000-0005-0000-0000-0000B21B0000}"/>
    <cellStyle name="Normal 5 6 3 2 2" xfId="7399" xr:uid="{00000000-0005-0000-0000-0000B31B0000}"/>
    <cellStyle name="Normal 5 6 3 2 2 2" xfId="15841" xr:uid="{72CB9ABB-047E-41CE-B617-27EAB0A05EA3}"/>
    <cellStyle name="Normal 5 6 3 2 2 3" xfId="24276" xr:uid="{E16507EF-037A-44B2-8E32-C9633B5A6F3A}"/>
    <cellStyle name="Normal 5 6 3 2 3" xfId="11623" xr:uid="{5DC35E6F-B152-444B-B798-BBA8E1F666E5}"/>
    <cellStyle name="Normal 5 6 3 2 4" xfId="20059" xr:uid="{E52DF9DF-ACAA-422D-9D69-71389A5497CD}"/>
    <cellStyle name="Normal 5 6 3 3" xfId="5254" xr:uid="{00000000-0005-0000-0000-0000B41B0000}"/>
    <cellStyle name="Normal 5 6 3 3 2" xfId="13696" xr:uid="{7E3ECCB4-4632-4401-BA33-F54469C3E2E1}"/>
    <cellStyle name="Normal 5 6 3 3 3" xfId="22131" xr:uid="{987A77FB-CC21-4431-B89E-A4C9CC6358A4}"/>
    <cellStyle name="Normal 5 6 3 4" xfId="9478" xr:uid="{7DBDE77E-5083-4C4B-867A-30E53F131205}"/>
    <cellStyle name="Normal 5 6 3 5" xfId="17914" xr:uid="{38DA2464-5A45-40CB-AB4F-0E233525E65E}"/>
    <cellStyle name="Normal 5 6 4" xfId="1359" xr:uid="{00000000-0005-0000-0000-0000B51B0000}"/>
    <cellStyle name="Normal 5 6 4 2" xfId="3589" xr:uid="{00000000-0005-0000-0000-0000B61B0000}"/>
    <cellStyle name="Normal 5 6 4 2 2" xfId="7812" xr:uid="{00000000-0005-0000-0000-0000B71B0000}"/>
    <cellStyle name="Normal 5 6 4 2 2 2" xfId="16254" xr:uid="{4D7C43B5-0EB1-4818-B8FC-E7A6D06F58A9}"/>
    <cellStyle name="Normal 5 6 4 2 2 3" xfId="24689" xr:uid="{902863C2-5A17-4032-8CF4-315DB0F63E33}"/>
    <cellStyle name="Normal 5 6 4 2 3" xfId="12036" xr:uid="{B938CB85-92D3-42F6-953C-8D37076B5193}"/>
    <cellStyle name="Normal 5 6 4 2 4" xfId="20472" xr:uid="{08E429BA-76F9-47D8-B11C-0270FDB24264}"/>
    <cellStyle name="Normal 5 6 4 3" xfId="5667" xr:uid="{00000000-0005-0000-0000-0000B81B0000}"/>
    <cellStyle name="Normal 5 6 4 3 2" xfId="14109" xr:uid="{58A1FF05-2DC1-4883-9B08-A2CA2F60B137}"/>
    <cellStyle name="Normal 5 6 4 3 3" xfId="22544" xr:uid="{2F75710A-87E1-4269-9302-DEB220CA305A}"/>
    <cellStyle name="Normal 5 6 4 4" xfId="9891" xr:uid="{47629014-EA3F-4C89-B1C5-BC4B6D76EB33}"/>
    <cellStyle name="Normal 5 6 4 5" xfId="18327" xr:uid="{177AD5EE-1CDC-4A36-AE96-407931B1D5AA}"/>
    <cellStyle name="Normal 5 6 5" xfId="1772" xr:uid="{00000000-0005-0000-0000-0000B91B0000}"/>
    <cellStyle name="Normal 5 6 5 2" xfId="4002" xr:uid="{00000000-0005-0000-0000-0000BA1B0000}"/>
    <cellStyle name="Normal 5 6 5 2 2" xfId="8225" xr:uid="{00000000-0005-0000-0000-0000BB1B0000}"/>
    <cellStyle name="Normal 5 6 5 2 2 2" xfId="16667" xr:uid="{A9442B57-5A7C-4F76-A174-5943BD8D8125}"/>
    <cellStyle name="Normal 5 6 5 2 2 3" xfId="25102" xr:uid="{0D56AE85-FEF0-43ED-AC30-FAD6BABA6E90}"/>
    <cellStyle name="Normal 5 6 5 2 3" xfId="12449" xr:uid="{F7FBA28D-A702-487C-9EC2-ECF1DBB2105D}"/>
    <cellStyle name="Normal 5 6 5 2 4" xfId="20885" xr:uid="{3AAB4C00-716B-468A-9ADA-265D2910548D}"/>
    <cellStyle name="Normal 5 6 5 3" xfId="6080" xr:uid="{00000000-0005-0000-0000-0000BC1B0000}"/>
    <cellStyle name="Normal 5 6 5 3 2" xfId="14522" xr:uid="{1B4B2A6B-8D04-4CCB-B74A-5A592175619B}"/>
    <cellStyle name="Normal 5 6 5 3 3" xfId="22957" xr:uid="{5EE704E8-2E13-40BB-B68C-87A383DE74CF}"/>
    <cellStyle name="Normal 5 6 5 4" xfId="10304" xr:uid="{62AD4958-2DCA-4C01-A659-842D90FC46E5}"/>
    <cellStyle name="Normal 5 6 5 5" xfId="18740" xr:uid="{776EB414-C598-4F3A-BB16-444ABFE7D3A3}"/>
    <cellStyle name="Normal 5 6 6" xfId="2186" xr:uid="{00000000-0005-0000-0000-0000BD1B0000}"/>
    <cellStyle name="Normal 5 6 6 2" xfId="4415" xr:uid="{00000000-0005-0000-0000-0000BE1B0000}"/>
    <cellStyle name="Normal 5 6 6 2 2" xfId="8638" xr:uid="{00000000-0005-0000-0000-0000BF1B0000}"/>
    <cellStyle name="Normal 5 6 6 2 2 2" xfId="17080" xr:uid="{4598C501-4B3C-420D-B725-1A5228520C6C}"/>
    <cellStyle name="Normal 5 6 6 2 2 3" xfId="25515" xr:uid="{FEF832F7-DD25-456E-9FFE-AF97C9A6E7C0}"/>
    <cellStyle name="Normal 5 6 6 2 3" xfId="12862" xr:uid="{DFAC4BA2-4CB1-45AC-8E44-D22DE10E55FB}"/>
    <cellStyle name="Normal 5 6 6 2 4" xfId="21298" xr:uid="{8AFA5A03-3AF1-4DBE-8398-8200EB1BCA5F}"/>
    <cellStyle name="Normal 5 6 6 3" xfId="6493" xr:uid="{00000000-0005-0000-0000-0000C01B0000}"/>
    <cellStyle name="Normal 5 6 6 3 2" xfId="14935" xr:uid="{B54CE96A-2958-48E6-8639-7097128697CD}"/>
    <cellStyle name="Normal 5 6 6 3 3" xfId="23370" xr:uid="{D7A52B80-902A-444B-A4E4-1BA3B0D94B58}"/>
    <cellStyle name="Normal 5 6 6 4" xfId="10717" xr:uid="{48FCE29A-FBA8-40AA-A8E8-EB17177A6078}"/>
    <cellStyle name="Normal 5 6 6 5" xfId="19153" xr:uid="{76F160BB-CDA7-41AA-8FFB-A78F0D4D31CE}"/>
    <cellStyle name="Normal 5 6 7" xfId="2622" xr:uid="{00000000-0005-0000-0000-0000C11B0000}"/>
    <cellStyle name="Normal 5 6 7 2" xfId="6906" xr:uid="{00000000-0005-0000-0000-0000C21B0000}"/>
    <cellStyle name="Normal 5 6 7 2 2" xfId="15348" xr:uid="{60999D0C-DBD9-479E-B1C6-60E35B7905E0}"/>
    <cellStyle name="Normal 5 6 7 2 3" xfId="23783" xr:uid="{19A54288-71F5-4D46-AA1A-74E0CEC9BA4D}"/>
    <cellStyle name="Normal 5 6 7 3" xfId="11130" xr:uid="{EBCB2AD5-A7D3-443D-88D2-B39FA60A4233}"/>
    <cellStyle name="Normal 5 6 7 4" xfId="19566" xr:uid="{C14F8535-AA64-45CA-BAFD-89723814AB85}"/>
    <cellStyle name="Normal 5 6 8" xfId="4841" xr:uid="{00000000-0005-0000-0000-0000C31B0000}"/>
    <cellStyle name="Normal 5 6 8 2" xfId="13283" xr:uid="{C4C30767-6BC1-4CDB-BDE7-CCCA3FF4B65A}"/>
    <cellStyle name="Normal 5 6 8 3" xfId="21718" xr:uid="{44B03873-CCB1-4CF6-ACF1-B64EEAA17772}"/>
    <cellStyle name="Normal 5 6 9" xfId="9065" xr:uid="{43D92487-B433-4D99-A2B0-8FD44030554C}"/>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2 2 2" xfId="15843" xr:uid="{716C8EA7-FDAF-41A8-A09F-2B1BD8063113}"/>
    <cellStyle name="Normal 5 7 2 2 2 3" xfId="24278" xr:uid="{5CE7414B-510B-423A-9C02-B1321E9D45B9}"/>
    <cellStyle name="Normal 5 7 2 2 3" xfId="11625" xr:uid="{EC715016-1C48-4DE5-9F6C-60048C24C3F9}"/>
    <cellStyle name="Normal 5 7 2 2 4" xfId="20061" xr:uid="{44EC210E-55BA-461C-96C0-01648C0649F1}"/>
    <cellStyle name="Normal 5 7 2 3" xfId="5256" xr:uid="{00000000-0005-0000-0000-0000C81B0000}"/>
    <cellStyle name="Normal 5 7 2 3 2" xfId="13698" xr:uid="{A45F8A0A-2BC7-4C19-92D4-F9AE0B081801}"/>
    <cellStyle name="Normal 5 7 2 3 3" xfId="22133" xr:uid="{31442900-70BA-460D-8F5C-3C89300DA8B2}"/>
    <cellStyle name="Normal 5 7 2 4" xfId="9480" xr:uid="{C79DCC8C-68C8-4624-ACE5-AB78D2E90249}"/>
    <cellStyle name="Normal 5 7 2 5" xfId="17916" xr:uid="{3EEB3D97-B08A-4400-BD78-BA24E2BC1CAC}"/>
    <cellStyle name="Normal 5 7 3" xfId="1361" xr:uid="{00000000-0005-0000-0000-0000C91B0000}"/>
    <cellStyle name="Normal 5 7 3 2" xfId="3591" xr:uid="{00000000-0005-0000-0000-0000CA1B0000}"/>
    <cellStyle name="Normal 5 7 3 2 2" xfId="7814" xr:uid="{00000000-0005-0000-0000-0000CB1B0000}"/>
    <cellStyle name="Normal 5 7 3 2 2 2" xfId="16256" xr:uid="{2FCC4CFC-5BD9-444D-9382-EE68254A710C}"/>
    <cellStyle name="Normal 5 7 3 2 2 3" xfId="24691" xr:uid="{877509F6-BFEA-4F66-86D0-AB96D5F4C8BA}"/>
    <cellStyle name="Normal 5 7 3 2 3" xfId="12038" xr:uid="{94D21547-6774-4DB3-8D2F-B0837AA0D72F}"/>
    <cellStyle name="Normal 5 7 3 2 4" xfId="20474" xr:uid="{85E46B67-55A3-43A3-A242-4FFB6EBB2652}"/>
    <cellStyle name="Normal 5 7 3 3" xfId="5669" xr:uid="{00000000-0005-0000-0000-0000CC1B0000}"/>
    <cellStyle name="Normal 5 7 3 3 2" xfId="14111" xr:uid="{05B5269C-09D9-4891-995C-D53022157FA5}"/>
    <cellStyle name="Normal 5 7 3 3 3" xfId="22546" xr:uid="{292BB4E9-B3D1-4D43-864B-C5607CC1DFB9}"/>
    <cellStyle name="Normal 5 7 3 4" xfId="9893" xr:uid="{AF8F84C5-FC82-4F0D-9F00-A6E9E55125D5}"/>
    <cellStyle name="Normal 5 7 3 5" xfId="18329" xr:uid="{09B9B7C7-EADB-4556-91A4-D9EE0A1B64C3}"/>
    <cellStyle name="Normal 5 7 4" xfId="1774" xr:uid="{00000000-0005-0000-0000-0000CD1B0000}"/>
    <cellStyle name="Normal 5 7 4 2" xfId="4004" xr:uid="{00000000-0005-0000-0000-0000CE1B0000}"/>
    <cellStyle name="Normal 5 7 4 2 2" xfId="8227" xr:uid="{00000000-0005-0000-0000-0000CF1B0000}"/>
    <cellStyle name="Normal 5 7 4 2 2 2" xfId="16669" xr:uid="{1D722709-66DB-43E3-BA77-4CBCC0E949D9}"/>
    <cellStyle name="Normal 5 7 4 2 2 3" xfId="25104" xr:uid="{68192150-4233-43DE-A1D3-E447A5916D69}"/>
    <cellStyle name="Normal 5 7 4 2 3" xfId="12451" xr:uid="{2CC2D066-7E3F-4F88-8274-93F2F3558FAA}"/>
    <cellStyle name="Normal 5 7 4 2 4" xfId="20887" xr:uid="{816AB760-81F8-4E52-91C1-EE59EEBDA665}"/>
    <cellStyle name="Normal 5 7 4 3" xfId="6082" xr:uid="{00000000-0005-0000-0000-0000D01B0000}"/>
    <cellStyle name="Normal 5 7 4 3 2" xfId="14524" xr:uid="{91217467-3BCC-410D-9D4C-E7AC05A394A3}"/>
    <cellStyle name="Normal 5 7 4 3 3" xfId="22959" xr:uid="{771E3A71-EB5B-413F-9A25-09AFDA0874DD}"/>
    <cellStyle name="Normal 5 7 4 4" xfId="10306" xr:uid="{3FF60108-9CF9-4D51-A087-18EDBA1E241A}"/>
    <cellStyle name="Normal 5 7 4 5" xfId="18742" xr:uid="{FA453553-6792-439F-899D-0FB942530085}"/>
    <cellStyle name="Normal 5 7 5" xfId="2188" xr:uid="{00000000-0005-0000-0000-0000D11B0000}"/>
    <cellStyle name="Normal 5 7 5 2" xfId="4417" xr:uid="{00000000-0005-0000-0000-0000D21B0000}"/>
    <cellStyle name="Normal 5 7 5 2 2" xfId="8640" xr:uid="{00000000-0005-0000-0000-0000D31B0000}"/>
    <cellStyle name="Normal 5 7 5 2 2 2" xfId="17082" xr:uid="{1289CBBA-BDE1-420D-96C0-6738C0571283}"/>
    <cellStyle name="Normal 5 7 5 2 2 3" xfId="25517" xr:uid="{1450AA1D-345D-43E4-8130-67E95DFDF66F}"/>
    <cellStyle name="Normal 5 7 5 2 3" xfId="12864" xr:uid="{78523CF4-7007-4E1F-92C3-3EF6C326BF06}"/>
    <cellStyle name="Normal 5 7 5 2 4" xfId="21300" xr:uid="{0C910558-CA30-4FCB-8BDB-832FC5527275}"/>
    <cellStyle name="Normal 5 7 5 3" xfId="6495" xr:uid="{00000000-0005-0000-0000-0000D41B0000}"/>
    <cellStyle name="Normal 5 7 5 3 2" xfId="14937" xr:uid="{2465AD28-AB60-4DE4-877E-4EA903F69997}"/>
    <cellStyle name="Normal 5 7 5 3 3" xfId="23372" xr:uid="{F445FFA4-DEB0-4783-A610-11164A0DD9DB}"/>
    <cellStyle name="Normal 5 7 5 4" xfId="10719" xr:uid="{E8077DC2-0168-47BB-A816-3467273418DB}"/>
    <cellStyle name="Normal 5 7 5 5" xfId="19155" xr:uid="{249D3740-B716-47BA-8914-C1EC1F2CE575}"/>
    <cellStyle name="Normal 5 7 6" xfId="2624" xr:uid="{00000000-0005-0000-0000-0000D51B0000}"/>
    <cellStyle name="Normal 5 7 6 2" xfId="6908" xr:uid="{00000000-0005-0000-0000-0000D61B0000}"/>
    <cellStyle name="Normal 5 7 6 2 2" xfId="15350" xr:uid="{DF364B33-CDEE-4F26-A722-2CA3596AAD02}"/>
    <cellStyle name="Normal 5 7 6 2 3" xfId="23785" xr:uid="{FB087C47-7F10-4C02-A2B4-DDE50F37290F}"/>
    <cellStyle name="Normal 5 7 6 3" xfId="11132" xr:uid="{BDA1DE97-DB9B-4915-881B-D9253043918D}"/>
    <cellStyle name="Normal 5 7 6 4" xfId="19568" xr:uid="{85B899CB-6CDC-4A81-8B4F-0D632FC386C8}"/>
    <cellStyle name="Normal 5 7 7" xfId="4843" xr:uid="{00000000-0005-0000-0000-0000D71B0000}"/>
    <cellStyle name="Normal 5 7 7 2" xfId="13285" xr:uid="{F4E22222-44B8-4705-8917-05250FA000DC}"/>
    <cellStyle name="Normal 5 7 7 3" xfId="21720" xr:uid="{47C4449F-E50C-46C5-9900-1367E4D691B0}"/>
    <cellStyle name="Normal 5 7 8" xfId="9067" xr:uid="{C4347121-D284-4BD4-9B7C-A1DAFC3CA586}"/>
    <cellStyle name="Normal 5 7 9" xfId="17503" xr:uid="{46CD9D0C-CAA7-446A-98E4-4CDFA1844C74}"/>
    <cellStyle name="Normal 5 8" xfId="880" xr:uid="{00000000-0005-0000-0000-0000D81B0000}"/>
    <cellStyle name="Normal 5 8 2" xfId="3115" xr:uid="{00000000-0005-0000-0000-0000D91B0000}"/>
    <cellStyle name="Normal 5 8 2 2" xfId="7338" xr:uid="{00000000-0005-0000-0000-0000DA1B0000}"/>
    <cellStyle name="Normal 5 8 2 2 2" xfId="15780" xr:uid="{832B7046-F64B-4310-8B8E-8E844849859B}"/>
    <cellStyle name="Normal 5 8 2 2 3" xfId="24215" xr:uid="{C562F8C6-F0A8-4094-ACA9-D78684E3BE11}"/>
    <cellStyle name="Normal 5 8 2 3" xfId="11562" xr:uid="{A15C3432-5515-4FF3-BD4E-8060110006E3}"/>
    <cellStyle name="Normal 5 8 2 4" xfId="19998" xr:uid="{F7929284-AE6B-414C-A5C6-12768C728B80}"/>
    <cellStyle name="Normal 5 8 3" xfId="5193" xr:uid="{00000000-0005-0000-0000-0000DB1B0000}"/>
    <cellStyle name="Normal 5 8 3 2" xfId="13635" xr:uid="{2F9A1AED-8A36-43CC-8889-907CA9365210}"/>
    <cellStyle name="Normal 5 8 3 3" xfId="22070" xr:uid="{BF3C3717-70BB-4C53-9CFF-F2C528C1F902}"/>
    <cellStyle name="Normal 5 8 4" xfId="9417" xr:uid="{A90E708B-0EDD-40BF-808A-63C738531CCF}"/>
    <cellStyle name="Normal 5 8 5" xfId="17853" xr:uid="{FF80A3C0-7075-4406-83D2-16D697940612}"/>
    <cellStyle name="Normal 5 9" xfId="1298" xr:uid="{00000000-0005-0000-0000-0000DC1B0000}"/>
    <cellStyle name="Normal 5 9 2" xfId="3528" xr:uid="{00000000-0005-0000-0000-0000DD1B0000}"/>
    <cellStyle name="Normal 5 9 2 2" xfId="7751" xr:uid="{00000000-0005-0000-0000-0000DE1B0000}"/>
    <cellStyle name="Normal 5 9 2 2 2" xfId="16193" xr:uid="{4E5468E1-D207-47FD-AC70-4491C119A699}"/>
    <cellStyle name="Normal 5 9 2 2 3" xfId="24628" xr:uid="{8F342654-F56A-465C-A69B-E7A5C640E5E8}"/>
    <cellStyle name="Normal 5 9 2 3" xfId="11975" xr:uid="{FF9FC929-779F-4CBC-B441-3D9C6B7C74B4}"/>
    <cellStyle name="Normal 5 9 2 4" xfId="20411" xr:uid="{EE4F0681-728B-4537-93D4-161B91A4CB0A}"/>
    <cellStyle name="Normal 5 9 3" xfId="5606" xr:uid="{00000000-0005-0000-0000-0000DF1B0000}"/>
    <cellStyle name="Normal 5 9 3 2" xfId="14048" xr:uid="{4EBF0A31-4C2D-4044-80E3-5D2412E3AECF}"/>
    <cellStyle name="Normal 5 9 3 3" xfId="22483" xr:uid="{742713E8-664E-4140-ADD9-6AD9546B611F}"/>
    <cellStyle name="Normal 5 9 4" xfId="9830" xr:uid="{D6C2DA81-6D54-4C94-8107-4658E44A0FDE}"/>
    <cellStyle name="Normal 5 9 5" xfId="18266" xr:uid="{146FC99F-6D8D-4D06-8945-4B2EF7BD78EC}"/>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2 2 2" xfId="17083" xr:uid="{B5DF7B65-1C08-4CD5-985A-D511E4A19129}"/>
    <cellStyle name="Normal 8 10 2 2 3" xfId="25518" xr:uid="{7D41672E-C490-4C0E-BDC0-CEB7C8CC0103}"/>
    <cellStyle name="Normal 8 10 2 3" xfId="12865" xr:uid="{F5D08A4A-7F5E-4CD3-902B-49AEB769CF69}"/>
    <cellStyle name="Normal 8 10 2 4" xfId="21301" xr:uid="{35A6B6CD-6C0E-43DB-8A5B-D6BBF3B4287F}"/>
    <cellStyle name="Normal 8 10 3" xfId="6496" xr:uid="{00000000-0005-0000-0000-0000EB1B0000}"/>
    <cellStyle name="Normal 8 10 3 2" xfId="14938" xr:uid="{25521DA3-A6C3-45C5-9BBA-6F1A89B10254}"/>
    <cellStyle name="Normal 8 10 3 3" xfId="23373" xr:uid="{37E02F27-438F-4524-86CE-29BC340FE1BC}"/>
    <cellStyle name="Normal 8 10 4" xfId="10720" xr:uid="{9E4383F1-0A26-4A8D-AFFA-DB6E283127FE}"/>
    <cellStyle name="Normal 8 10 5" xfId="19156" xr:uid="{73349C56-60C5-4F70-AAA2-1080252B6C5C}"/>
    <cellStyle name="Normal 8 11" xfId="2625" xr:uid="{00000000-0005-0000-0000-0000EC1B0000}"/>
    <cellStyle name="Normal 8 11 2" xfId="6909" xr:uid="{00000000-0005-0000-0000-0000ED1B0000}"/>
    <cellStyle name="Normal 8 11 2 2" xfId="15351" xr:uid="{F795DC38-F05C-4D9B-934C-46E9E47AF837}"/>
    <cellStyle name="Normal 8 11 2 3" xfId="23786" xr:uid="{C83E3AA1-6DB1-46B9-8E8C-4E4EA9C30E9A}"/>
    <cellStyle name="Normal 8 11 3" xfId="11133" xr:uid="{6CE3EF3C-8304-4DF8-83E6-777D3B1C7868}"/>
    <cellStyle name="Normal 8 11 4" xfId="19569" xr:uid="{F0139A48-6840-4F98-9FD3-E925496F5522}"/>
    <cellStyle name="Normal 8 12" xfId="4844" xr:uid="{00000000-0005-0000-0000-0000EE1B0000}"/>
    <cellStyle name="Normal 8 12 2" xfId="13286" xr:uid="{1B1979D4-DACF-4DB7-B617-2209D08A7D85}"/>
    <cellStyle name="Normal 8 12 3" xfId="21721" xr:uid="{3C73ADB0-E61E-4D43-AAE5-C5702F9DFA11}"/>
    <cellStyle name="Normal 8 13" xfId="9068" xr:uid="{B74D7B97-7CB3-45E7-9A4C-B19C4D76BDCC}"/>
    <cellStyle name="Normal 8 14" xfId="17504" xr:uid="{DB1F6A61-64A4-462B-AEB6-5F6494BFED98}"/>
    <cellStyle name="Normal 8 2" xfId="479" xr:uid="{00000000-0005-0000-0000-0000EF1B0000}"/>
    <cellStyle name="Normal 8 2 10" xfId="2626" xr:uid="{00000000-0005-0000-0000-0000F01B0000}"/>
    <cellStyle name="Normal 8 2 10 2" xfId="6910" xr:uid="{00000000-0005-0000-0000-0000F11B0000}"/>
    <cellStyle name="Normal 8 2 10 2 2" xfId="15352" xr:uid="{90D48048-43C7-4D16-8AC4-9F144656527B}"/>
    <cellStyle name="Normal 8 2 10 2 3" xfId="23787" xr:uid="{8C9C55F8-F4CB-4481-88D9-322D1C1B607A}"/>
    <cellStyle name="Normal 8 2 10 3" xfId="11134" xr:uid="{7436224C-838C-4986-A25E-B2BFAEFC0A8C}"/>
    <cellStyle name="Normal 8 2 10 4" xfId="19570" xr:uid="{3F8BEA76-4916-49EB-AD1C-E9E1A4B937FE}"/>
    <cellStyle name="Normal 8 2 11" xfId="4845" xr:uid="{00000000-0005-0000-0000-0000F21B0000}"/>
    <cellStyle name="Normal 8 2 11 2" xfId="13287" xr:uid="{74C1A7CF-EE6A-41FD-AB6B-D8636C9FB057}"/>
    <cellStyle name="Normal 8 2 11 3" xfId="21722" xr:uid="{A2A74AE0-D426-4FFE-B7F1-5981A587A0D2}"/>
    <cellStyle name="Normal 8 2 12" xfId="9069" xr:uid="{1B784D6C-28B1-45F8-B6C8-DDEB14F27A6F}"/>
    <cellStyle name="Normal 8 2 13" xfId="17505" xr:uid="{92CF0FCC-DE39-46FB-B342-EA90FF68A1C5}"/>
    <cellStyle name="Normal 8 2 2" xfId="480" xr:uid="{00000000-0005-0000-0000-0000F31B0000}"/>
    <cellStyle name="Normal 8 2 2 10" xfId="4846" xr:uid="{00000000-0005-0000-0000-0000F41B0000}"/>
    <cellStyle name="Normal 8 2 2 10 2" xfId="13288" xr:uid="{7B47AB3A-219C-44F4-98EB-EDE62BA49523}"/>
    <cellStyle name="Normal 8 2 2 10 3" xfId="21723" xr:uid="{20B81CC1-9152-4702-B890-37706A14EE05}"/>
    <cellStyle name="Normal 8 2 2 11" xfId="9070" xr:uid="{6C697B9C-63E0-40E4-804F-9162264CA6F8}"/>
    <cellStyle name="Normal 8 2 2 12" xfId="17506" xr:uid="{5A957EC1-5C5D-4A41-B5BE-0BD27DD98A70}"/>
    <cellStyle name="Normal 8 2 2 2" xfId="481" xr:uid="{00000000-0005-0000-0000-0000F51B0000}"/>
    <cellStyle name="Normal 8 2 2 2 10" xfId="9071" xr:uid="{3F9D12D4-9BAC-46FA-9B24-44ECEAEAB203}"/>
    <cellStyle name="Normal 8 2 2 2 11" xfId="17507" xr:uid="{77AF12BC-0942-420B-8D90-B5547C778F75}"/>
    <cellStyle name="Normal 8 2 2 2 2" xfId="482" xr:uid="{00000000-0005-0000-0000-0000F61B0000}"/>
    <cellStyle name="Normal 8 2 2 2 2 10" xfId="17508" xr:uid="{34FFD624-798D-4159-A81D-1D2304CBD6CB}"/>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2 2 2" xfId="15849" xr:uid="{81E234A3-BC74-4920-9A5B-3650B08C84C8}"/>
    <cellStyle name="Normal 8 2 2 2 2 2 2 2 2 3" xfId="24284" xr:uid="{11724FC4-F9D8-43FC-924E-44996C1BD77D}"/>
    <cellStyle name="Normal 8 2 2 2 2 2 2 2 3" xfId="11631" xr:uid="{1A1518C4-94D7-4B3D-87E3-3193BDD04F72}"/>
    <cellStyle name="Normal 8 2 2 2 2 2 2 2 4" xfId="20067" xr:uid="{4F5B7411-C205-4CEB-8525-3B518F7E9F9E}"/>
    <cellStyle name="Normal 8 2 2 2 2 2 2 3" xfId="5262" xr:uid="{00000000-0005-0000-0000-0000FB1B0000}"/>
    <cellStyle name="Normal 8 2 2 2 2 2 2 3 2" xfId="13704" xr:uid="{EBBBB02D-A0C5-4FB0-917A-97D5BC2DDB86}"/>
    <cellStyle name="Normal 8 2 2 2 2 2 2 3 3" xfId="22139" xr:uid="{2F13F9EE-0C1B-4666-99A7-8E864D4CB2FF}"/>
    <cellStyle name="Normal 8 2 2 2 2 2 2 4" xfId="9486" xr:uid="{F1AEB829-C53F-4D64-858A-1FE41E94459F}"/>
    <cellStyle name="Normal 8 2 2 2 2 2 2 5" xfId="17922" xr:uid="{CB4D185D-68AF-4B1E-954F-065C629D94F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2 2 2" xfId="16262" xr:uid="{5D97D701-A481-4683-9737-7892BCFCE6B2}"/>
    <cellStyle name="Normal 8 2 2 2 2 2 3 2 2 3" xfId="24697" xr:uid="{30A8DB32-9144-49F5-95CD-D19C6640AD10}"/>
    <cellStyle name="Normal 8 2 2 2 2 2 3 2 3" xfId="12044" xr:uid="{B5D694D2-A855-4F4B-BAA9-91DA4CAFBC0B}"/>
    <cellStyle name="Normal 8 2 2 2 2 2 3 2 4" xfId="20480" xr:uid="{9A528739-FCC4-4CF9-9318-93FAFD081C6F}"/>
    <cellStyle name="Normal 8 2 2 2 2 2 3 3" xfId="5675" xr:uid="{00000000-0005-0000-0000-0000FF1B0000}"/>
    <cellStyle name="Normal 8 2 2 2 2 2 3 3 2" xfId="14117" xr:uid="{569890CF-578F-451A-9812-76F8C6D55358}"/>
    <cellStyle name="Normal 8 2 2 2 2 2 3 3 3" xfId="22552" xr:uid="{C3213537-D523-42CE-84FF-BB07FEFCAD6E}"/>
    <cellStyle name="Normal 8 2 2 2 2 2 3 4" xfId="9899" xr:uid="{19C8A7BD-4646-4E30-80E8-B078C79D3954}"/>
    <cellStyle name="Normal 8 2 2 2 2 2 3 5" xfId="18335" xr:uid="{07FC2B4A-13A2-470F-9497-65C5C36E10F7}"/>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2 2 2" xfId="16675" xr:uid="{A9C9A884-9B25-48FB-BF39-F030D6F7FD5B}"/>
    <cellStyle name="Normal 8 2 2 2 2 2 4 2 2 3" xfId="25110" xr:uid="{7475EAB9-B952-4702-99A3-6E999D2A174E}"/>
    <cellStyle name="Normal 8 2 2 2 2 2 4 2 3" xfId="12457" xr:uid="{55303109-4D97-4C0A-B38F-BC6BB98F0E95}"/>
    <cellStyle name="Normal 8 2 2 2 2 2 4 2 4" xfId="20893" xr:uid="{576B0914-9961-402A-82BC-66137438AE57}"/>
    <cellStyle name="Normal 8 2 2 2 2 2 4 3" xfId="6088" xr:uid="{00000000-0005-0000-0000-0000031C0000}"/>
    <cellStyle name="Normal 8 2 2 2 2 2 4 3 2" xfId="14530" xr:uid="{5FD07F25-25E0-4BFA-A9D1-A612B12335AB}"/>
    <cellStyle name="Normal 8 2 2 2 2 2 4 3 3" xfId="22965" xr:uid="{97A1497B-AAD2-4FA9-8740-34DD07D084D4}"/>
    <cellStyle name="Normal 8 2 2 2 2 2 4 4" xfId="10312" xr:uid="{12BB25DF-708A-4B69-8E44-87EB6DF0D785}"/>
    <cellStyle name="Normal 8 2 2 2 2 2 4 5" xfId="18748" xr:uid="{81CDA58E-5225-4786-892C-303B8A59528F}"/>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2 2 2" xfId="17088" xr:uid="{D1874A1A-8CEE-4AB9-810A-B645A3D5AE45}"/>
    <cellStyle name="Normal 8 2 2 2 2 2 5 2 2 3" xfId="25523" xr:uid="{4E6A5701-E639-4F0A-8F03-9F8AA9BFFD40}"/>
    <cellStyle name="Normal 8 2 2 2 2 2 5 2 3" xfId="12870" xr:uid="{EF1AE0B2-652C-4469-970E-6CD223530834}"/>
    <cellStyle name="Normal 8 2 2 2 2 2 5 2 4" xfId="21306" xr:uid="{190EAF1E-7387-4A20-A23D-4A2927963CA4}"/>
    <cellStyle name="Normal 8 2 2 2 2 2 5 3" xfId="6501" xr:uid="{00000000-0005-0000-0000-0000071C0000}"/>
    <cellStyle name="Normal 8 2 2 2 2 2 5 3 2" xfId="14943" xr:uid="{EB8A0F3F-E366-4CAD-B09E-9CF9D27C2E5A}"/>
    <cellStyle name="Normal 8 2 2 2 2 2 5 3 3" xfId="23378" xr:uid="{699C141B-A144-4058-9BC7-6DC12538119D}"/>
    <cellStyle name="Normal 8 2 2 2 2 2 5 4" xfId="10725" xr:uid="{6ADD15C2-16A8-4C7C-9B63-DC5571E21FA5}"/>
    <cellStyle name="Normal 8 2 2 2 2 2 5 5" xfId="19161" xr:uid="{9767704A-28D9-4FA4-BF2A-F802F581518B}"/>
    <cellStyle name="Normal 8 2 2 2 2 2 6" xfId="2630" xr:uid="{00000000-0005-0000-0000-0000081C0000}"/>
    <cellStyle name="Normal 8 2 2 2 2 2 6 2" xfId="6914" xr:uid="{00000000-0005-0000-0000-0000091C0000}"/>
    <cellStyle name="Normal 8 2 2 2 2 2 6 2 2" xfId="15356" xr:uid="{28DCAE23-0F94-453B-AEA0-F5DF41791573}"/>
    <cellStyle name="Normal 8 2 2 2 2 2 6 2 3" xfId="23791" xr:uid="{FE7A6772-2541-4867-B8B8-E763825FEA5F}"/>
    <cellStyle name="Normal 8 2 2 2 2 2 6 3" xfId="11138" xr:uid="{85DF2D23-235B-473E-A9F8-11A9806D1FA6}"/>
    <cellStyle name="Normal 8 2 2 2 2 2 6 4" xfId="19574" xr:uid="{C83B512F-3D4E-41DF-8956-D759DF78DC75}"/>
    <cellStyle name="Normal 8 2 2 2 2 2 7" xfId="4849" xr:uid="{00000000-0005-0000-0000-00000A1C0000}"/>
    <cellStyle name="Normal 8 2 2 2 2 2 7 2" xfId="13291" xr:uid="{FA14CDC7-4FFB-4835-9DAA-2D8DD084AABB}"/>
    <cellStyle name="Normal 8 2 2 2 2 2 7 3" xfId="21726" xr:uid="{0C732118-2EB9-4A88-8EBA-A20F306E9A7B}"/>
    <cellStyle name="Normal 8 2 2 2 2 2 8" xfId="9073" xr:uid="{EFB30557-B076-4F06-87D9-2FE73AC8FB19}"/>
    <cellStyle name="Normal 8 2 2 2 2 2 9" xfId="17509" xr:uid="{1D8AAF7A-3E1E-4260-ACCF-D6A547826121}"/>
    <cellStyle name="Normal 8 2 2 2 2 3" xfId="949" xr:uid="{00000000-0005-0000-0000-00000B1C0000}"/>
    <cellStyle name="Normal 8 2 2 2 2 3 2" xfId="3183" xr:uid="{00000000-0005-0000-0000-00000C1C0000}"/>
    <cellStyle name="Normal 8 2 2 2 2 3 2 2" xfId="7406" xr:uid="{00000000-0005-0000-0000-00000D1C0000}"/>
    <cellStyle name="Normal 8 2 2 2 2 3 2 2 2" xfId="15848" xr:uid="{373FC8DD-BB35-4C58-854A-5426D2D5436F}"/>
    <cellStyle name="Normal 8 2 2 2 2 3 2 2 3" xfId="24283" xr:uid="{6D29217A-09B7-42C8-BBF7-CA593257331B}"/>
    <cellStyle name="Normal 8 2 2 2 2 3 2 3" xfId="11630" xr:uid="{831554BA-99C5-4957-8758-9B0139201563}"/>
    <cellStyle name="Normal 8 2 2 2 2 3 2 4" xfId="20066" xr:uid="{C29DDF47-8E35-4D13-918C-4718C699ED99}"/>
    <cellStyle name="Normal 8 2 2 2 2 3 3" xfId="5261" xr:uid="{00000000-0005-0000-0000-00000E1C0000}"/>
    <cellStyle name="Normal 8 2 2 2 2 3 3 2" xfId="13703" xr:uid="{4A71380B-9D89-4C24-A55C-071AEA5A8B4F}"/>
    <cellStyle name="Normal 8 2 2 2 2 3 3 3" xfId="22138" xr:uid="{067F8826-DB80-4E9F-86FA-3D52A54E1E3E}"/>
    <cellStyle name="Normal 8 2 2 2 2 3 4" xfId="9485" xr:uid="{800E67F3-2D4C-4A0E-928A-21922DDEE1DD}"/>
    <cellStyle name="Normal 8 2 2 2 2 3 5" xfId="17921" xr:uid="{FA573BEC-2D44-4D88-8526-91C9215E7092}"/>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2 2 2" xfId="16261" xr:uid="{1E781B5E-9D62-428C-9FA7-688441B62A08}"/>
    <cellStyle name="Normal 8 2 2 2 2 4 2 2 3" xfId="24696" xr:uid="{D29CE2B5-227F-4E16-87D3-A77992F055C4}"/>
    <cellStyle name="Normal 8 2 2 2 2 4 2 3" xfId="12043" xr:uid="{7C0C23CC-0B89-4D46-A7BA-69E25D4BCBE8}"/>
    <cellStyle name="Normal 8 2 2 2 2 4 2 4" xfId="20479" xr:uid="{1724385D-502C-40C4-BBA1-BEFE2B3B1C7A}"/>
    <cellStyle name="Normal 8 2 2 2 2 4 3" xfId="5674" xr:uid="{00000000-0005-0000-0000-0000121C0000}"/>
    <cellStyle name="Normal 8 2 2 2 2 4 3 2" xfId="14116" xr:uid="{2C6E520B-AFB5-4B02-A03A-566A64F87C71}"/>
    <cellStyle name="Normal 8 2 2 2 2 4 3 3" xfId="22551" xr:uid="{62CE8116-E077-467E-9B22-89891372316C}"/>
    <cellStyle name="Normal 8 2 2 2 2 4 4" xfId="9898" xr:uid="{A7C1A593-65ED-450B-835A-CE8CF06AEC65}"/>
    <cellStyle name="Normal 8 2 2 2 2 4 5" xfId="18334" xr:uid="{EF059C2F-9E80-446C-9E61-E4B2D26798E5}"/>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2 2 2" xfId="16674" xr:uid="{12E4A7B0-CDA5-410F-9916-0AC111AEF956}"/>
    <cellStyle name="Normal 8 2 2 2 2 5 2 2 3" xfId="25109" xr:uid="{20C2AE98-BE65-4538-AD62-28747379B253}"/>
    <cellStyle name="Normal 8 2 2 2 2 5 2 3" xfId="12456" xr:uid="{269FCAE2-F129-4DAA-9447-99F9886B7161}"/>
    <cellStyle name="Normal 8 2 2 2 2 5 2 4" xfId="20892" xr:uid="{725B292D-9493-4C7D-B87A-79AD1C0C2DB2}"/>
    <cellStyle name="Normal 8 2 2 2 2 5 3" xfId="6087" xr:uid="{00000000-0005-0000-0000-0000161C0000}"/>
    <cellStyle name="Normal 8 2 2 2 2 5 3 2" xfId="14529" xr:uid="{6DF61925-30A0-4D7E-BB31-9D0DB2B35123}"/>
    <cellStyle name="Normal 8 2 2 2 2 5 3 3" xfId="22964" xr:uid="{675FA61B-D594-49B7-B38D-DD289277995F}"/>
    <cellStyle name="Normal 8 2 2 2 2 5 4" xfId="10311" xr:uid="{C412FCD0-ACA5-43B6-8147-849B21344392}"/>
    <cellStyle name="Normal 8 2 2 2 2 5 5" xfId="18747" xr:uid="{F357AF8F-D143-491C-8FB8-2080363154E8}"/>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2 2 2" xfId="17087" xr:uid="{62BCDD91-3AF4-4807-8A94-77A7A73346FC}"/>
    <cellStyle name="Normal 8 2 2 2 2 6 2 2 3" xfId="25522" xr:uid="{E29D0192-63A2-4ECA-820D-A5A1F688C3D9}"/>
    <cellStyle name="Normal 8 2 2 2 2 6 2 3" xfId="12869" xr:uid="{28360718-FD6F-42CE-B4C7-AD4E3276CBE9}"/>
    <cellStyle name="Normal 8 2 2 2 2 6 2 4" xfId="21305" xr:uid="{861A4351-8950-426A-B4A7-7933325179C7}"/>
    <cellStyle name="Normal 8 2 2 2 2 6 3" xfId="6500" xr:uid="{00000000-0005-0000-0000-00001A1C0000}"/>
    <cellStyle name="Normal 8 2 2 2 2 6 3 2" xfId="14942" xr:uid="{BCC9C613-21B9-41B2-BF18-CC2E033B2206}"/>
    <cellStyle name="Normal 8 2 2 2 2 6 3 3" xfId="23377" xr:uid="{F78E2326-F706-4D80-ACFF-957FE9569A47}"/>
    <cellStyle name="Normal 8 2 2 2 2 6 4" xfId="10724" xr:uid="{38A3CE45-236D-462C-AF38-4C79ACCB53FA}"/>
    <cellStyle name="Normal 8 2 2 2 2 6 5" xfId="19160" xr:uid="{184A7686-77F8-4854-B5B8-FDB38F6261BC}"/>
    <cellStyle name="Normal 8 2 2 2 2 7" xfId="2629" xr:uid="{00000000-0005-0000-0000-00001B1C0000}"/>
    <cellStyle name="Normal 8 2 2 2 2 7 2" xfId="6913" xr:uid="{00000000-0005-0000-0000-00001C1C0000}"/>
    <cellStyle name="Normal 8 2 2 2 2 7 2 2" xfId="15355" xr:uid="{C507CB8F-18ED-4086-A5EE-694C2EB141FC}"/>
    <cellStyle name="Normal 8 2 2 2 2 7 2 3" xfId="23790" xr:uid="{BC8BC875-E41B-4B66-8632-56672ED9AA52}"/>
    <cellStyle name="Normal 8 2 2 2 2 7 3" xfId="11137" xr:uid="{8C6A348C-395C-47A3-B043-69F7548CF2D9}"/>
    <cellStyle name="Normal 8 2 2 2 2 7 4" xfId="19573" xr:uid="{9BA5C4D1-43D9-4944-BCF5-07745F50286B}"/>
    <cellStyle name="Normal 8 2 2 2 2 8" xfId="4848" xr:uid="{00000000-0005-0000-0000-00001D1C0000}"/>
    <cellStyle name="Normal 8 2 2 2 2 8 2" xfId="13290" xr:uid="{EEE0087C-0674-4F06-BDEE-C6972A263E3A}"/>
    <cellStyle name="Normal 8 2 2 2 2 8 3" xfId="21725" xr:uid="{BFCF7E6F-B49B-4D3A-8769-342E53B56B9A}"/>
    <cellStyle name="Normal 8 2 2 2 2 9" xfId="9072" xr:uid="{8E1BDAB2-15D0-4FC9-AEE3-DC0AE75A2161}"/>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2 2 2" xfId="15850" xr:uid="{72D7AD85-D389-4F1C-96E7-7E5A2CE4484E}"/>
    <cellStyle name="Normal 8 2 2 2 3 2 2 2 3" xfId="24285" xr:uid="{CA85BEDB-31C3-4B76-8463-AC592A97A1F1}"/>
    <cellStyle name="Normal 8 2 2 2 3 2 2 3" xfId="11632" xr:uid="{A53FBA8A-141B-4533-9132-6DDF9C8982DF}"/>
    <cellStyle name="Normal 8 2 2 2 3 2 2 4" xfId="20068" xr:uid="{C1D910CD-6C80-4A41-8DB8-C46678805BC9}"/>
    <cellStyle name="Normal 8 2 2 2 3 2 3" xfId="5263" xr:uid="{00000000-0005-0000-0000-0000221C0000}"/>
    <cellStyle name="Normal 8 2 2 2 3 2 3 2" xfId="13705" xr:uid="{EBBDF2F4-DCD3-4407-A8ED-C3E57507EA5E}"/>
    <cellStyle name="Normal 8 2 2 2 3 2 3 3" xfId="22140" xr:uid="{BC75665D-F2C0-4F65-A6F8-9BDFF547DF96}"/>
    <cellStyle name="Normal 8 2 2 2 3 2 4" xfId="9487" xr:uid="{CEE7AA0D-2F3E-482D-BF71-A2981AA48BF3}"/>
    <cellStyle name="Normal 8 2 2 2 3 2 5" xfId="17923" xr:uid="{CEF41E6E-F7EB-4888-86FC-70886E1DDE7F}"/>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2 2 2" xfId="16263" xr:uid="{697CA502-EFCE-4B35-BA82-B67790F56B77}"/>
    <cellStyle name="Normal 8 2 2 2 3 3 2 2 3" xfId="24698" xr:uid="{30ECD6EC-77EA-4068-8117-BFB631FF86CC}"/>
    <cellStyle name="Normal 8 2 2 2 3 3 2 3" xfId="12045" xr:uid="{C33A0D19-F70C-4EFF-8BF3-7C7879D1AF22}"/>
    <cellStyle name="Normal 8 2 2 2 3 3 2 4" xfId="20481" xr:uid="{F7FFAE91-40F3-4823-93E3-BEB66627B529}"/>
    <cellStyle name="Normal 8 2 2 2 3 3 3" xfId="5676" xr:uid="{00000000-0005-0000-0000-0000261C0000}"/>
    <cellStyle name="Normal 8 2 2 2 3 3 3 2" xfId="14118" xr:uid="{5249C42D-2602-4D96-869C-81DDFB16FBB9}"/>
    <cellStyle name="Normal 8 2 2 2 3 3 3 3" xfId="22553" xr:uid="{D4FAC10E-881C-41A8-BBBF-996E329BD5E9}"/>
    <cellStyle name="Normal 8 2 2 2 3 3 4" xfId="9900" xr:uid="{EEEACB47-F337-4EAE-9FEC-831B3A562E6D}"/>
    <cellStyle name="Normal 8 2 2 2 3 3 5" xfId="18336" xr:uid="{B7825140-1BFA-47EA-9D8B-66C555D82C75}"/>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2 2 2" xfId="16676" xr:uid="{B1636CF0-50F3-41E7-BFE9-0DCA6E8D4706}"/>
    <cellStyle name="Normal 8 2 2 2 3 4 2 2 3" xfId="25111" xr:uid="{C246F8D8-B8AD-46E2-A947-C479353BD990}"/>
    <cellStyle name="Normal 8 2 2 2 3 4 2 3" xfId="12458" xr:uid="{D48EBAF1-11BB-4F6F-8B92-DBEF273D7BB2}"/>
    <cellStyle name="Normal 8 2 2 2 3 4 2 4" xfId="20894" xr:uid="{4AA82B20-436E-40B6-9C8C-5B8FFD1956B5}"/>
    <cellStyle name="Normal 8 2 2 2 3 4 3" xfId="6089" xr:uid="{00000000-0005-0000-0000-00002A1C0000}"/>
    <cellStyle name="Normal 8 2 2 2 3 4 3 2" xfId="14531" xr:uid="{011BDF44-6604-4411-9544-7C61733D39E6}"/>
    <cellStyle name="Normal 8 2 2 2 3 4 3 3" xfId="22966" xr:uid="{162AD013-CBCD-4694-B708-FB4B826528FE}"/>
    <cellStyle name="Normal 8 2 2 2 3 4 4" xfId="10313" xr:uid="{682342D8-9040-4C37-AF97-EA65146E0141}"/>
    <cellStyle name="Normal 8 2 2 2 3 4 5" xfId="18749" xr:uid="{86F2C334-13E2-4E12-A691-EDE03DFF8643}"/>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2 2 2" xfId="17089" xr:uid="{0EDE55B8-B0D7-439A-B480-A2549DF67772}"/>
    <cellStyle name="Normal 8 2 2 2 3 5 2 2 3" xfId="25524" xr:uid="{1C5392AC-EFE3-484C-ABC5-69DA102AE350}"/>
    <cellStyle name="Normal 8 2 2 2 3 5 2 3" xfId="12871" xr:uid="{B4F62DE6-8988-4AAA-B521-D9A564FDAEEA}"/>
    <cellStyle name="Normal 8 2 2 2 3 5 2 4" xfId="21307" xr:uid="{0C5D9DC6-E373-412E-A3DF-0909A2BA1A8B}"/>
    <cellStyle name="Normal 8 2 2 2 3 5 3" xfId="6502" xr:uid="{00000000-0005-0000-0000-00002E1C0000}"/>
    <cellStyle name="Normal 8 2 2 2 3 5 3 2" xfId="14944" xr:uid="{34218789-BE9A-445F-8FD3-C82FDDD2A8DE}"/>
    <cellStyle name="Normal 8 2 2 2 3 5 3 3" xfId="23379" xr:uid="{7413A951-1A69-43A6-BD90-F1C6A7D4E40B}"/>
    <cellStyle name="Normal 8 2 2 2 3 5 4" xfId="10726" xr:uid="{D9F7EAEF-2B32-4D8A-B90C-0FEB643792BE}"/>
    <cellStyle name="Normal 8 2 2 2 3 5 5" xfId="19162" xr:uid="{56261035-6E7D-4E0B-809E-542D4EF2465F}"/>
    <cellStyle name="Normal 8 2 2 2 3 6" xfId="2631" xr:uid="{00000000-0005-0000-0000-00002F1C0000}"/>
    <cellStyle name="Normal 8 2 2 2 3 6 2" xfId="6915" xr:uid="{00000000-0005-0000-0000-0000301C0000}"/>
    <cellStyle name="Normal 8 2 2 2 3 6 2 2" xfId="15357" xr:uid="{AA347BA0-E467-43D7-8DAA-0695E9341451}"/>
    <cellStyle name="Normal 8 2 2 2 3 6 2 3" xfId="23792" xr:uid="{6AAE00D5-173C-4D44-B234-B8050DC48D5A}"/>
    <cellStyle name="Normal 8 2 2 2 3 6 3" xfId="11139" xr:uid="{519B0BD2-303A-435C-A5F7-17A54BC71E0C}"/>
    <cellStyle name="Normal 8 2 2 2 3 6 4" xfId="19575" xr:uid="{470055A6-46B4-4080-BAB8-76EA5A1CDA2E}"/>
    <cellStyle name="Normal 8 2 2 2 3 7" xfId="4850" xr:uid="{00000000-0005-0000-0000-0000311C0000}"/>
    <cellStyle name="Normal 8 2 2 2 3 7 2" xfId="13292" xr:uid="{F1B0206A-FFE6-42CA-8E1B-F518C992CABA}"/>
    <cellStyle name="Normal 8 2 2 2 3 7 3" xfId="21727" xr:uid="{84A9AE19-7AA0-4348-8D13-8BDF6C88A538}"/>
    <cellStyle name="Normal 8 2 2 2 3 8" xfId="9074" xr:uid="{AB5AB5DF-21E3-4DDA-A28F-3E32848D4012}"/>
    <cellStyle name="Normal 8 2 2 2 3 9" xfId="17510" xr:uid="{651C32D7-76A8-4F26-8DF0-0D7A3B990870}"/>
    <cellStyle name="Normal 8 2 2 2 4" xfId="948" xr:uid="{00000000-0005-0000-0000-0000321C0000}"/>
    <cellStyle name="Normal 8 2 2 2 4 2" xfId="3182" xr:uid="{00000000-0005-0000-0000-0000331C0000}"/>
    <cellStyle name="Normal 8 2 2 2 4 2 2" xfId="7405" xr:uid="{00000000-0005-0000-0000-0000341C0000}"/>
    <cellStyle name="Normal 8 2 2 2 4 2 2 2" xfId="15847" xr:uid="{0C9A963F-463E-4816-B4EC-8C5A0AEC97F4}"/>
    <cellStyle name="Normal 8 2 2 2 4 2 2 3" xfId="24282" xr:uid="{74550B07-E6BB-4929-9C0A-FE59CCD46FBF}"/>
    <cellStyle name="Normal 8 2 2 2 4 2 3" xfId="11629" xr:uid="{FD022836-303D-46A2-AD39-9C3D8A4AE31B}"/>
    <cellStyle name="Normal 8 2 2 2 4 2 4" xfId="20065" xr:uid="{89A5E907-069E-4B15-99EF-0FD245E1B7F3}"/>
    <cellStyle name="Normal 8 2 2 2 4 3" xfId="5260" xr:uid="{00000000-0005-0000-0000-0000351C0000}"/>
    <cellStyle name="Normal 8 2 2 2 4 3 2" xfId="13702" xr:uid="{D7DDC027-49AD-454D-9FCA-C7598B9FFD8E}"/>
    <cellStyle name="Normal 8 2 2 2 4 3 3" xfId="22137" xr:uid="{69D27210-B2C1-494C-9528-E109631CCAB5}"/>
    <cellStyle name="Normal 8 2 2 2 4 4" xfId="9484" xr:uid="{0DC5A283-D282-46F5-B273-C19780C05727}"/>
    <cellStyle name="Normal 8 2 2 2 4 5" xfId="17920" xr:uid="{F7D5EE24-7534-4338-AF91-106A545B5523}"/>
    <cellStyle name="Normal 8 2 2 2 5" xfId="1365" xr:uid="{00000000-0005-0000-0000-0000361C0000}"/>
    <cellStyle name="Normal 8 2 2 2 5 2" xfId="3595" xr:uid="{00000000-0005-0000-0000-0000371C0000}"/>
    <cellStyle name="Normal 8 2 2 2 5 2 2" xfId="7818" xr:uid="{00000000-0005-0000-0000-0000381C0000}"/>
    <cellStyle name="Normal 8 2 2 2 5 2 2 2" xfId="16260" xr:uid="{6F988B1A-B715-4CB2-BD4B-F8D0BF89810D}"/>
    <cellStyle name="Normal 8 2 2 2 5 2 2 3" xfId="24695" xr:uid="{1C440A97-6E9B-49E9-BE92-3A443B7E3DEA}"/>
    <cellStyle name="Normal 8 2 2 2 5 2 3" xfId="12042" xr:uid="{73F82427-55B3-4708-8B47-9022D6A53FE3}"/>
    <cellStyle name="Normal 8 2 2 2 5 2 4" xfId="20478" xr:uid="{14E11E3B-3EC5-49E0-BA25-7863C934B742}"/>
    <cellStyle name="Normal 8 2 2 2 5 3" xfId="5673" xr:uid="{00000000-0005-0000-0000-0000391C0000}"/>
    <cellStyle name="Normal 8 2 2 2 5 3 2" xfId="14115" xr:uid="{5BDAA1C8-E689-4033-82EA-D90930E5B110}"/>
    <cellStyle name="Normal 8 2 2 2 5 3 3" xfId="22550" xr:uid="{45E8BC2D-3A3A-4F27-B58E-214B8FB09F55}"/>
    <cellStyle name="Normal 8 2 2 2 5 4" xfId="9897" xr:uid="{71D7BEEE-F64A-4CA0-9589-11C41282BD7D}"/>
    <cellStyle name="Normal 8 2 2 2 5 5" xfId="18333" xr:uid="{ECF0444E-86CB-4B8A-ADE6-A2AC89A5CCA5}"/>
    <cellStyle name="Normal 8 2 2 2 6" xfId="1778" xr:uid="{00000000-0005-0000-0000-00003A1C0000}"/>
    <cellStyle name="Normal 8 2 2 2 6 2" xfId="4008" xr:uid="{00000000-0005-0000-0000-00003B1C0000}"/>
    <cellStyle name="Normal 8 2 2 2 6 2 2" xfId="8231" xr:uid="{00000000-0005-0000-0000-00003C1C0000}"/>
    <cellStyle name="Normal 8 2 2 2 6 2 2 2" xfId="16673" xr:uid="{FF3C490A-81B8-428B-A387-DBEA7ECD0737}"/>
    <cellStyle name="Normal 8 2 2 2 6 2 2 3" xfId="25108" xr:uid="{8EB80087-FA21-4DD2-AE69-87FAB493AE74}"/>
    <cellStyle name="Normal 8 2 2 2 6 2 3" xfId="12455" xr:uid="{2F618C65-C699-4419-8A82-722BEEE1A21C}"/>
    <cellStyle name="Normal 8 2 2 2 6 2 4" xfId="20891" xr:uid="{780A7C60-A6E5-432E-AFDB-424778639F4F}"/>
    <cellStyle name="Normal 8 2 2 2 6 3" xfId="6086" xr:uid="{00000000-0005-0000-0000-00003D1C0000}"/>
    <cellStyle name="Normal 8 2 2 2 6 3 2" xfId="14528" xr:uid="{E337B451-0DD3-4056-A532-3A52FCDFBC71}"/>
    <cellStyle name="Normal 8 2 2 2 6 3 3" xfId="22963" xr:uid="{DA22C273-34A7-4F26-8B2A-6052F357E7C7}"/>
    <cellStyle name="Normal 8 2 2 2 6 4" xfId="10310" xr:uid="{36184ACE-64C2-4000-ADA8-F0CDEC465D90}"/>
    <cellStyle name="Normal 8 2 2 2 6 5" xfId="18746" xr:uid="{4DD74F82-75D2-4E7E-BD99-0534E0FB0413}"/>
    <cellStyle name="Normal 8 2 2 2 7" xfId="2192" xr:uid="{00000000-0005-0000-0000-00003E1C0000}"/>
    <cellStyle name="Normal 8 2 2 2 7 2" xfId="4421" xr:uid="{00000000-0005-0000-0000-00003F1C0000}"/>
    <cellStyle name="Normal 8 2 2 2 7 2 2" xfId="8644" xr:uid="{00000000-0005-0000-0000-0000401C0000}"/>
    <cellStyle name="Normal 8 2 2 2 7 2 2 2" xfId="17086" xr:uid="{EB34C7A4-5E92-4B91-8D2F-8A85637AC2E4}"/>
    <cellStyle name="Normal 8 2 2 2 7 2 2 3" xfId="25521" xr:uid="{BC342C3E-EAD5-4AE4-A25B-B7DE8735DC9C}"/>
    <cellStyle name="Normal 8 2 2 2 7 2 3" xfId="12868" xr:uid="{F2F1E9EE-B55A-4127-BEF8-B5222D763776}"/>
    <cellStyle name="Normal 8 2 2 2 7 2 4" xfId="21304" xr:uid="{C7C351A5-9909-4BFE-AC1F-A5DB15138106}"/>
    <cellStyle name="Normal 8 2 2 2 7 3" xfId="6499" xr:uid="{00000000-0005-0000-0000-0000411C0000}"/>
    <cellStyle name="Normal 8 2 2 2 7 3 2" xfId="14941" xr:uid="{5997C019-6C8E-49AC-8EDD-01174A194914}"/>
    <cellStyle name="Normal 8 2 2 2 7 3 3" xfId="23376" xr:uid="{F958E916-CC60-4529-AAED-CCC318605471}"/>
    <cellStyle name="Normal 8 2 2 2 7 4" xfId="10723" xr:uid="{6127991F-0576-4090-8648-948E3B6D2AAE}"/>
    <cellStyle name="Normal 8 2 2 2 7 5" xfId="19159" xr:uid="{5E0AEF2B-D518-473D-BB85-87B67A472543}"/>
    <cellStyle name="Normal 8 2 2 2 8" xfId="2628" xr:uid="{00000000-0005-0000-0000-0000421C0000}"/>
    <cellStyle name="Normal 8 2 2 2 8 2" xfId="6912" xr:uid="{00000000-0005-0000-0000-0000431C0000}"/>
    <cellStyle name="Normal 8 2 2 2 8 2 2" xfId="15354" xr:uid="{43DB8F54-2669-42F8-A64C-C18747732259}"/>
    <cellStyle name="Normal 8 2 2 2 8 2 3" xfId="23789" xr:uid="{D2B710E8-2110-4F80-893D-7DCB3B2C8F8B}"/>
    <cellStyle name="Normal 8 2 2 2 8 3" xfId="11136" xr:uid="{1603F521-851F-4209-8B74-CD13C33BAEF8}"/>
    <cellStyle name="Normal 8 2 2 2 8 4" xfId="19572" xr:uid="{0FCECA9B-D880-4F26-9D38-6E099E483DBA}"/>
    <cellStyle name="Normal 8 2 2 2 9" xfId="4847" xr:uid="{00000000-0005-0000-0000-0000441C0000}"/>
    <cellStyle name="Normal 8 2 2 2 9 2" xfId="13289" xr:uid="{0F37A886-1DCD-4E18-9B7B-18179BB840BC}"/>
    <cellStyle name="Normal 8 2 2 2 9 3" xfId="21724" xr:uid="{CF01BF8B-DE79-4645-BB22-418B5ED15703}"/>
    <cellStyle name="Normal 8 2 2 3" xfId="485" xr:uid="{00000000-0005-0000-0000-0000451C0000}"/>
    <cellStyle name="Normal 8 2 2 3 10" xfId="17511" xr:uid="{DDFC17E8-5A76-456A-9F14-5464BA593838}"/>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2 2 2" xfId="15852" xr:uid="{8716E67A-7852-4659-A818-222CA9BB0A6E}"/>
    <cellStyle name="Normal 8 2 2 3 2 2 2 2 3" xfId="24287" xr:uid="{CE5E8381-D2A4-4074-B1A2-5ECEB5FABBF8}"/>
    <cellStyle name="Normal 8 2 2 3 2 2 2 3" xfId="11634" xr:uid="{05BEEB1D-4210-4C6E-9A7A-4B6139AF46C2}"/>
    <cellStyle name="Normal 8 2 2 3 2 2 2 4" xfId="20070" xr:uid="{9C50E817-A7A6-4449-A700-83418AE96A80}"/>
    <cellStyle name="Normal 8 2 2 3 2 2 3" xfId="5265" xr:uid="{00000000-0005-0000-0000-00004A1C0000}"/>
    <cellStyle name="Normal 8 2 2 3 2 2 3 2" xfId="13707" xr:uid="{FF4C6F3A-5429-4021-AAF1-5B2B57442FAD}"/>
    <cellStyle name="Normal 8 2 2 3 2 2 3 3" xfId="22142" xr:uid="{5BE6004F-86C1-400A-A4D8-3DFA04C84EB0}"/>
    <cellStyle name="Normal 8 2 2 3 2 2 4" xfId="9489" xr:uid="{BCD056BA-F3EB-494D-BC02-5A88DF6CD4A7}"/>
    <cellStyle name="Normal 8 2 2 3 2 2 5" xfId="17925" xr:uid="{C8B3FE8B-9FF9-488C-8E85-20AE1431C6D4}"/>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2 2 2" xfId="16265" xr:uid="{78EA7F52-5ED0-4E62-9DB7-7D1B6200BBE9}"/>
    <cellStyle name="Normal 8 2 2 3 2 3 2 2 3" xfId="24700" xr:uid="{B067BB80-67C3-4A8F-AAE8-1F9403EF7905}"/>
    <cellStyle name="Normal 8 2 2 3 2 3 2 3" xfId="12047" xr:uid="{AC916171-D890-44B3-831E-3C721339444D}"/>
    <cellStyle name="Normal 8 2 2 3 2 3 2 4" xfId="20483" xr:uid="{893A1D5F-FDED-4A1F-87DC-B0FA7E18BF60}"/>
    <cellStyle name="Normal 8 2 2 3 2 3 3" xfId="5678" xr:uid="{00000000-0005-0000-0000-00004E1C0000}"/>
    <cellStyle name="Normal 8 2 2 3 2 3 3 2" xfId="14120" xr:uid="{7B39504B-470F-40EF-9476-C06E5998CCAF}"/>
    <cellStyle name="Normal 8 2 2 3 2 3 3 3" xfId="22555" xr:uid="{5AFA4503-9AD0-40FB-A3D5-4F6A523A001F}"/>
    <cellStyle name="Normal 8 2 2 3 2 3 4" xfId="9902" xr:uid="{7CD14D7E-056B-43E7-BF46-3BEA03754F42}"/>
    <cellStyle name="Normal 8 2 2 3 2 3 5" xfId="18338" xr:uid="{CE477532-6FC2-4ECE-882C-5D2B2C1CBBC4}"/>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2 2 2" xfId="16678" xr:uid="{9E517098-7B7D-4E6C-BD48-4BD429730D68}"/>
    <cellStyle name="Normal 8 2 2 3 2 4 2 2 3" xfId="25113" xr:uid="{B7AFD5BE-52B4-4053-9771-16951DA227BC}"/>
    <cellStyle name="Normal 8 2 2 3 2 4 2 3" xfId="12460" xr:uid="{E1EFBA75-1E4C-4B3D-A490-32DA1D695336}"/>
    <cellStyle name="Normal 8 2 2 3 2 4 2 4" xfId="20896" xr:uid="{B2200587-0974-4D86-8E99-363E64C1893C}"/>
    <cellStyle name="Normal 8 2 2 3 2 4 3" xfId="6091" xr:uid="{00000000-0005-0000-0000-0000521C0000}"/>
    <cellStyle name="Normal 8 2 2 3 2 4 3 2" xfId="14533" xr:uid="{0888B0D4-948A-46EE-9570-69D6CF6E4245}"/>
    <cellStyle name="Normal 8 2 2 3 2 4 3 3" xfId="22968" xr:uid="{2F435D9D-1E3C-4D9E-A0B4-F2B1ADA4B9C5}"/>
    <cellStyle name="Normal 8 2 2 3 2 4 4" xfId="10315" xr:uid="{8FE3DBAD-DD38-4BAD-9C28-BFAC73D13FA8}"/>
    <cellStyle name="Normal 8 2 2 3 2 4 5" xfId="18751" xr:uid="{B8C22339-8D06-42C3-AF6C-A48D30305A29}"/>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2 2 2" xfId="17091" xr:uid="{78D48B5E-10C6-4654-9051-164D17904DC2}"/>
    <cellStyle name="Normal 8 2 2 3 2 5 2 2 3" xfId="25526" xr:uid="{ABADD807-DFE3-4BB7-B257-EDA56287A831}"/>
    <cellStyle name="Normal 8 2 2 3 2 5 2 3" xfId="12873" xr:uid="{0E14396F-DDE9-4442-A2A4-28A1D2998C80}"/>
    <cellStyle name="Normal 8 2 2 3 2 5 2 4" xfId="21309" xr:uid="{4AE12B3E-469D-4D04-9096-EFF9C1F1A5EB}"/>
    <cellStyle name="Normal 8 2 2 3 2 5 3" xfId="6504" xr:uid="{00000000-0005-0000-0000-0000561C0000}"/>
    <cellStyle name="Normal 8 2 2 3 2 5 3 2" xfId="14946" xr:uid="{AAEB5E50-63C1-415C-AB96-67F1AA6648AB}"/>
    <cellStyle name="Normal 8 2 2 3 2 5 3 3" xfId="23381" xr:uid="{681D5E73-18DA-4C9D-A259-4C495BF5ADF1}"/>
    <cellStyle name="Normal 8 2 2 3 2 5 4" xfId="10728" xr:uid="{C54F8CBB-82FC-4DEC-97F5-489F3B2D6EC5}"/>
    <cellStyle name="Normal 8 2 2 3 2 5 5" xfId="19164" xr:uid="{22975897-878E-4222-8047-F34BDD417FE7}"/>
    <cellStyle name="Normal 8 2 2 3 2 6" xfId="2633" xr:uid="{00000000-0005-0000-0000-0000571C0000}"/>
    <cellStyle name="Normal 8 2 2 3 2 6 2" xfId="6917" xr:uid="{00000000-0005-0000-0000-0000581C0000}"/>
    <cellStyle name="Normal 8 2 2 3 2 6 2 2" xfId="15359" xr:uid="{0383D934-D45A-47B5-99B3-F4EC22EA379A}"/>
    <cellStyle name="Normal 8 2 2 3 2 6 2 3" xfId="23794" xr:uid="{F50E8EAE-4979-4E4A-BE9B-DF23DD60B5AD}"/>
    <cellStyle name="Normal 8 2 2 3 2 6 3" xfId="11141" xr:uid="{840BC6EA-5254-40EA-9BBD-8D8D2EEFCE62}"/>
    <cellStyle name="Normal 8 2 2 3 2 6 4" xfId="19577" xr:uid="{5E12939F-7FC2-4BB3-AEAD-462B930F6A5D}"/>
    <cellStyle name="Normal 8 2 2 3 2 7" xfId="4852" xr:uid="{00000000-0005-0000-0000-0000591C0000}"/>
    <cellStyle name="Normal 8 2 2 3 2 7 2" xfId="13294" xr:uid="{D714DF42-9B88-4A63-8222-61B05C744BED}"/>
    <cellStyle name="Normal 8 2 2 3 2 7 3" xfId="21729" xr:uid="{6A2F782F-389D-45EB-9D34-9CACA10FD259}"/>
    <cellStyle name="Normal 8 2 2 3 2 8" xfId="9076" xr:uid="{802A455E-27C8-447F-A6CE-A80746B24DF7}"/>
    <cellStyle name="Normal 8 2 2 3 2 9" xfId="17512" xr:uid="{A2740103-0CD9-4222-ABF3-102CF2D5862F}"/>
    <cellStyle name="Normal 8 2 2 3 3" xfId="952" xr:uid="{00000000-0005-0000-0000-00005A1C0000}"/>
    <cellStyle name="Normal 8 2 2 3 3 2" xfId="3186" xr:uid="{00000000-0005-0000-0000-00005B1C0000}"/>
    <cellStyle name="Normal 8 2 2 3 3 2 2" xfId="7409" xr:uid="{00000000-0005-0000-0000-00005C1C0000}"/>
    <cellStyle name="Normal 8 2 2 3 3 2 2 2" xfId="15851" xr:uid="{239F4E53-DEA7-41F2-A72B-B869362BE007}"/>
    <cellStyle name="Normal 8 2 2 3 3 2 2 3" xfId="24286" xr:uid="{0CBEC04E-4CC2-4F85-90B9-C43CE0816C83}"/>
    <cellStyle name="Normal 8 2 2 3 3 2 3" xfId="11633" xr:uid="{99DD9E21-572E-4DAC-A185-2F39D3577EF5}"/>
    <cellStyle name="Normal 8 2 2 3 3 2 4" xfId="20069" xr:uid="{468E2567-65CA-49E6-8D0D-5C841E9F6A6D}"/>
    <cellStyle name="Normal 8 2 2 3 3 3" xfId="5264" xr:uid="{00000000-0005-0000-0000-00005D1C0000}"/>
    <cellStyle name="Normal 8 2 2 3 3 3 2" xfId="13706" xr:uid="{E609E5BF-9DD7-4F13-9D5C-7EB58E3C02EC}"/>
    <cellStyle name="Normal 8 2 2 3 3 3 3" xfId="22141" xr:uid="{4379CAD9-715C-4F8D-9159-1ADE3FAEF1F6}"/>
    <cellStyle name="Normal 8 2 2 3 3 4" xfId="9488" xr:uid="{C571F58A-B8D0-4E6B-89AC-7B07F094078F}"/>
    <cellStyle name="Normal 8 2 2 3 3 5" xfId="17924" xr:uid="{6DC6B2F4-9879-469B-8DE6-42779634E4F7}"/>
    <cellStyle name="Normal 8 2 2 3 4" xfId="1369" xr:uid="{00000000-0005-0000-0000-00005E1C0000}"/>
    <cellStyle name="Normal 8 2 2 3 4 2" xfId="3599" xr:uid="{00000000-0005-0000-0000-00005F1C0000}"/>
    <cellStyle name="Normal 8 2 2 3 4 2 2" xfId="7822" xr:uid="{00000000-0005-0000-0000-0000601C0000}"/>
    <cellStyle name="Normal 8 2 2 3 4 2 2 2" xfId="16264" xr:uid="{9F87F192-101D-4894-B33D-584F691D83A8}"/>
    <cellStyle name="Normal 8 2 2 3 4 2 2 3" xfId="24699" xr:uid="{7A91CCF1-88EE-481A-8160-0EDB7789A09E}"/>
    <cellStyle name="Normal 8 2 2 3 4 2 3" xfId="12046" xr:uid="{748853FC-2D62-455A-8807-97C7E97DD83D}"/>
    <cellStyle name="Normal 8 2 2 3 4 2 4" xfId="20482" xr:uid="{AFFDAD0B-EEA8-446E-94DB-035CA12288BA}"/>
    <cellStyle name="Normal 8 2 2 3 4 3" xfId="5677" xr:uid="{00000000-0005-0000-0000-0000611C0000}"/>
    <cellStyle name="Normal 8 2 2 3 4 3 2" xfId="14119" xr:uid="{0587CAFF-F795-479E-8451-A57C9C92CC24}"/>
    <cellStyle name="Normal 8 2 2 3 4 3 3" xfId="22554" xr:uid="{5CD15160-0174-4D2E-B893-51D96C3D3852}"/>
    <cellStyle name="Normal 8 2 2 3 4 4" xfId="9901" xr:uid="{874E0F81-A078-4F55-AFD3-160BB3F74E42}"/>
    <cellStyle name="Normal 8 2 2 3 4 5" xfId="18337" xr:uid="{B43D4A4E-672C-4238-BB77-DEC7B1BAFFCF}"/>
    <cellStyle name="Normal 8 2 2 3 5" xfId="1782" xr:uid="{00000000-0005-0000-0000-0000621C0000}"/>
    <cellStyle name="Normal 8 2 2 3 5 2" xfId="4012" xr:uid="{00000000-0005-0000-0000-0000631C0000}"/>
    <cellStyle name="Normal 8 2 2 3 5 2 2" xfId="8235" xr:uid="{00000000-0005-0000-0000-0000641C0000}"/>
    <cellStyle name="Normal 8 2 2 3 5 2 2 2" xfId="16677" xr:uid="{432F16C5-60CD-494E-994B-3410321D416E}"/>
    <cellStyle name="Normal 8 2 2 3 5 2 2 3" xfId="25112" xr:uid="{25E45433-F0FF-458A-9430-0B9A23B55B91}"/>
    <cellStyle name="Normal 8 2 2 3 5 2 3" xfId="12459" xr:uid="{36183ECC-6E63-4A97-8F74-E318F9B8EA9F}"/>
    <cellStyle name="Normal 8 2 2 3 5 2 4" xfId="20895" xr:uid="{2BDF5935-D39F-47D0-B4E1-6EC006C0B641}"/>
    <cellStyle name="Normal 8 2 2 3 5 3" xfId="6090" xr:uid="{00000000-0005-0000-0000-0000651C0000}"/>
    <cellStyle name="Normal 8 2 2 3 5 3 2" xfId="14532" xr:uid="{398EEBEB-158F-4118-87EE-6F3640A783FE}"/>
    <cellStyle name="Normal 8 2 2 3 5 3 3" xfId="22967" xr:uid="{C5676BF2-0B2E-4B5A-9389-F88CF1AE0C40}"/>
    <cellStyle name="Normal 8 2 2 3 5 4" xfId="10314" xr:uid="{5B395436-81F1-4D54-998D-C54458526781}"/>
    <cellStyle name="Normal 8 2 2 3 5 5" xfId="18750" xr:uid="{5FE7DE9B-0AF5-423A-9B34-0DA041B8B092}"/>
    <cellStyle name="Normal 8 2 2 3 6" xfId="2196" xr:uid="{00000000-0005-0000-0000-0000661C0000}"/>
    <cellStyle name="Normal 8 2 2 3 6 2" xfId="4425" xr:uid="{00000000-0005-0000-0000-0000671C0000}"/>
    <cellStyle name="Normal 8 2 2 3 6 2 2" xfId="8648" xr:uid="{00000000-0005-0000-0000-0000681C0000}"/>
    <cellStyle name="Normal 8 2 2 3 6 2 2 2" xfId="17090" xr:uid="{9C50EE31-F9D1-4CE2-BA93-CD1F3FCF01D3}"/>
    <cellStyle name="Normal 8 2 2 3 6 2 2 3" xfId="25525" xr:uid="{090F1B27-3C1A-4940-A496-8EE772ECD0CA}"/>
    <cellStyle name="Normal 8 2 2 3 6 2 3" xfId="12872" xr:uid="{8B53E567-55BB-407C-ABB6-5FD039835E21}"/>
    <cellStyle name="Normal 8 2 2 3 6 2 4" xfId="21308" xr:uid="{D6AB3BAF-72F7-4D04-AF95-CDC258133208}"/>
    <cellStyle name="Normal 8 2 2 3 6 3" xfId="6503" xr:uid="{00000000-0005-0000-0000-0000691C0000}"/>
    <cellStyle name="Normal 8 2 2 3 6 3 2" xfId="14945" xr:uid="{8BAA4240-73FE-4AA9-A672-0F9745F7CBE8}"/>
    <cellStyle name="Normal 8 2 2 3 6 3 3" xfId="23380" xr:uid="{E71AE958-6652-4E7B-A7A5-21CBCAD86E92}"/>
    <cellStyle name="Normal 8 2 2 3 6 4" xfId="10727" xr:uid="{CA786471-E166-4471-8A48-C458F172A8EF}"/>
    <cellStyle name="Normal 8 2 2 3 6 5" xfId="19163" xr:uid="{A9ACF404-7095-4BEE-9157-74618E66303B}"/>
    <cellStyle name="Normal 8 2 2 3 7" xfId="2632" xr:uid="{00000000-0005-0000-0000-00006A1C0000}"/>
    <cellStyle name="Normal 8 2 2 3 7 2" xfId="6916" xr:uid="{00000000-0005-0000-0000-00006B1C0000}"/>
    <cellStyle name="Normal 8 2 2 3 7 2 2" xfId="15358" xr:uid="{769D5356-0DE9-4A82-9621-CD26AD3F94CD}"/>
    <cellStyle name="Normal 8 2 2 3 7 2 3" xfId="23793" xr:uid="{33F44674-2A9A-47FE-AA19-D4AFC5AC5A31}"/>
    <cellStyle name="Normal 8 2 2 3 7 3" xfId="11140" xr:uid="{FA3D879F-8C24-421D-B875-B47A16BD9945}"/>
    <cellStyle name="Normal 8 2 2 3 7 4" xfId="19576" xr:uid="{B1E0F174-70F8-4385-A795-CC754EDCDC9F}"/>
    <cellStyle name="Normal 8 2 2 3 8" xfId="4851" xr:uid="{00000000-0005-0000-0000-00006C1C0000}"/>
    <cellStyle name="Normal 8 2 2 3 8 2" xfId="13293" xr:uid="{049F6173-3C2A-4937-AC7D-743D582F6C89}"/>
    <cellStyle name="Normal 8 2 2 3 8 3" xfId="21728" xr:uid="{05D12AF7-D756-40F4-BB88-CDC96D49DFBB}"/>
    <cellStyle name="Normal 8 2 2 3 9" xfId="9075" xr:uid="{81E74B0E-CBD6-42D5-93E2-F1B658B9E7A7}"/>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2 2 2" xfId="15853" xr:uid="{2FEB7456-937F-4C6C-A943-D9480916C9FD}"/>
    <cellStyle name="Normal 8 2 2 4 2 2 2 3" xfId="24288" xr:uid="{CCBD4927-80B0-4BE1-80D2-1B6862D9C8F5}"/>
    <cellStyle name="Normal 8 2 2 4 2 2 3" xfId="11635" xr:uid="{92CD2914-055A-4FFA-9555-25ED508092A5}"/>
    <cellStyle name="Normal 8 2 2 4 2 2 4" xfId="20071" xr:uid="{6CC88E18-CA07-46AA-A263-1220D06C1B5F}"/>
    <cellStyle name="Normal 8 2 2 4 2 3" xfId="5266" xr:uid="{00000000-0005-0000-0000-0000711C0000}"/>
    <cellStyle name="Normal 8 2 2 4 2 3 2" xfId="13708" xr:uid="{F9EFA482-52E2-44DB-8EA9-59ACCD187709}"/>
    <cellStyle name="Normal 8 2 2 4 2 3 3" xfId="22143" xr:uid="{8A530550-C3BB-425E-A55F-75EC7E84672C}"/>
    <cellStyle name="Normal 8 2 2 4 2 4" xfId="9490" xr:uid="{A221EC8D-1BA5-4327-A932-FEFDDFF65555}"/>
    <cellStyle name="Normal 8 2 2 4 2 5" xfId="17926" xr:uid="{F5193CB4-F8A7-4896-8EA8-C9A6EB161095}"/>
    <cellStyle name="Normal 8 2 2 4 3" xfId="1371" xr:uid="{00000000-0005-0000-0000-0000721C0000}"/>
    <cellStyle name="Normal 8 2 2 4 3 2" xfId="3601" xr:uid="{00000000-0005-0000-0000-0000731C0000}"/>
    <cellStyle name="Normal 8 2 2 4 3 2 2" xfId="7824" xr:uid="{00000000-0005-0000-0000-0000741C0000}"/>
    <cellStyle name="Normal 8 2 2 4 3 2 2 2" xfId="16266" xr:uid="{32438E0F-8757-4AE5-AAB9-15697F2438E6}"/>
    <cellStyle name="Normal 8 2 2 4 3 2 2 3" xfId="24701" xr:uid="{09DCDD26-DD15-4FE2-BC95-7FC527DCE26B}"/>
    <cellStyle name="Normal 8 2 2 4 3 2 3" xfId="12048" xr:uid="{CB2F5EB5-AC39-4944-A04B-8EFC9EB40AE9}"/>
    <cellStyle name="Normal 8 2 2 4 3 2 4" xfId="20484" xr:uid="{47F923BB-DFBD-420F-988C-68711EC9430B}"/>
    <cellStyle name="Normal 8 2 2 4 3 3" xfId="5679" xr:uid="{00000000-0005-0000-0000-0000751C0000}"/>
    <cellStyle name="Normal 8 2 2 4 3 3 2" xfId="14121" xr:uid="{17C9B3E2-F18D-425A-BFC3-F13537D2D1D3}"/>
    <cellStyle name="Normal 8 2 2 4 3 3 3" xfId="22556" xr:uid="{6E8E6287-DBE8-45A1-9C66-FE397D3A9288}"/>
    <cellStyle name="Normal 8 2 2 4 3 4" xfId="9903" xr:uid="{0613B11C-5482-4E7A-B988-E2C936F60FB1}"/>
    <cellStyle name="Normal 8 2 2 4 3 5" xfId="18339" xr:uid="{947245FF-7A46-448A-AEAE-8D2C9486FC92}"/>
    <cellStyle name="Normal 8 2 2 4 4" xfId="1784" xr:uid="{00000000-0005-0000-0000-0000761C0000}"/>
    <cellStyle name="Normal 8 2 2 4 4 2" xfId="4014" xr:uid="{00000000-0005-0000-0000-0000771C0000}"/>
    <cellStyle name="Normal 8 2 2 4 4 2 2" xfId="8237" xr:uid="{00000000-0005-0000-0000-0000781C0000}"/>
    <cellStyle name="Normal 8 2 2 4 4 2 2 2" xfId="16679" xr:uid="{1CBD989F-DFC8-4F6B-A58A-59A606F4AA7B}"/>
    <cellStyle name="Normal 8 2 2 4 4 2 2 3" xfId="25114" xr:uid="{7343235A-36B2-45FA-8C36-CEA3C11C7523}"/>
    <cellStyle name="Normal 8 2 2 4 4 2 3" xfId="12461" xr:uid="{A500CAFC-5DD0-49CB-BDB6-82CD3444CB86}"/>
    <cellStyle name="Normal 8 2 2 4 4 2 4" xfId="20897" xr:uid="{BEC7EA14-B7D7-4F83-8041-E093E1CA2743}"/>
    <cellStyle name="Normal 8 2 2 4 4 3" xfId="6092" xr:uid="{00000000-0005-0000-0000-0000791C0000}"/>
    <cellStyle name="Normal 8 2 2 4 4 3 2" xfId="14534" xr:uid="{970BD959-CED5-4D16-8869-9E078BF150AC}"/>
    <cellStyle name="Normal 8 2 2 4 4 3 3" xfId="22969" xr:uid="{BCBF2F75-76B4-412B-93DA-3318E7C6981E}"/>
    <cellStyle name="Normal 8 2 2 4 4 4" xfId="10316" xr:uid="{2194C6A0-93FA-4B5D-9A0A-3314C632374A}"/>
    <cellStyle name="Normal 8 2 2 4 4 5" xfId="18752" xr:uid="{57F4D39D-5F9B-44EF-8DAA-C93D4D34FA7A}"/>
    <cellStyle name="Normal 8 2 2 4 5" xfId="2198" xr:uid="{00000000-0005-0000-0000-00007A1C0000}"/>
    <cellStyle name="Normal 8 2 2 4 5 2" xfId="4427" xr:uid="{00000000-0005-0000-0000-00007B1C0000}"/>
    <cellStyle name="Normal 8 2 2 4 5 2 2" xfId="8650" xr:uid="{00000000-0005-0000-0000-00007C1C0000}"/>
    <cellStyle name="Normal 8 2 2 4 5 2 2 2" xfId="17092" xr:uid="{D92673B6-A521-43A8-91A3-0006464448F5}"/>
    <cellStyle name="Normal 8 2 2 4 5 2 2 3" xfId="25527" xr:uid="{D472BA5D-BF30-41BE-A3E1-19CD2019D3B0}"/>
    <cellStyle name="Normal 8 2 2 4 5 2 3" xfId="12874" xr:uid="{6E0449ED-F18E-4BF6-B8F2-3B5C5D1E680B}"/>
    <cellStyle name="Normal 8 2 2 4 5 2 4" xfId="21310" xr:uid="{D84ACD19-65A2-4393-A14A-737700F44355}"/>
    <cellStyle name="Normal 8 2 2 4 5 3" xfId="6505" xr:uid="{00000000-0005-0000-0000-00007D1C0000}"/>
    <cellStyle name="Normal 8 2 2 4 5 3 2" xfId="14947" xr:uid="{4CEB5DAF-C7DE-4608-AF56-11DFEF5671C7}"/>
    <cellStyle name="Normal 8 2 2 4 5 3 3" xfId="23382" xr:uid="{C1834E8A-D361-4FF1-B34A-73860BE0AE7F}"/>
    <cellStyle name="Normal 8 2 2 4 5 4" xfId="10729" xr:uid="{616675F8-182B-4B7A-8834-D3B695D574F7}"/>
    <cellStyle name="Normal 8 2 2 4 5 5" xfId="19165" xr:uid="{F2DD7BAE-C863-4D69-B3DC-EA4A82B211DB}"/>
    <cellStyle name="Normal 8 2 2 4 6" xfId="2634" xr:uid="{00000000-0005-0000-0000-00007E1C0000}"/>
    <cellStyle name="Normal 8 2 2 4 6 2" xfId="6918" xr:uid="{00000000-0005-0000-0000-00007F1C0000}"/>
    <cellStyle name="Normal 8 2 2 4 6 2 2" xfId="15360" xr:uid="{22C19BAB-0D18-46CD-A27B-0CE54A3799B5}"/>
    <cellStyle name="Normal 8 2 2 4 6 2 3" xfId="23795" xr:uid="{6338B725-8689-4543-9D85-DE75149B4D57}"/>
    <cellStyle name="Normal 8 2 2 4 6 3" xfId="11142" xr:uid="{E84A62F0-BE37-406D-A210-CAD54EFD66FE}"/>
    <cellStyle name="Normal 8 2 2 4 6 4" xfId="19578" xr:uid="{51EE1E3B-EFC4-4DD4-BE78-17D92F1B92A9}"/>
    <cellStyle name="Normal 8 2 2 4 7" xfId="4853" xr:uid="{00000000-0005-0000-0000-0000801C0000}"/>
    <cellStyle name="Normal 8 2 2 4 7 2" xfId="13295" xr:uid="{761D9A55-82A9-46D6-B030-2528B48457A7}"/>
    <cellStyle name="Normal 8 2 2 4 7 3" xfId="21730" xr:uid="{11020229-FB2C-4FDD-80F3-070B9B5F77F4}"/>
    <cellStyle name="Normal 8 2 2 4 8" xfId="9077" xr:uid="{014D0350-A040-418A-BFE7-05ACDA1AE1E8}"/>
    <cellStyle name="Normal 8 2 2 4 9" xfId="17513" xr:uid="{4ECF25E9-EDE4-4283-BA32-089BD9DD7006}"/>
    <cellStyle name="Normal 8 2 2 5" xfId="947" xr:uid="{00000000-0005-0000-0000-0000811C0000}"/>
    <cellStyle name="Normal 8 2 2 5 2" xfId="3181" xr:uid="{00000000-0005-0000-0000-0000821C0000}"/>
    <cellStyle name="Normal 8 2 2 5 2 2" xfId="7404" xr:uid="{00000000-0005-0000-0000-0000831C0000}"/>
    <cellStyle name="Normal 8 2 2 5 2 2 2" xfId="15846" xr:uid="{56C344C4-671F-405D-8652-0CA26556E7FA}"/>
    <cellStyle name="Normal 8 2 2 5 2 2 3" xfId="24281" xr:uid="{FE92711E-F497-4F31-81B9-1657BF65462D}"/>
    <cellStyle name="Normal 8 2 2 5 2 3" xfId="11628" xr:uid="{B206E9EB-8F0D-4833-8332-7715447089DE}"/>
    <cellStyle name="Normal 8 2 2 5 2 4" xfId="20064" xr:uid="{E9162A2A-E276-49BB-B78C-54FD70236D76}"/>
    <cellStyle name="Normal 8 2 2 5 3" xfId="5259" xr:uid="{00000000-0005-0000-0000-0000841C0000}"/>
    <cellStyle name="Normal 8 2 2 5 3 2" xfId="13701" xr:uid="{56CD1127-7504-4244-94D6-52684C063F69}"/>
    <cellStyle name="Normal 8 2 2 5 3 3" xfId="22136" xr:uid="{01B77778-7B00-49C4-AD54-0B9E6E16040A}"/>
    <cellStyle name="Normal 8 2 2 5 4" xfId="9483" xr:uid="{2670F625-C23B-4287-9337-9CD20A710C38}"/>
    <cellStyle name="Normal 8 2 2 5 5" xfId="17919" xr:uid="{9D14C036-AE0B-4FFB-95EF-1B66A9F030F6}"/>
    <cellStyle name="Normal 8 2 2 6" xfId="1364" xr:uid="{00000000-0005-0000-0000-0000851C0000}"/>
    <cellStyle name="Normal 8 2 2 6 2" xfId="3594" xr:uid="{00000000-0005-0000-0000-0000861C0000}"/>
    <cellStyle name="Normal 8 2 2 6 2 2" xfId="7817" xr:uid="{00000000-0005-0000-0000-0000871C0000}"/>
    <cellStyle name="Normal 8 2 2 6 2 2 2" xfId="16259" xr:uid="{E3695141-2664-48D0-86DD-5AE54B43ACF0}"/>
    <cellStyle name="Normal 8 2 2 6 2 2 3" xfId="24694" xr:uid="{2C17F524-1105-4F0A-BAF4-3017019CB636}"/>
    <cellStyle name="Normal 8 2 2 6 2 3" xfId="12041" xr:uid="{64F13B8B-4030-4243-824B-4B5FBB3CB25D}"/>
    <cellStyle name="Normal 8 2 2 6 2 4" xfId="20477" xr:uid="{1D0E74C7-C169-43BA-A3D9-6EC257A3CAB8}"/>
    <cellStyle name="Normal 8 2 2 6 3" xfId="5672" xr:uid="{00000000-0005-0000-0000-0000881C0000}"/>
    <cellStyle name="Normal 8 2 2 6 3 2" xfId="14114" xr:uid="{299265C2-3632-4A32-B9FD-B1012F355B65}"/>
    <cellStyle name="Normal 8 2 2 6 3 3" xfId="22549" xr:uid="{FF51217D-0766-40F0-A4C3-5693B00F75A7}"/>
    <cellStyle name="Normal 8 2 2 6 4" xfId="9896" xr:uid="{7F7E9838-F6A7-4F2B-8B22-58BD94558737}"/>
    <cellStyle name="Normal 8 2 2 6 5" xfId="18332" xr:uid="{23D51EB5-1455-49E7-82A7-DB3B70BB18BA}"/>
    <cellStyle name="Normal 8 2 2 7" xfId="1777" xr:uid="{00000000-0005-0000-0000-0000891C0000}"/>
    <cellStyle name="Normal 8 2 2 7 2" xfId="4007" xr:uid="{00000000-0005-0000-0000-00008A1C0000}"/>
    <cellStyle name="Normal 8 2 2 7 2 2" xfId="8230" xr:uid="{00000000-0005-0000-0000-00008B1C0000}"/>
    <cellStyle name="Normal 8 2 2 7 2 2 2" xfId="16672" xr:uid="{3CB9D8E9-C0F6-46E5-AC60-5B0E55451EDA}"/>
    <cellStyle name="Normal 8 2 2 7 2 2 3" xfId="25107" xr:uid="{285A4E9B-A077-4F80-82FB-6E4D3AA4828F}"/>
    <cellStyle name="Normal 8 2 2 7 2 3" xfId="12454" xr:uid="{CEA52CF1-90A6-415B-9A06-B909F6BAE219}"/>
    <cellStyle name="Normal 8 2 2 7 2 4" xfId="20890" xr:uid="{30297878-B806-43C1-AF9C-A4E7881E4DB9}"/>
    <cellStyle name="Normal 8 2 2 7 3" xfId="6085" xr:uid="{00000000-0005-0000-0000-00008C1C0000}"/>
    <cellStyle name="Normal 8 2 2 7 3 2" xfId="14527" xr:uid="{BEEB9407-2C89-4A7B-8D29-65EE1528A2CA}"/>
    <cellStyle name="Normal 8 2 2 7 3 3" xfId="22962" xr:uid="{2335EA21-DED3-41E1-97D5-C10C67188266}"/>
    <cellStyle name="Normal 8 2 2 7 4" xfId="10309" xr:uid="{86753C9B-47F3-401D-95C6-73A53619AF21}"/>
    <cellStyle name="Normal 8 2 2 7 5" xfId="18745" xr:uid="{06BA7B7A-B8E8-4AE6-AD6C-6101A2E6DB99}"/>
    <cellStyle name="Normal 8 2 2 8" xfId="2191" xr:uid="{00000000-0005-0000-0000-00008D1C0000}"/>
    <cellStyle name="Normal 8 2 2 8 2" xfId="4420" xr:uid="{00000000-0005-0000-0000-00008E1C0000}"/>
    <cellStyle name="Normal 8 2 2 8 2 2" xfId="8643" xr:uid="{00000000-0005-0000-0000-00008F1C0000}"/>
    <cellStyle name="Normal 8 2 2 8 2 2 2" xfId="17085" xr:uid="{CD65A9BC-DAFA-41A8-B680-4AF1A86A6F20}"/>
    <cellStyle name="Normal 8 2 2 8 2 2 3" xfId="25520" xr:uid="{5B481648-7A96-4EF3-9B86-F233EC68C6C0}"/>
    <cellStyle name="Normal 8 2 2 8 2 3" xfId="12867" xr:uid="{542276C8-651C-4DA8-A664-09CA3B05DD07}"/>
    <cellStyle name="Normal 8 2 2 8 2 4" xfId="21303" xr:uid="{D1726DD8-FA96-4AC9-B5E9-56F40E42EFC0}"/>
    <cellStyle name="Normal 8 2 2 8 3" xfId="6498" xr:uid="{00000000-0005-0000-0000-0000901C0000}"/>
    <cellStyle name="Normal 8 2 2 8 3 2" xfId="14940" xr:uid="{98A5846F-49EF-46B6-AE26-28D580CCF9F3}"/>
    <cellStyle name="Normal 8 2 2 8 3 3" xfId="23375" xr:uid="{71F62EAB-3739-4845-AF4B-B2A16ACE4D14}"/>
    <cellStyle name="Normal 8 2 2 8 4" xfId="10722" xr:uid="{D6035935-78E6-4951-ABC3-9212F0963EB2}"/>
    <cellStyle name="Normal 8 2 2 8 5" xfId="19158" xr:uid="{F24DCE7B-9FCB-4DF8-9631-8A5E79A747A2}"/>
    <cellStyle name="Normal 8 2 2 9" xfId="2627" xr:uid="{00000000-0005-0000-0000-0000911C0000}"/>
    <cellStyle name="Normal 8 2 2 9 2" xfId="6911" xr:uid="{00000000-0005-0000-0000-0000921C0000}"/>
    <cellStyle name="Normal 8 2 2 9 2 2" xfId="15353" xr:uid="{EB4F880A-C1E4-436C-B017-6EF01678BEA6}"/>
    <cellStyle name="Normal 8 2 2 9 2 3" xfId="23788" xr:uid="{EBF59977-F3DB-463B-9D69-1176AC606446}"/>
    <cellStyle name="Normal 8 2 2 9 3" xfId="11135" xr:uid="{58AEAAE3-D593-4AA9-83A6-E0416E4E79DD}"/>
    <cellStyle name="Normal 8 2 2 9 4" xfId="19571" xr:uid="{63948257-8D78-4C63-8E02-D4CC135E9C11}"/>
    <cellStyle name="Normal 8 2 3" xfId="488" xr:uid="{00000000-0005-0000-0000-0000931C0000}"/>
    <cellStyle name="Normal 8 2 3 10" xfId="9078" xr:uid="{389B3CF1-C4C9-41C5-8936-33B14DB3EDDF}"/>
    <cellStyle name="Normal 8 2 3 11" xfId="17514" xr:uid="{21BD6BA7-1559-48D0-90B7-30D59CBFC18A}"/>
    <cellStyle name="Normal 8 2 3 2" xfId="489" xr:uid="{00000000-0005-0000-0000-0000941C0000}"/>
    <cellStyle name="Normal 8 2 3 2 10" xfId="17515" xr:uid="{BED775CD-B735-4EBC-8A06-31EA7C250AD6}"/>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2 2 2" xfId="15856" xr:uid="{0DDDFEAE-3E5C-4188-B8AB-E682F34F55E4}"/>
    <cellStyle name="Normal 8 2 3 2 2 2 2 2 3" xfId="24291" xr:uid="{F6C612D7-7CCB-491B-A2A8-C95BE7823D18}"/>
    <cellStyle name="Normal 8 2 3 2 2 2 2 3" xfId="11638" xr:uid="{B8443B5D-4506-45DE-8472-527BB2676928}"/>
    <cellStyle name="Normal 8 2 3 2 2 2 2 4" xfId="20074" xr:uid="{2FC98F81-F5E5-497E-B318-094968E8CE54}"/>
    <cellStyle name="Normal 8 2 3 2 2 2 3" xfId="5269" xr:uid="{00000000-0005-0000-0000-0000991C0000}"/>
    <cellStyle name="Normal 8 2 3 2 2 2 3 2" xfId="13711" xr:uid="{3D182F96-DCD2-4708-985C-56D469E1192B}"/>
    <cellStyle name="Normal 8 2 3 2 2 2 3 3" xfId="22146" xr:uid="{C40612E1-BC63-4B7C-A460-1572AB16F778}"/>
    <cellStyle name="Normal 8 2 3 2 2 2 4" xfId="9493" xr:uid="{72A9C148-2EF4-4A76-A7C6-C059D2064161}"/>
    <cellStyle name="Normal 8 2 3 2 2 2 5" xfId="17929" xr:uid="{82590316-323F-4D73-8866-54A3C2F464EF}"/>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2 2 2" xfId="16269" xr:uid="{799DB1AC-37A8-4C07-9AAD-B8113ACF8F92}"/>
    <cellStyle name="Normal 8 2 3 2 2 3 2 2 3" xfId="24704" xr:uid="{D808EFAE-378D-4A85-BD2A-4DD4DB26AA7C}"/>
    <cellStyle name="Normal 8 2 3 2 2 3 2 3" xfId="12051" xr:uid="{E79A548D-F27F-4CDE-8950-C0ABFA8F298C}"/>
    <cellStyle name="Normal 8 2 3 2 2 3 2 4" xfId="20487" xr:uid="{F7FBBE51-4543-4DFA-8A48-616E22A5007A}"/>
    <cellStyle name="Normal 8 2 3 2 2 3 3" xfId="5682" xr:uid="{00000000-0005-0000-0000-00009D1C0000}"/>
    <cellStyle name="Normal 8 2 3 2 2 3 3 2" xfId="14124" xr:uid="{F003C3D4-F4D0-42EC-8442-CF5B3EBD31F1}"/>
    <cellStyle name="Normal 8 2 3 2 2 3 3 3" xfId="22559" xr:uid="{EFCFA3CF-3CC0-445B-943F-865DA3AAB2CE}"/>
    <cellStyle name="Normal 8 2 3 2 2 3 4" xfId="9906" xr:uid="{91C79637-3EB6-42DC-B242-0A4F10DEC992}"/>
    <cellStyle name="Normal 8 2 3 2 2 3 5" xfId="18342" xr:uid="{C798DF3F-9514-4FD1-84C0-4C4531C95391}"/>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2 2 2" xfId="16682" xr:uid="{40C95E6F-4246-456E-8DA5-8A68E9CF1073}"/>
    <cellStyle name="Normal 8 2 3 2 2 4 2 2 3" xfId="25117" xr:uid="{A78450DF-85A9-4AD8-8C38-FAE534C8CB77}"/>
    <cellStyle name="Normal 8 2 3 2 2 4 2 3" xfId="12464" xr:uid="{08200F39-9F21-43EB-872A-F64F9B62115D}"/>
    <cellStyle name="Normal 8 2 3 2 2 4 2 4" xfId="20900" xr:uid="{4EC492DE-05AD-4F97-93F1-814669F93C0F}"/>
    <cellStyle name="Normal 8 2 3 2 2 4 3" xfId="6095" xr:uid="{00000000-0005-0000-0000-0000A11C0000}"/>
    <cellStyle name="Normal 8 2 3 2 2 4 3 2" xfId="14537" xr:uid="{FA567AFE-2380-46F5-BA39-F08C96F77593}"/>
    <cellStyle name="Normal 8 2 3 2 2 4 3 3" xfId="22972" xr:uid="{FBD3AADE-5AE0-49A1-B4DC-D0C80A9245AE}"/>
    <cellStyle name="Normal 8 2 3 2 2 4 4" xfId="10319" xr:uid="{68485537-A8F1-4F6D-9E92-7E0975692A8B}"/>
    <cellStyle name="Normal 8 2 3 2 2 4 5" xfId="18755" xr:uid="{9C820B4F-78B5-4E9D-85DE-262C29D21ABB}"/>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2 2 2" xfId="17095" xr:uid="{E97DC818-0F9D-4812-8C32-55A0B39DF8E3}"/>
    <cellStyle name="Normal 8 2 3 2 2 5 2 2 3" xfId="25530" xr:uid="{0500CC27-D9E6-45B3-B034-D64DE253DA8B}"/>
    <cellStyle name="Normal 8 2 3 2 2 5 2 3" xfId="12877" xr:uid="{C8AA12F3-587C-4F99-9BE2-3D3721F05027}"/>
    <cellStyle name="Normal 8 2 3 2 2 5 2 4" xfId="21313" xr:uid="{5FD52DEF-4BF6-4536-8F02-82EADB167E9C}"/>
    <cellStyle name="Normal 8 2 3 2 2 5 3" xfId="6508" xr:uid="{00000000-0005-0000-0000-0000A51C0000}"/>
    <cellStyle name="Normal 8 2 3 2 2 5 3 2" xfId="14950" xr:uid="{357D3E23-78CA-437F-9962-5143C18BE26F}"/>
    <cellStyle name="Normal 8 2 3 2 2 5 3 3" xfId="23385" xr:uid="{BE7BA1A0-8930-470A-A4FF-A80A9990097C}"/>
    <cellStyle name="Normal 8 2 3 2 2 5 4" xfId="10732" xr:uid="{AADBB8F3-1E25-44DF-88E9-DB4B40F21DFA}"/>
    <cellStyle name="Normal 8 2 3 2 2 5 5" xfId="19168" xr:uid="{0FBBF3A8-4671-4FEB-9793-D08B212CD722}"/>
    <cellStyle name="Normal 8 2 3 2 2 6" xfId="2637" xr:uid="{00000000-0005-0000-0000-0000A61C0000}"/>
    <cellStyle name="Normal 8 2 3 2 2 6 2" xfId="6921" xr:uid="{00000000-0005-0000-0000-0000A71C0000}"/>
    <cellStyle name="Normal 8 2 3 2 2 6 2 2" xfId="15363" xr:uid="{16C70323-558B-44A8-BCF7-6BEBE978C9DA}"/>
    <cellStyle name="Normal 8 2 3 2 2 6 2 3" xfId="23798" xr:uid="{A488EB8C-24C0-4E3D-B798-FC0014EAAD30}"/>
    <cellStyle name="Normal 8 2 3 2 2 6 3" xfId="11145" xr:uid="{6DF0CC94-D7F5-4CD0-BC0B-4BFDB08219A8}"/>
    <cellStyle name="Normal 8 2 3 2 2 6 4" xfId="19581" xr:uid="{92D7DE2E-AD2D-4C5E-9819-864AA2BFA28A}"/>
    <cellStyle name="Normal 8 2 3 2 2 7" xfId="4856" xr:uid="{00000000-0005-0000-0000-0000A81C0000}"/>
    <cellStyle name="Normal 8 2 3 2 2 7 2" xfId="13298" xr:uid="{98C75B0D-80D4-490B-933F-9AB80BE08B73}"/>
    <cellStyle name="Normal 8 2 3 2 2 7 3" xfId="21733" xr:uid="{597993C6-7C97-4F28-874A-FFDB7E05E3A9}"/>
    <cellStyle name="Normal 8 2 3 2 2 8" xfId="9080" xr:uid="{EA65F017-45D1-4927-A5BD-A5A23640AE4C}"/>
    <cellStyle name="Normal 8 2 3 2 2 9" xfId="17516" xr:uid="{B16858F2-FD9E-4D0D-8F17-0FCD49B2E1C7}"/>
    <cellStyle name="Normal 8 2 3 2 3" xfId="956" xr:uid="{00000000-0005-0000-0000-0000A91C0000}"/>
    <cellStyle name="Normal 8 2 3 2 3 2" xfId="3190" xr:uid="{00000000-0005-0000-0000-0000AA1C0000}"/>
    <cellStyle name="Normal 8 2 3 2 3 2 2" xfId="7413" xr:uid="{00000000-0005-0000-0000-0000AB1C0000}"/>
    <cellStyle name="Normal 8 2 3 2 3 2 2 2" xfId="15855" xr:uid="{564B0CB8-32C0-4F0F-BC47-AC5D46B84307}"/>
    <cellStyle name="Normal 8 2 3 2 3 2 2 3" xfId="24290" xr:uid="{CE78C29D-39C6-4DEC-A186-3E08DF261514}"/>
    <cellStyle name="Normal 8 2 3 2 3 2 3" xfId="11637" xr:uid="{D786851E-8E6B-4DBF-98CA-AAEC7524C25A}"/>
    <cellStyle name="Normal 8 2 3 2 3 2 4" xfId="20073" xr:uid="{DAEBC127-A403-452F-A70F-0C3D8ADE7E38}"/>
    <cellStyle name="Normal 8 2 3 2 3 3" xfId="5268" xr:uid="{00000000-0005-0000-0000-0000AC1C0000}"/>
    <cellStyle name="Normal 8 2 3 2 3 3 2" xfId="13710" xr:uid="{E633765C-F770-4304-BCCC-0264F6B07A80}"/>
    <cellStyle name="Normal 8 2 3 2 3 3 3" xfId="22145" xr:uid="{618FA75E-669C-4E07-9F23-18E1CAA2984B}"/>
    <cellStyle name="Normal 8 2 3 2 3 4" xfId="9492" xr:uid="{2A37B690-1B42-4653-9169-DC6423F00F50}"/>
    <cellStyle name="Normal 8 2 3 2 3 5" xfId="17928" xr:uid="{A1BD9027-F87E-45DD-A15A-C0CD8276BF61}"/>
    <cellStyle name="Normal 8 2 3 2 4" xfId="1373" xr:uid="{00000000-0005-0000-0000-0000AD1C0000}"/>
    <cellStyle name="Normal 8 2 3 2 4 2" xfId="3603" xr:uid="{00000000-0005-0000-0000-0000AE1C0000}"/>
    <cellStyle name="Normal 8 2 3 2 4 2 2" xfId="7826" xr:uid="{00000000-0005-0000-0000-0000AF1C0000}"/>
    <cellStyle name="Normal 8 2 3 2 4 2 2 2" xfId="16268" xr:uid="{94D0D5E0-A07B-479B-8A85-27068CEE0E2B}"/>
    <cellStyle name="Normal 8 2 3 2 4 2 2 3" xfId="24703" xr:uid="{297B0919-3705-4BB0-8F0B-000757E1A790}"/>
    <cellStyle name="Normal 8 2 3 2 4 2 3" xfId="12050" xr:uid="{BD2BC7BA-0D2C-4F0E-975E-1D564AF07305}"/>
    <cellStyle name="Normal 8 2 3 2 4 2 4" xfId="20486" xr:uid="{4E834AFB-450A-4157-ABEA-82444C018587}"/>
    <cellStyle name="Normal 8 2 3 2 4 3" xfId="5681" xr:uid="{00000000-0005-0000-0000-0000B01C0000}"/>
    <cellStyle name="Normal 8 2 3 2 4 3 2" xfId="14123" xr:uid="{CE22A1E7-0EFB-4E01-82CD-65580A3B5736}"/>
    <cellStyle name="Normal 8 2 3 2 4 3 3" xfId="22558" xr:uid="{60AA7C54-BB2C-4371-A1BA-528E9E680599}"/>
    <cellStyle name="Normal 8 2 3 2 4 4" xfId="9905" xr:uid="{B984B21C-BD73-45AE-9FA8-4181AC4636B8}"/>
    <cellStyle name="Normal 8 2 3 2 4 5" xfId="18341" xr:uid="{4E527EBC-F7AC-4B4F-AAC5-F21DC3039707}"/>
    <cellStyle name="Normal 8 2 3 2 5" xfId="1786" xr:uid="{00000000-0005-0000-0000-0000B11C0000}"/>
    <cellStyle name="Normal 8 2 3 2 5 2" xfId="4016" xr:uid="{00000000-0005-0000-0000-0000B21C0000}"/>
    <cellStyle name="Normal 8 2 3 2 5 2 2" xfId="8239" xr:uid="{00000000-0005-0000-0000-0000B31C0000}"/>
    <cellStyle name="Normal 8 2 3 2 5 2 2 2" xfId="16681" xr:uid="{F381A012-6E31-4B80-BA37-1E1BF3D57FEC}"/>
    <cellStyle name="Normal 8 2 3 2 5 2 2 3" xfId="25116" xr:uid="{16A55978-56E8-4281-980B-356A3BA72939}"/>
    <cellStyle name="Normal 8 2 3 2 5 2 3" xfId="12463" xr:uid="{9364100F-D20C-4A9A-B9C7-75C60578EF07}"/>
    <cellStyle name="Normal 8 2 3 2 5 2 4" xfId="20899" xr:uid="{F0B7518B-88AC-48F2-95C9-5181676CC9B1}"/>
    <cellStyle name="Normal 8 2 3 2 5 3" xfId="6094" xr:uid="{00000000-0005-0000-0000-0000B41C0000}"/>
    <cellStyle name="Normal 8 2 3 2 5 3 2" xfId="14536" xr:uid="{B83E9871-8D5A-4C7D-ACA4-0238A6209A1B}"/>
    <cellStyle name="Normal 8 2 3 2 5 3 3" xfId="22971" xr:uid="{F0E245CB-275D-4F5C-B48C-D54DB8B8C2A8}"/>
    <cellStyle name="Normal 8 2 3 2 5 4" xfId="10318" xr:uid="{F0402F96-BE00-4728-A7A8-58F975BC8879}"/>
    <cellStyle name="Normal 8 2 3 2 5 5" xfId="18754" xr:uid="{CB2CA971-E377-43ED-A305-30B49C67BE97}"/>
    <cellStyle name="Normal 8 2 3 2 6" xfId="2200" xr:uid="{00000000-0005-0000-0000-0000B51C0000}"/>
    <cellStyle name="Normal 8 2 3 2 6 2" xfId="4429" xr:uid="{00000000-0005-0000-0000-0000B61C0000}"/>
    <cellStyle name="Normal 8 2 3 2 6 2 2" xfId="8652" xr:uid="{00000000-0005-0000-0000-0000B71C0000}"/>
    <cellStyle name="Normal 8 2 3 2 6 2 2 2" xfId="17094" xr:uid="{A64C4319-F72A-481E-B8B9-A3DBE6ADE287}"/>
    <cellStyle name="Normal 8 2 3 2 6 2 2 3" xfId="25529" xr:uid="{989C76C6-77CA-4B1E-9B15-A313BD7FF561}"/>
    <cellStyle name="Normal 8 2 3 2 6 2 3" xfId="12876" xr:uid="{FDA68E61-B547-4C7A-8427-A249BA604ADF}"/>
    <cellStyle name="Normal 8 2 3 2 6 2 4" xfId="21312" xr:uid="{17186226-BD3C-47AF-B6AC-DE9FA7892410}"/>
    <cellStyle name="Normal 8 2 3 2 6 3" xfId="6507" xr:uid="{00000000-0005-0000-0000-0000B81C0000}"/>
    <cellStyle name="Normal 8 2 3 2 6 3 2" xfId="14949" xr:uid="{93D83F8A-7220-4036-9CF9-075E4DC5D7AC}"/>
    <cellStyle name="Normal 8 2 3 2 6 3 3" xfId="23384" xr:uid="{BAA49055-637A-422E-B6F8-11973618402F}"/>
    <cellStyle name="Normal 8 2 3 2 6 4" xfId="10731" xr:uid="{B549BDF4-080D-4617-9F3A-D45AB5B3F4F6}"/>
    <cellStyle name="Normal 8 2 3 2 6 5" xfId="19167" xr:uid="{61578305-988B-497B-B4E0-F8D74610F6D5}"/>
    <cellStyle name="Normal 8 2 3 2 7" xfId="2636" xr:uid="{00000000-0005-0000-0000-0000B91C0000}"/>
    <cellStyle name="Normal 8 2 3 2 7 2" xfId="6920" xr:uid="{00000000-0005-0000-0000-0000BA1C0000}"/>
    <cellStyle name="Normal 8 2 3 2 7 2 2" xfId="15362" xr:uid="{520B1E45-F944-4BE7-95CD-27A7396173E9}"/>
    <cellStyle name="Normal 8 2 3 2 7 2 3" xfId="23797" xr:uid="{2FA254A3-D373-4E28-8F06-1F07A6ECC2FC}"/>
    <cellStyle name="Normal 8 2 3 2 7 3" xfId="11144" xr:uid="{4D55D52B-D8CD-4B4E-9CA6-D8567051EAA2}"/>
    <cellStyle name="Normal 8 2 3 2 7 4" xfId="19580" xr:uid="{E721FD1F-7556-4DE1-B36B-9187F452F307}"/>
    <cellStyle name="Normal 8 2 3 2 8" xfId="4855" xr:uid="{00000000-0005-0000-0000-0000BB1C0000}"/>
    <cellStyle name="Normal 8 2 3 2 8 2" xfId="13297" xr:uid="{EDD4ABBB-54B0-4CDD-8C99-B2BC5FF3F9F9}"/>
    <cellStyle name="Normal 8 2 3 2 8 3" xfId="21732" xr:uid="{57F07217-8C82-4EE7-8A48-F050D468468B}"/>
    <cellStyle name="Normal 8 2 3 2 9" xfId="9079" xr:uid="{44AECC36-F3AE-4FF2-87D8-5CE746CB6255}"/>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2 2 2" xfId="15857" xr:uid="{7C4CF8C7-4A5E-445D-8CB5-FA6D0E03E856}"/>
    <cellStyle name="Normal 8 2 3 3 2 2 2 3" xfId="24292" xr:uid="{2F79E7A8-21D1-47CF-B3CF-E32488B428C3}"/>
    <cellStyle name="Normal 8 2 3 3 2 2 3" xfId="11639" xr:uid="{F4B0AB34-A63B-4EE9-BDBB-3A094D4DC11F}"/>
    <cellStyle name="Normal 8 2 3 3 2 2 4" xfId="20075" xr:uid="{5AD6DC5D-EDCE-4FF9-8277-98E1C1CDE368}"/>
    <cellStyle name="Normal 8 2 3 3 2 3" xfId="5270" xr:uid="{00000000-0005-0000-0000-0000C01C0000}"/>
    <cellStyle name="Normal 8 2 3 3 2 3 2" xfId="13712" xr:uid="{FA3BFC5C-7102-4AEE-B735-98C04E7EA842}"/>
    <cellStyle name="Normal 8 2 3 3 2 3 3" xfId="22147" xr:uid="{CA6AB567-9D7C-40B7-A647-59A57F95AAFA}"/>
    <cellStyle name="Normal 8 2 3 3 2 4" xfId="9494" xr:uid="{E06CD0C0-AA2E-4DBD-8CC5-CAA59BDE00E6}"/>
    <cellStyle name="Normal 8 2 3 3 2 5" xfId="17930" xr:uid="{B01B7A1E-AA51-49C7-B162-21EDAA07ABC0}"/>
    <cellStyle name="Normal 8 2 3 3 3" xfId="1375" xr:uid="{00000000-0005-0000-0000-0000C11C0000}"/>
    <cellStyle name="Normal 8 2 3 3 3 2" xfId="3605" xr:uid="{00000000-0005-0000-0000-0000C21C0000}"/>
    <cellStyle name="Normal 8 2 3 3 3 2 2" xfId="7828" xr:uid="{00000000-0005-0000-0000-0000C31C0000}"/>
    <cellStyle name="Normal 8 2 3 3 3 2 2 2" xfId="16270" xr:uid="{18BAC8FD-1590-4A06-98A2-3BB851ADACC8}"/>
    <cellStyle name="Normal 8 2 3 3 3 2 2 3" xfId="24705" xr:uid="{258F99EC-F14D-4627-82D2-EDE6CAE0166E}"/>
    <cellStyle name="Normal 8 2 3 3 3 2 3" xfId="12052" xr:uid="{9E9F2C0F-BF27-4526-852E-97CC7A704E5B}"/>
    <cellStyle name="Normal 8 2 3 3 3 2 4" xfId="20488" xr:uid="{711E3CFE-CC8D-4F43-A098-6221E4B20556}"/>
    <cellStyle name="Normal 8 2 3 3 3 3" xfId="5683" xr:uid="{00000000-0005-0000-0000-0000C41C0000}"/>
    <cellStyle name="Normal 8 2 3 3 3 3 2" xfId="14125" xr:uid="{48F6548B-EE63-4A4C-B178-54520C8D98DD}"/>
    <cellStyle name="Normal 8 2 3 3 3 3 3" xfId="22560" xr:uid="{5AB47045-EC09-4BC5-881D-FC66646B90A1}"/>
    <cellStyle name="Normal 8 2 3 3 3 4" xfId="9907" xr:uid="{5A99076C-E71D-4628-9FE3-B157DF39D153}"/>
    <cellStyle name="Normal 8 2 3 3 3 5" xfId="18343" xr:uid="{93E30AF9-9358-4A52-8E23-5B0BF3A6E157}"/>
    <cellStyle name="Normal 8 2 3 3 4" xfId="1788" xr:uid="{00000000-0005-0000-0000-0000C51C0000}"/>
    <cellStyle name="Normal 8 2 3 3 4 2" xfId="4018" xr:uid="{00000000-0005-0000-0000-0000C61C0000}"/>
    <cellStyle name="Normal 8 2 3 3 4 2 2" xfId="8241" xr:uid="{00000000-0005-0000-0000-0000C71C0000}"/>
    <cellStyle name="Normal 8 2 3 3 4 2 2 2" xfId="16683" xr:uid="{DC814F3E-975C-4BC4-9EA7-777919CBE745}"/>
    <cellStyle name="Normal 8 2 3 3 4 2 2 3" xfId="25118" xr:uid="{44648936-2446-45EA-8867-FD6E99D30F82}"/>
    <cellStyle name="Normal 8 2 3 3 4 2 3" xfId="12465" xr:uid="{9486B905-AAA1-4251-97DA-542AE151EAC3}"/>
    <cellStyle name="Normal 8 2 3 3 4 2 4" xfId="20901" xr:uid="{1F9559E4-2645-4B92-97FC-060A16DE9348}"/>
    <cellStyle name="Normal 8 2 3 3 4 3" xfId="6096" xr:uid="{00000000-0005-0000-0000-0000C81C0000}"/>
    <cellStyle name="Normal 8 2 3 3 4 3 2" xfId="14538" xr:uid="{A39A5CCF-8C60-42D9-A356-A4E44859DC33}"/>
    <cellStyle name="Normal 8 2 3 3 4 3 3" xfId="22973" xr:uid="{3D7259AC-9863-45B4-BC27-F3E901EB247C}"/>
    <cellStyle name="Normal 8 2 3 3 4 4" xfId="10320" xr:uid="{D82FA5C1-CBDA-4EFA-8F65-E80CAE0B451D}"/>
    <cellStyle name="Normal 8 2 3 3 4 5" xfId="18756" xr:uid="{4C037C2A-AB60-4292-9000-834F4F9ABB77}"/>
    <cellStyle name="Normal 8 2 3 3 5" xfId="2202" xr:uid="{00000000-0005-0000-0000-0000C91C0000}"/>
    <cellStyle name="Normal 8 2 3 3 5 2" xfId="4431" xr:uid="{00000000-0005-0000-0000-0000CA1C0000}"/>
    <cellStyle name="Normal 8 2 3 3 5 2 2" xfId="8654" xr:uid="{00000000-0005-0000-0000-0000CB1C0000}"/>
    <cellStyle name="Normal 8 2 3 3 5 2 2 2" xfId="17096" xr:uid="{7E9825E4-B723-4CA6-B9D6-AE819EFB4EAA}"/>
    <cellStyle name="Normal 8 2 3 3 5 2 2 3" xfId="25531" xr:uid="{1E541FC4-5D24-495B-BF02-82D40AFB2894}"/>
    <cellStyle name="Normal 8 2 3 3 5 2 3" xfId="12878" xr:uid="{F39F5842-5B03-4425-A884-F1ADAC974D10}"/>
    <cellStyle name="Normal 8 2 3 3 5 2 4" xfId="21314" xr:uid="{F283B40F-E425-40EA-949F-B71FE8BCC65C}"/>
    <cellStyle name="Normal 8 2 3 3 5 3" xfId="6509" xr:uid="{00000000-0005-0000-0000-0000CC1C0000}"/>
    <cellStyle name="Normal 8 2 3 3 5 3 2" xfId="14951" xr:uid="{2F05735B-5DF4-49E6-93AA-DE60CBDAF2CA}"/>
    <cellStyle name="Normal 8 2 3 3 5 3 3" xfId="23386" xr:uid="{B05110D3-435D-4744-80BB-A59D58CF05A8}"/>
    <cellStyle name="Normal 8 2 3 3 5 4" xfId="10733" xr:uid="{DC869094-F378-4E05-B475-5F91A7B6EDA6}"/>
    <cellStyle name="Normal 8 2 3 3 5 5" xfId="19169" xr:uid="{6AB09EEA-39D1-4908-941D-4305E3862B50}"/>
    <cellStyle name="Normal 8 2 3 3 6" xfId="2638" xr:uid="{00000000-0005-0000-0000-0000CD1C0000}"/>
    <cellStyle name="Normal 8 2 3 3 6 2" xfId="6922" xr:uid="{00000000-0005-0000-0000-0000CE1C0000}"/>
    <cellStyle name="Normal 8 2 3 3 6 2 2" xfId="15364" xr:uid="{ECE5FE62-723F-4D13-8E1C-0374C6B4F4F8}"/>
    <cellStyle name="Normal 8 2 3 3 6 2 3" xfId="23799" xr:uid="{E5ED8D66-5B85-436A-B510-99E8B4A0A463}"/>
    <cellStyle name="Normal 8 2 3 3 6 3" xfId="11146" xr:uid="{44EF1373-EF75-48F1-8D05-51CC806D1DC4}"/>
    <cellStyle name="Normal 8 2 3 3 6 4" xfId="19582" xr:uid="{F9E6BB85-51A6-430C-B6D1-1B005CA7C28E}"/>
    <cellStyle name="Normal 8 2 3 3 7" xfId="4857" xr:uid="{00000000-0005-0000-0000-0000CF1C0000}"/>
    <cellStyle name="Normal 8 2 3 3 7 2" xfId="13299" xr:uid="{36F2AADC-E913-4DDF-9EA4-7E97FBF252AB}"/>
    <cellStyle name="Normal 8 2 3 3 7 3" xfId="21734" xr:uid="{48883312-1C30-438D-B487-43049C8D8B38}"/>
    <cellStyle name="Normal 8 2 3 3 8" xfId="9081" xr:uid="{06F87D63-D945-4A2C-9BA7-251E4B511B73}"/>
    <cellStyle name="Normal 8 2 3 3 9" xfId="17517" xr:uid="{5E9D12D4-8143-4D66-8748-DD189208AF30}"/>
    <cellStyle name="Normal 8 2 3 4" xfId="955" xr:uid="{00000000-0005-0000-0000-0000D01C0000}"/>
    <cellStyle name="Normal 8 2 3 4 2" xfId="3189" xr:uid="{00000000-0005-0000-0000-0000D11C0000}"/>
    <cellStyle name="Normal 8 2 3 4 2 2" xfId="7412" xr:uid="{00000000-0005-0000-0000-0000D21C0000}"/>
    <cellStyle name="Normal 8 2 3 4 2 2 2" xfId="15854" xr:uid="{0B56A431-8AF4-4F07-B281-1F4909291F04}"/>
    <cellStyle name="Normal 8 2 3 4 2 2 3" xfId="24289" xr:uid="{4AEE6B45-EAB1-4A07-9EF3-1E8A692840B3}"/>
    <cellStyle name="Normal 8 2 3 4 2 3" xfId="11636" xr:uid="{340EEA17-718C-4951-B4C0-ECD4F87486EA}"/>
    <cellStyle name="Normal 8 2 3 4 2 4" xfId="20072" xr:uid="{8236D53F-387D-429F-8F82-A6C04612428F}"/>
    <cellStyle name="Normal 8 2 3 4 3" xfId="5267" xr:uid="{00000000-0005-0000-0000-0000D31C0000}"/>
    <cellStyle name="Normal 8 2 3 4 3 2" xfId="13709" xr:uid="{9AFCEBA5-A72B-4A88-A329-48BE94410AFD}"/>
    <cellStyle name="Normal 8 2 3 4 3 3" xfId="22144" xr:uid="{A4AD2015-D69F-449E-9DCE-D221DF498755}"/>
    <cellStyle name="Normal 8 2 3 4 4" xfId="9491" xr:uid="{4980D812-0AE0-4CC4-AFD2-B7BC4DA3BBD4}"/>
    <cellStyle name="Normal 8 2 3 4 5" xfId="17927" xr:uid="{FC7A671A-5335-4069-9208-352E1EC9EA58}"/>
    <cellStyle name="Normal 8 2 3 5" xfId="1372" xr:uid="{00000000-0005-0000-0000-0000D41C0000}"/>
    <cellStyle name="Normal 8 2 3 5 2" xfId="3602" xr:uid="{00000000-0005-0000-0000-0000D51C0000}"/>
    <cellStyle name="Normal 8 2 3 5 2 2" xfId="7825" xr:uid="{00000000-0005-0000-0000-0000D61C0000}"/>
    <cellStyle name="Normal 8 2 3 5 2 2 2" xfId="16267" xr:uid="{54D3A6E6-F43D-4319-AC88-7D44DE233B36}"/>
    <cellStyle name="Normal 8 2 3 5 2 2 3" xfId="24702" xr:uid="{3D8CFA0C-C527-4C57-B215-250A9E5AD608}"/>
    <cellStyle name="Normal 8 2 3 5 2 3" xfId="12049" xr:uid="{39E960B0-78F5-4E4C-8C81-FF5C9F3925D2}"/>
    <cellStyle name="Normal 8 2 3 5 2 4" xfId="20485" xr:uid="{7551CAF3-7B54-4A29-BD6D-AAC448270FB6}"/>
    <cellStyle name="Normal 8 2 3 5 3" xfId="5680" xr:uid="{00000000-0005-0000-0000-0000D71C0000}"/>
    <cellStyle name="Normal 8 2 3 5 3 2" xfId="14122" xr:uid="{6032680F-5478-4B34-A223-F61892D866F5}"/>
    <cellStyle name="Normal 8 2 3 5 3 3" xfId="22557" xr:uid="{1E0B707D-79B0-4C1C-A5ED-CA2C383CCA95}"/>
    <cellStyle name="Normal 8 2 3 5 4" xfId="9904" xr:uid="{E737BB3E-3A9F-4523-B11F-7225215ED73C}"/>
    <cellStyle name="Normal 8 2 3 5 5" xfId="18340" xr:uid="{3C848D4A-D6C0-4C21-825D-37675D66E846}"/>
    <cellStyle name="Normal 8 2 3 6" xfId="1785" xr:uid="{00000000-0005-0000-0000-0000D81C0000}"/>
    <cellStyle name="Normal 8 2 3 6 2" xfId="4015" xr:uid="{00000000-0005-0000-0000-0000D91C0000}"/>
    <cellStyle name="Normal 8 2 3 6 2 2" xfId="8238" xr:uid="{00000000-0005-0000-0000-0000DA1C0000}"/>
    <cellStyle name="Normal 8 2 3 6 2 2 2" xfId="16680" xr:uid="{28A0CB04-70E6-421A-AC5B-9010FF64B6FA}"/>
    <cellStyle name="Normal 8 2 3 6 2 2 3" xfId="25115" xr:uid="{9AFBB88F-D292-4075-BDB9-E3634B65DAB9}"/>
    <cellStyle name="Normal 8 2 3 6 2 3" xfId="12462" xr:uid="{64767225-86AD-46DC-B754-FCA709D71CCB}"/>
    <cellStyle name="Normal 8 2 3 6 2 4" xfId="20898" xr:uid="{1069C4DD-85DB-4987-8094-AA26844B0C68}"/>
    <cellStyle name="Normal 8 2 3 6 3" xfId="6093" xr:uid="{00000000-0005-0000-0000-0000DB1C0000}"/>
    <cellStyle name="Normal 8 2 3 6 3 2" xfId="14535" xr:uid="{B6329481-5BAB-4BAA-83F3-875DA7AABEBB}"/>
    <cellStyle name="Normal 8 2 3 6 3 3" xfId="22970" xr:uid="{E13456CE-973F-4CF9-9214-10343126FCCC}"/>
    <cellStyle name="Normal 8 2 3 6 4" xfId="10317" xr:uid="{4DDEB9E1-58C0-4C79-832F-1796D4E53FB2}"/>
    <cellStyle name="Normal 8 2 3 6 5" xfId="18753" xr:uid="{AF673AD4-9F82-4620-A37A-4FC07A6CCC21}"/>
    <cellStyle name="Normal 8 2 3 7" xfId="2199" xr:uid="{00000000-0005-0000-0000-0000DC1C0000}"/>
    <cellStyle name="Normal 8 2 3 7 2" xfId="4428" xr:uid="{00000000-0005-0000-0000-0000DD1C0000}"/>
    <cellStyle name="Normal 8 2 3 7 2 2" xfId="8651" xr:uid="{00000000-0005-0000-0000-0000DE1C0000}"/>
    <cellStyle name="Normal 8 2 3 7 2 2 2" xfId="17093" xr:uid="{BA3CBDF6-E807-49BF-91C0-797CAE0C635B}"/>
    <cellStyle name="Normal 8 2 3 7 2 2 3" xfId="25528" xr:uid="{22F6CBEB-4C91-418B-8D5D-ADA31793EB2B}"/>
    <cellStyle name="Normal 8 2 3 7 2 3" xfId="12875" xr:uid="{EE0632CE-58E5-48C3-9A9B-249C7C8F5D91}"/>
    <cellStyle name="Normal 8 2 3 7 2 4" xfId="21311" xr:uid="{92DBCCE4-4BAC-4E05-8FCF-417FD83259F6}"/>
    <cellStyle name="Normal 8 2 3 7 3" xfId="6506" xr:uid="{00000000-0005-0000-0000-0000DF1C0000}"/>
    <cellStyle name="Normal 8 2 3 7 3 2" xfId="14948" xr:uid="{4E401B10-BF2B-4B04-B078-45B67AA42514}"/>
    <cellStyle name="Normal 8 2 3 7 3 3" xfId="23383" xr:uid="{8ACD08AF-E954-47D0-894F-660AEAB0923C}"/>
    <cellStyle name="Normal 8 2 3 7 4" xfId="10730" xr:uid="{8C8DA6BF-9E22-4A75-A24E-BB672ABD77F3}"/>
    <cellStyle name="Normal 8 2 3 7 5" xfId="19166" xr:uid="{DE57301A-3B20-4049-A255-F1601B936452}"/>
    <cellStyle name="Normal 8 2 3 8" xfId="2635" xr:uid="{00000000-0005-0000-0000-0000E01C0000}"/>
    <cellStyle name="Normal 8 2 3 8 2" xfId="6919" xr:uid="{00000000-0005-0000-0000-0000E11C0000}"/>
    <cellStyle name="Normal 8 2 3 8 2 2" xfId="15361" xr:uid="{FDD06DE1-A70E-47C3-9B18-63CC4AB138DD}"/>
    <cellStyle name="Normal 8 2 3 8 2 3" xfId="23796" xr:uid="{FAAC30E4-7674-492A-B3CA-DD246FDA1325}"/>
    <cellStyle name="Normal 8 2 3 8 3" xfId="11143" xr:uid="{4137AD83-9D1C-4EBC-B620-FD0E401A8974}"/>
    <cellStyle name="Normal 8 2 3 8 4" xfId="19579" xr:uid="{A4AEB389-88FB-469E-BBEE-1916A8B691A9}"/>
    <cellStyle name="Normal 8 2 3 9" xfId="4854" xr:uid="{00000000-0005-0000-0000-0000E21C0000}"/>
    <cellStyle name="Normal 8 2 3 9 2" xfId="13296" xr:uid="{41D584E5-8749-4EC0-830B-952EA79D9E6C}"/>
    <cellStyle name="Normal 8 2 3 9 3" xfId="21731" xr:uid="{BF99DC8E-2066-4ED4-9872-A6EE84E5A7D3}"/>
    <cellStyle name="Normal 8 2 4" xfId="492" xr:uid="{00000000-0005-0000-0000-0000E31C0000}"/>
    <cellStyle name="Normal 8 2 4 10" xfId="17518" xr:uid="{681C0F3E-18A3-4A0B-9708-0BE49893F666}"/>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2 2 2" xfId="15859" xr:uid="{B155F6E5-F3B7-4D16-B381-45BFF50AEA21}"/>
    <cellStyle name="Normal 8 2 4 2 2 2 2 3" xfId="24294" xr:uid="{61D3C736-59E3-439B-B984-C11EC24CDBF4}"/>
    <cellStyle name="Normal 8 2 4 2 2 2 3" xfId="11641" xr:uid="{BFC07DAD-EAA0-4BAA-B004-4EA69DEEE917}"/>
    <cellStyle name="Normal 8 2 4 2 2 2 4" xfId="20077" xr:uid="{196FDE99-DBAC-4AF0-AE47-BFD70491E020}"/>
    <cellStyle name="Normal 8 2 4 2 2 3" xfId="5272" xr:uid="{00000000-0005-0000-0000-0000E81C0000}"/>
    <cellStyle name="Normal 8 2 4 2 2 3 2" xfId="13714" xr:uid="{0D2B7F9B-4EA7-40CB-B142-DBDBED21EF7B}"/>
    <cellStyle name="Normal 8 2 4 2 2 3 3" xfId="22149" xr:uid="{DD27059B-A8EE-4F68-8C2D-9310D470B335}"/>
    <cellStyle name="Normal 8 2 4 2 2 4" xfId="9496" xr:uid="{F3894EE2-1B97-490C-A951-6811C26185B3}"/>
    <cellStyle name="Normal 8 2 4 2 2 5" xfId="17932" xr:uid="{D8DBF3A4-BF76-47C5-89E1-AAA810B30FD2}"/>
    <cellStyle name="Normal 8 2 4 2 3" xfId="1377" xr:uid="{00000000-0005-0000-0000-0000E91C0000}"/>
    <cellStyle name="Normal 8 2 4 2 3 2" xfId="3607" xr:uid="{00000000-0005-0000-0000-0000EA1C0000}"/>
    <cellStyle name="Normal 8 2 4 2 3 2 2" xfId="7830" xr:uid="{00000000-0005-0000-0000-0000EB1C0000}"/>
    <cellStyle name="Normal 8 2 4 2 3 2 2 2" xfId="16272" xr:uid="{9A373985-ABB6-415E-B0BC-8D8D5B79283D}"/>
    <cellStyle name="Normal 8 2 4 2 3 2 2 3" xfId="24707" xr:uid="{684D27BB-CD3F-4183-8E48-95426028BDC6}"/>
    <cellStyle name="Normal 8 2 4 2 3 2 3" xfId="12054" xr:uid="{CDE1FFC2-EC51-43BB-954C-CC65E0C9CCB6}"/>
    <cellStyle name="Normal 8 2 4 2 3 2 4" xfId="20490" xr:uid="{38B41F71-6DE4-4444-89D8-5F8BAD5C691A}"/>
    <cellStyle name="Normal 8 2 4 2 3 3" xfId="5685" xr:uid="{00000000-0005-0000-0000-0000EC1C0000}"/>
    <cellStyle name="Normal 8 2 4 2 3 3 2" xfId="14127" xr:uid="{37DD0FB5-8330-4304-971A-6C5C75232CAD}"/>
    <cellStyle name="Normal 8 2 4 2 3 3 3" xfId="22562" xr:uid="{49CF4B8B-DBA9-4990-9279-4D2325E829F8}"/>
    <cellStyle name="Normal 8 2 4 2 3 4" xfId="9909" xr:uid="{B8F53068-37FE-48B6-94B2-F4B81213631B}"/>
    <cellStyle name="Normal 8 2 4 2 3 5" xfId="18345" xr:uid="{EAA213E9-6BB6-4029-A19A-AC169C1C6C2B}"/>
    <cellStyle name="Normal 8 2 4 2 4" xfId="1790" xr:uid="{00000000-0005-0000-0000-0000ED1C0000}"/>
    <cellStyle name="Normal 8 2 4 2 4 2" xfId="4020" xr:uid="{00000000-0005-0000-0000-0000EE1C0000}"/>
    <cellStyle name="Normal 8 2 4 2 4 2 2" xfId="8243" xr:uid="{00000000-0005-0000-0000-0000EF1C0000}"/>
    <cellStyle name="Normal 8 2 4 2 4 2 2 2" xfId="16685" xr:uid="{2034FA5A-7FC4-4987-A504-6E03379FAA5C}"/>
    <cellStyle name="Normal 8 2 4 2 4 2 2 3" xfId="25120" xr:uid="{8BFCFCBB-540A-477D-858D-A6BB93876227}"/>
    <cellStyle name="Normal 8 2 4 2 4 2 3" xfId="12467" xr:uid="{2E019950-DBF1-4562-93A0-3219E1DC7B63}"/>
    <cellStyle name="Normal 8 2 4 2 4 2 4" xfId="20903" xr:uid="{9117D132-DE5D-4CB5-92E8-91EC49A1B917}"/>
    <cellStyle name="Normal 8 2 4 2 4 3" xfId="6098" xr:uid="{00000000-0005-0000-0000-0000F01C0000}"/>
    <cellStyle name="Normal 8 2 4 2 4 3 2" xfId="14540" xr:uid="{EDC26C1F-6F1C-4E39-A4B0-E371E90E2C36}"/>
    <cellStyle name="Normal 8 2 4 2 4 3 3" xfId="22975" xr:uid="{2E926571-6F06-48D2-ACF4-CEE6573FAAC0}"/>
    <cellStyle name="Normal 8 2 4 2 4 4" xfId="10322" xr:uid="{2700EE6D-B79D-493B-8547-08FFCF892132}"/>
    <cellStyle name="Normal 8 2 4 2 4 5" xfId="18758" xr:uid="{129499AD-F736-4891-95D5-4147489EF00C}"/>
    <cellStyle name="Normal 8 2 4 2 5" xfId="2204" xr:uid="{00000000-0005-0000-0000-0000F11C0000}"/>
    <cellStyle name="Normal 8 2 4 2 5 2" xfId="4433" xr:uid="{00000000-0005-0000-0000-0000F21C0000}"/>
    <cellStyle name="Normal 8 2 4 2 5 2 2" xfId="8656" xr:uid="{00000000-0005-0000-0000-0000F31C0000}"/>
    <cellStyle name="Normal 8 2 4 2 5 2 2 2" xfId="17098" xr:uid="{9E0503F5-8EBB-412B-9C35-5C11739275A4}"/>
    <cellStyle name="Normal 8 2 4 2 5 2 2 3" xfId="25533" xr:uid="{1D010ADD-6154-4C95-B0CF-2927556B7E16}"/>
    <cellStyle name="Normal 8 2 4 2 5 2 3" xfId="12880" xr:uid="{A1BB943B-73DF-4092-86AA-10DE6069092B}"/>
    <cellStyle name="Normal 8 2 4 2 5 2 4" xfId="21316" xr:uid="{A32B5D7E-7E08-41C5-98C7-F0457BFFCCDA}"/>
    <cellStyle name="Normal 8 2 4 2 5 3" xfId="6511" xr:uid="{00000000-0005-0000-0000-0000F41C0000}"/>
    <cellStyle name="Normal 8 2 4 2 5 3 2" xfId="14953" xr:uid="{209A7F76-9486-42E8-808E-90468EEA37D8}"/>
    <cellStyle name="Normal 8 2 4 2 5 3 3" xfId="23388" xr:uid="{5ED63E67-7B45-41D2-9B47-756EFA0F427F}"/>
    <cellStyle name="Normal 8 2 4 2 5 4" xfId="10735" xr:uid="{2242A6F1-8B3F-4FF7-A226-8F0CC45AF38E}"/>
    <cellStyle name="Normal 8 2 4 2 5 5" xfId="19171" xr:uid="{FD26C34B-C61C-4899-AE85-1C6C7C899DEF}"/>
    <cellStyle name="Normal 8 2 4 2 6" xfId="2640" xr:uid="{00000000-0005-0000-0000-0000F51C0000}"/>
    <cellStyle name="Normal 8 2 4 2 6 2" xfId="6924" xr:uid="{00000000-0005-0000-0000-0000F61C0000}"/>
    <cellStyle name="Normal 8 2 4 2 6 2 2" xfId="15366" xr:uid="{F9A764F3-0BE0-4AC5-B14F-014E956D5AED}"/>
    <cellStyle name="Normal 8 2 4 2 6 2 3" xfId="23801" xr:uid="{E67ECA4F-C91C-427D-8A12-BCDFE3EB337B}"/>
    <cellStyle name="Normal 8 2 4 2 6 3" xfId="11148" xr:uid="{39ED8F6B-1BBD-40C5-B0BF-9F16F6576408}"/>
    <cellStyle name="Normal 8 2 4 2 6 4" xfId="19584" xr:uid="{03FA2D2F-E389-43A2-8D66-E265C8812F01}"/>
    <cellStyle name="Normal 8 2 4 2 7" xfId="4859" xr:uid="{00000000-0005-0000-0000-0000F71C0000}"/>
    <cellStyle name="Normal 8 2 4 2 7 2" xfId="13301" xr:uid="{F668052B-8E69-4D60-9CD6-C5AF26929099}"/>
    <cellStyle name="Normal 8 2 4 2 7 3" xfId="21736" xr:uid="{C0D1ACEA-7D21-421C-80C1-8FAD36D18CB3}"/>
    <cellStyle name="Normal 8 2 4 2 8" xfId="9083" xr:uid="{CFADBA8A-2252-453D-B850-7E9D03CBE653}"/>
    <cellStyle name="Normal 8 2 4 2 9" xfId="17519" xr:uid="{5D4F5822-43EA-4781-9715-D8ACD93A3185}"/>
    <cellStyle name="Normal 8 2 4 3" xfId="959" xr:uid="{00000000-0005-0000-0000-0000F81C0000}"/>
    <cellStyle name="Normal 8 2 4 3 2" xfId="3193" xr:uid="{00000000-0005-0000-0000-0000F91C0000}"/>
    <cellStyle name="Normal 8 2 4 3 2 2" xfId="7416" xr:uid="{00000000-0005-0000-0000-0000FA1C0000}"/>
    <cellStyle name="Normal 8 2 4 3 2 2 2" xfId="15858" xr:uid="{2C09C38C-A9DA-4E98-BEB6-A1DB35A35834}"/>
    <cellStyle name="Normal 8 2 4 3 2 2 3" xfId="24293" xr:uid="{DB62B438-9D7D-4A5C-B3CA-2B5663B87C7D}"/>
    <cellStyle name="Normal 8 2 4 3 2 3" xfId="11640" xr:uid="{700B5286-3183-4E91-96CC-794BF5A166C5}"/>
    <cellStyle name="Normal 8 2 4 3 2 4" xfId="20076" xr:uid="{32E13B9E-A148-4743-887D-608506AB66B1}"/>
    <cellStyle name="Normal 8 2 4 3 3" xfId="5271" xr:uid="{00000000-0005-0000-0000-0000FB1C0000}"/>
    <cellStyle name="Normal 8 2 4 3 3 2" xfId="13713" xr:uid="{CF1EE5D5-9E44-4F7C-972B-C6A6A0DA999B}"/>
    <cellStyle name="Normal 8 2 4 3 3 3" xfId="22148" xr:uid="{38E1487B-65ED-4FA7-BDA1-3F5C3AF44A77}"/>
    <cellStyle name="Normal 8 2 4 3 4" xfId="9495" xr:uid="{38E5EFAE-0357-4CE7-9200-E4609CB6B847}"/>
    <cellStyle name="Normal 8 2 4 3 5" xfId="17931" xr:uid="{AC4F868C-F26C-4049-A87A-7A29C782D509}"/>
    <cellStyle name="Normal 8 2 4 4" xfId="1376" xr:uid="{00000000-0005-0000-0000-0000FC1C0000}"/>
    <cellStyle name="Normal 8 2 4 4 2" xfId="3606" xr:uid="{00000000-0005-0000-0000-0000FD1C0000}"/>
    <cellStyle name="Normal 8 2 4 4 2 2" xfId="7829" xr:uid="{00000000-0005-0000-0000-0000FE1C0000}"/>
    <cellStyle name="Normal 8 2 4 4 2 2 2" xfId="16271" xr:uid="{1B676079-EC28-4DCD-AA99-D880A3B21285}"/>
    <cellStyle name="Normal 8 2 4 4 2 2 3" xfId="24706" xr:uid="{1EEE8D83-0828-4D4D-BB7F-159DBEB492F1}"/>
    <cellStyle name="Normal 8 2 4 4 2 3" xfId="12053" xr:uid="{95395270-8163-46F8-9108-16BCA9CAEB1F}"/>
    <cellStyle name="Normal 8 2 4 4 2 4" xfId="20489" xr:uid="{4B5AD8CB-6DF9-44A5-894B-8D8CC05D24F0}"/>
    <cellStyle name="Normal 8 2 4 4 3" xfId="5684" xr:uid="{00000000-0005-0000-0000-0000FF1C0000}"/>
    <cellStyle name="Normal 8 2 4 4 3 2" xfId="14126" xr:uid="{966BA1F2-498A-4BA7-A0AD-88F410DD6AE8}"/>
    <cellStyle name="Normal 8 2 4 4 3 3" xfId="22561" xr:uid="{520CB256-B8DD-42B6-A5AB-99E2E62565FC}"/>
    <cellStyle name="Normal 8 2 4 4 4" xfId="9908" xr:uid="{6CA2DE9E-5AEA-44C6-8EF9-7B18B3376075}"/>
    <cellStyle name="Normal 8 2 4 4 5" xfId="18344" xr:uid="{B926651A-AB7E-4287-8953-E5A2CAA3E4FA}"/>
    <cellStyle name="Normal 8 2 4 5" xfId="1789" xr:uid="{00000000-0005-0000-0000-0000001D0000}"/>
    <cellStyle name="Normal 8 2 4 5 2" xfId="4019" xr:uid="{00000000-0005-0000-0000-0000011D0000}"/>
    <cellStyle name="Normal 8 2 4 5 2 2" xfId="8242" xr:uid="{00000000-0005-0000-0000-0000021D0000}"/>
    <cellStyle name="Normal 8 2 4 5 2 2 2" xfId="16684" xr:uid="{B69D44C6-2598-4E07-85CD-12BB521B0CFE}"/>
    <cellStyle name="Normal 8 2 4 5 2 2 3" xfId="25119" xr:uid="{0BE15966-9ECD-453F-85DD-B1E1088B7ED8}"/>
    <cellStyle name="Normal 8 2 4 5 2 3" xfId="12466" xr:uid="{91B5E82E-2876-40DD-814A-115A947513C8}"/>
    <cellStyle name="Normal 8 2 4 5 2 4" xfId="20902" xr:uid="{AC083CF0-1B30-4969-9139-1F939EAD3517}"/>
    <cellStyle name="Normal 8 2 4 5 3" xfId="6097" xr:uid="{00000000-0005-0000-0000-0000031D0000}"/>
    <cellStyle name="Normal 8 2 4 5 3 2" xfId="14539" xr:uid="{06E3DBF6-F959-443D-B25A-AF35BF38859C}"/>
    <cellStyle name="Normal 8 2 4 5 3 3" xfId="22974" xr:uid="{54169127-59BB-4ACC-9466-DE4FF5FD6CD9}"/>
    <cellStyle name="Normal 8 2 4 5 4" xfId="10321" xr:uid="{5337B29F-A7EF-4D26-8E0B-4CD39D78AE3F}"/>
    <cellStyle name="Normal 8 2 4 5 5" xfId="18757" xr:uid="{85011FAB-DEF6-4F5D-904E-81A4918B2685}"/>
    <cellStyle name="Normal 8 2 4 6" xfId="2203" xr:uid="{00000000-0005-0000-0000-0000041D0000}"/>
    <cellStyle name="Normal 8 2 4 6 2" xfId="4432" xr:uid="{00000000-0005-0000-0000-0000051D0000}"/>
    <cellStyle name="Normal 8 2 4 6 2 2" xfId="8655" xr:uid="{00000000-0005-0000-0000-0000061D0000}"/>
    <cellStyle name="Normal 8 2 4 6 2 2 2" xfId="17097" xr:uid="{8E5C7BB6-C599-416F-9A8D-0A3C53C4CA10}"/>
    <cellStyle name="Normal 8 2 4 6 2 2 3" xfId="25532" xr:uid="{7A4CF13C-FECD-4A61-AB29-AF44BD047803}"/>
    <cellStyle name="Normal 8 2 4 6 2 3" xfId="12879" xr:uid="{559E96DC-57C3-4541-AC30-EAD0CE75ED66}"/>
    <cellStyle name="Normal 8 2 4 6 2 4" xfId="21315" xr:uid="{64D8EF46-2C8B-466E-AAC2-7A3D48B7C3F0}"/>
    <cellStyle name="Normal 8 2 4 6 3" xfId="6510" xr:uid="{00000000-0005-0000-0000-0000071D0000}"/>
    <cellStyle name="Normal 8 2 4 6 3 2" xfId="14952" xr:uid="{8DAD780B-82A3-41D3-AC97-D5F5D9D6AE3A}"/>
    <cellStyle name="Normal 8 2 4 6 3 3" xfId="23387" xr:uid="{2DBF3B81-53C6-4DDD-831B-6D0A92E16C6D}"/>
    <cellStyle name="Normal 8 2 4 6 4" xfId="10734" xr:uid="{1A44E4F7-DE3C-4BA0-9B41-7890ACA51690}"/>
    <cellStyle name="Normal 8 2 4 6 5" xfId="19170" xr:uid="{BC106D4A-AF52-4C41-8006-1ABFD80CE20E}"/>
    <cellStyle name="Normal 8 2 4 7" xfId="2639" xr:uid="{00000000-0005-0000-0000-0000081D0000}"/>
    <cellStyle name="Normal 8 2 4 7 2" xfId="6923" xr:uid="{00000000-0005-0000-0000-0000091D0000}"/>
    <cellStyle name="Normal 8 2 4 7 2 2" xfId="15365" xr:uid="{B942F369-94AC-417C-8D50-0AA48E6B1B91}"/>
    <cellStyle name="Normal 8 2 4 7 2 3" xfId="23800" xr:uid="{37DE2EC3-9563-4100-B398-C3DCBCC25203}"/>
    <cellStyle name="Normal 8 2 4 7 3" xfId="11147" xr:uid="{AC7C91CD-0BE9-4E5D-A90F-641FB25F0AAD}"/>
    <cellStyle name="Normal 8 2 4 7 4" xfId="19583" xr:uid="{800FCEE8-6AC9-4C65-B5B8-2ED2A3A05994}"/>
    <cellStyle name="Normal 8 2 4 8" xfId="4858" xr:uid="{00000000-0005-0000-0000-00000A1D0000}"/>
    <cellStyle name="Normal 8 2 4 8 2" xfId="13300" xr:uid="{B5A9B474-C6E1-4561-9F68-FDF27DE726F6}"/>
    <cellStyle name="Normal 8 2 4 8 3" xfId="21735" xr:uid="{63CAC5D5-4599-48DB-8D8A-0FACA2E3AD71}"/>
    <cellStyle name="Normal 8 2 4 9" xfId="9082" xr:uid="{E7EB26E6-7AB2-4605-9C1B-60EB0ADE2A64}"/>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2 2 2" xfId="15860" xr:uid="{6CA0B749-AFD6-416D-A125-EF3A8E5F5647}"/>
    <cellStyle name="Normal 8 2 5 2 2 2 3" xfId="24295" xr:uid="{7EDAE3A0-D2DD-4D63-8753-8C6C00A0FFF3}"/>
    <cellStyle name="Normal 8 2 5 2 2 3" xfId="11642" xr:uid="{67092FAA-C95E-4008-80D6-4C3028472C35}"/>
    <cellStyle name="Normal 8 2 5 2 2 4" xfId="20078" xr:uid="{3A48DC02-E96B-4A1D-BF35-1641FDE4993F}"/>
    <cellStyle name="Normal 8 2 5 2 3" xfId="5273" xr:uid="{00000000-0005-0000-0000-00000F1D0000}"/>
    <cellStyle name="Normal 8 2 5 2 3 2" xfId="13715" xr:uid="{33162FF0-83FD-4B36-81D2-B2059CCC3764}"/>
    <cellStyle name="Normal 8 2 5 2 3 3" xfId="22150" xr:uid="{5FF915CF-B052-4CBD-88D3-351E6B7F5908}"/>
    <cellStyle name="Normal 8 2 5 2 4" xfId="9497" xr:uid="{26034253-EE1A-4B36-BC1C-E03CE77F25AF}"/>
    <cellStyle name="Normal 8 2 5 2 5" xfId="17933" xr:uid="{565CF402-B4AB-442C-97DF-844475E5B2F5}"/>
    <cellStyle name="Normal 8 2 5 3" xfId="1378" xr:uid="{00000000-0005-0000-0000-0000101D0000}"/>
    <cellStyle name="Normal 8 2 5 3 2" xfId="3608" xr:uid="{00000000-0005-0000-0000-0000111D0000}"/>
    <cellStyle name="Normal 8 2 5 3 2 2" xfId="7831" xr:uid="{00000000-0005-0000-0000-0000121D0000}"/>
    <cellStyle name="Normal 8 2 5 3 2 2 2" xfId="16273" xr:uid="{2101BBCB-548F-4FFE-A261-AB2CE6363EBE}"/>
    <cellStyle name="Normal 8 2 5 3 2 2 3" xfId="24708" xr:uid="{A8711D3B-6A3D-4070-A630-D3FF8EE319C6}"/>
    <cellStyle name="Normal 8 2 5 3 2 3" xfId="12055" xr:uid="{C3FA8D02-105D-4B31-8929-0843FFCBED9D}"/>
    <cellStyle name="Normal 8 2 5 3 2 4" xfId="20491" xr:uid="{5213DA59-F2D5-4040-BB56-289019F4BD9C}"/>
    <cellStyle name="Normal 8 2 5 3 3" xfId="5686" xr:uid="{00000000-0005-0000-0000-0000131D0000}"/>
    <cellStyle name="Normal 8 2 5 3 3 2" xfId="14128" xr:uid="{49A7E767-D9CA-46EB-A51A-B6032DB6E08B}"/>
    <cellStyle name="Normal 8 2 5 3 3 3" xfId="22563" xr:uid="{8A64D2A7-5C94-4D30-A21B-5BA987C75870}"/>
    <cellStyle name="Normal 8 2 5 3 4" xfId="9910" xr:uid="{1AB54B6F-8E07-4280-B2EE-D3EDEED33DBE}"/>
    <cellStyle name="Normal 8 2 5 3 5" xfId="18346" xr:uid="{DE63EA14-7EBC-4A06-B96A-EBCBFC9701D8}"/>
    <cellStyle name="Normal 8 2 5 4" xfId="1791" xr:uid="{00000000-0005-0000-0000-0000141D0000}"/>
    <cellStyle name="Normal 8 2 5 4 2" xfId="4021" xr:uid="{00000000-0005-0000-0000-0000151D0000}"/>
    <cellStyle name="Normal 8 2 5 4 2 2" xfId="8244" xr:uid="{00000000-0005-0000-0000-0000161D0000}"/>
    <cellStyle name="Normal 8 2 5 4 2 2 2" xfId="16686" xr:uid="{A350B19A-88E3-4459-976F-9466EACACAC4}"/>
    <cellStyle name="Normal 8 2 5 4 2 2 3" xfId="25121" xr:uid="{D1931A36-5DD7-476B-89E7-9B9E71DED1A7}"/>
    <cellStyle name="Normal 8 2 5 4 2 3" xfId="12468" xr:uid="{6E0C27DC-5C4A-44EB-B122-E4F29848A18F}"/>
    <cellStyle name="Normal 8 2 5 4 2 4" xfId="20904" xr:uid="{8E94E1B6-88D3-4BD1-A2DF-8F0F75DDB164}"/>
    <cellStyle name="Normal 8 2 5 4 3" xfId="6099" xr:uid="{00000000-0005-0000-0000-0000171D0000}"/>
    <cellStyle name="Normal 8 2 5 4 3 2" xfId="14541" xr:uid="{E7D6D267-176C-416F-BB8F-9DBD6F205923}"/>
    <cellStyle name="Normal 8 2 5 4 3 3" xfId="22976" xr:uid="{599D46C6-31A4-4D99-910D-6DB10A706094}"/>
    <cellStyle name="Normal 8 2 5 4 4" xfId="10323" xr:uid="{5879E3D6-2215-4B6A-887A-DD1944DEEFE5}"/>
    <cellStyle name="Normal 8 2 5 4 5" xfId="18759" xr:uid="{39F48C71-CA05-4ABD-B5AA-DA0585CB3D1A}"/>
    <cellStyle name="Normal 8 2 5 5" xfId="2205" xr:uid="{00000000-0005-0000-0000-0000181D0000}"/>
    <cellStyle name="Normal 8 2 5 5 2" xfId="4434" xr:uid="{00000000-0005-0000-0000-0000191D0000}"/>
    <cellStyle name="Normal 8 2 5 5 2 2" xfId="8657" xr:uid="{00000000-0005-0000-0000-00001A1D0000}"/>
    <cellStyle name="Normal 8 2 5 5 2 2 2" xfId="17099" xr:uid="{C127FC90-5180-40BF-AAB4-8C29A1432D66}"/>
    <cellStyle name="Normal 8 2 5 5 2 2 3" xfId="25534" xr:uid="{09668F32-D30B-4C99-9FB6-4FFB1AA04C3C}"/>
    <cellStyle name="Normal 8 2 5 5 2 3" xfId="12881" xr:uid="{BA770047-9C0B-44E0-9453-0EA401CC00FD}"/>
    <cellStyle name="Normal 8 2 5 5 2 4" xfId="21317" xr:uid="{99E27DEF-DC7D-49A9-9538-18E414D78048}"/>
    <cellStyle name="Normal 8 2 5 5 3" xfId="6512" xr:uid="{00000000-0005-0000-0000-00001B1D0000}"/>
    <cellStyle name="Normal 8 2 5 5 3 2" xfId="14954" xr:uid="{93EBD502-E13A-4D78-8354-3F743EA52B49}"/>
    <cellStyle name="Normal 8 2 5 5 3 3" xfId="23389" xr:uid="{368C6831-E488-4923-864B-61E42220D8C9}"/>
    <cellStyle name="Normal 8 2 5 5 4" xfId="10736" xr:uid="{77BD57EF-4908-44FE-9F74-FD2D6EAF8353}"/>
    <cellStyle name="Normal 8 2 5 5 5" xfId="19172" xr:uid="{B5459B3C-3A88-4E1A-9F61-AB8F5A67E54E}"/>
    <cellStyle name="Normal 8 2 5 6" xfId="2641" xr:uid="{00000000-0005-0000-0000-00001C1D0000}"/>
    <cellStyle name="Normal 8 2 5 6 2" xfId="6925" xr:uid="{00000000-0005-0000-0000-00001D1D0000}"/>
    <cellStyle name="Normal 8 2 5 6 2 2" xfId="15367" xr:uid="{163B97D9-DB21-45C4-8E04-05C7B01C093C}"/>
    <cellStyle name="Normal 8 2 5 6 2 3" xfId="23802" xr:uid="{4BCA097C-6E97-441E-AA37-B0F9C7803DE3}"/>
    <cellStyle name="Normal 8 2 5 6 3" xfId="11149" xr:uid="{E3004C47-6737-4AAC-9EAA-33611A2E68C5}"/>
    <cellStyle name="Normal 8 2 5 6 4" xfId="19585" xr:uid="{5AD37403-0A2B-439B-9F6C-EB98106D420F}"/>
    <cellStyle name="Normal 8 2 5 7" xfId="4860" xr:uid="{00000000-0005-0000-0000-00001E1D0000}"/>
    <cellStyle name="Normal 8 2 5 7 2" xfId="13302" xr:uid="{5337BCED-1017-4123-87B9-F810F9CAC0C5}"/>
    <cellStyle name="Normal 8 2 5 7 3" xfId="21737" xr:uid="{F3249E0F-34E9-43A0-8653-B78EE5CB61E1}"/>
    <cellStyle name="Normal 8 2 5 8" xfId="9084" xr:uid="{5B44EEFD-9FF7-4C9D-BD3C-CD04FC2D880A}"/>
    <cellStyle name="Normal 8 2 5 9" xfId="17520" xr:uid="{50CAE67A-866E-4262-9EA4-E59C2C0BB8AD}"/>
    <cellStyle name="Normal 8 2 6" xfId="946" xr:uid="{00000000-0005-0000-0000-00001F1D0000}"/>
    <cellStyle name="Normal 8 2 6 2" xfId="3180" xr:uid="{00000000-0005-0000-0000-0000201D0000}"/>
    <cellStyle name="Normal 8 2 6 2 2" xfId="7403" xr:uid="{00000000-0005-0000-0000-0000211D0000}"/>
    <cellStyle name="Normal 8 2 6 2 2 2" xfId="15845" xr:uid="{A7767503-529F-442C-A6AA-2569FA333446}"/>
    <cellStyle name="Normal 8 2 6 2 2 3" xfId="24280" xr:uid="{232B1256-A2D2-4CAF-809A-23FF73179C0B}"/>
    <cellStyle name="Normal 8 2 6 2 3" xfId="11627" xr:uid="{919A7742-311F-4968-8219-88A11FB41A56}"/>
    <cellStyle name="Normal 8 2 6 2 4" xfId="20063" xr:uid="{1FBCE0D5-1308-45BA-996C-B8A208AFBFDC}"/>
    <cellStyle name="Normal 8 2 6 3" xfId="5258" xr:uid="{00000000-0005-0000-0000-0000221D0000}"/>
    <cellStyle name="Normal 8 2 6 3 2" xfId="13700" xr:uid="{334BC4D0-DE41-4DD7-ADFD-C0C1BBAAB831}"/>
    <cellStyle name="Normal 8 2 6 3 3" xfId="22135" xr:uid="{C4517068-4147-4142-963E-4584898196DF}"/>
    <cellStyle name="Normal 8 2 6 4" xfId="9482" xr:uid="{13430284-7FC5-4705-8869-FCDD051ED918}"/>
    <cellStyle name="Normal 8 2 6 5" xfId="17918" xr:uid="{32A10951-58BE-4B00-848A-21577F83B7A4}"/>
    <cellStyle name="Normal 8 2 7" xfId="1363" xr:uid="{00000000-0005-0000-0000-0000231D0000}"/>
    <cellStyle name="Normal 8 2 7 2" xfId="3593" xr:uid="{00000000-0005-0000-0000-0000241D0000}"/>
    <cellStyle name="Normal 8 2 7 2 2" xfId="7816" xr:uid="{00000000-0005-0000-0000-0000251D0000}"/>
    <cellStyle name="Normal 8 2 7 2 2 2" xfId="16258" xr:uid="{7EBC59F7-9BCF-4368-A299-1AD2A5FE27D7}"/>
    <cellStyle name="Normal 8 2 7 2 2 3" xfId="24693" xr:uid="{2CCAC7B4-B8D1-448F-B035-844B3E174433}"/>
    <cellStyle name="Normal 8 2 7 2 3" xfId="12040" xr:uid="{410BE87D-EA79-4D75-BF3D-BCEFB66050F7}"/>
    <cellStyle name="Normal 8 2 7 2 4" xfId="20476" xr:uid="{A0963FE8-BF74-4D70-9510-EEB1430FC4D7}"/>
    <cellStyle name="Normal 8 2 7 3" xfId="5671" xr:uid="{00000000-0005-0000-0000-0000261D0000}"/>
    <cellStyle name="Normal 8 2 7 3 2" xfId="14113" xr:uid="{422F29AD-0409-46C8-8F43-BDBBF46FCB6F}"/>
    <cellStyle name="Normal 8 2 7 3 3" xfId="22548" xr:uid="{1278EB8D-C7E7-422E-BCE6-7DF49E1D56CF}"/>
    <cellStyle name="Normal 8 2 7 4" xfId="9895" xr:uid="{F8F335D6-7ED0-4557-BC12-3440133F5292}"/>
    <cellStyle name="Normal 8 2 7 5" xfId="18331" xr:uid="{C0FB04F3-9F7E-47AE-B31D-C3F0D3EBF57A}"/>
    <cellStyle name="Normal 8 2 8" xfId="1776" xr:uid="{00000000-0005-0000-0000-0000271D0000}"/>
    <cellStyle name="Normal 8 2 8 2" xfId="4006" xr:uid="{00000000-0005-0000-0000-0000281D0000}"/>
    <cellStyle name="Normal 8 2 8 2 2" xfId="8229" xr:uid="{00000000-0005-0000-0000-0000291D0000}"/>
    <cellStyle name="Normal 8 2 8 2 2 2" xfId="16671" xr:uid="{72C43C7E-A827-4D7F-A630-9AD00917EDFD}"/>
    <cellStyle name="Normal 8 2 8 2 2 3" xfId="25106" xr:uid="{E120FFEE-666B-45A4-BBB4-9468C2FB15D1}"/>
    <cellStyle name="Normal 8 2 8 2 3" xfId="12453" xr:uid="{C182C4A2-4A05-4A05-9B19-8D39664E5A2C}"/>
    <cellStyle name="Normal 8 2 8 2 4" xfId="20889" xr:uid="{F2A09F63-6600-4B66-A628-B225D28C3DDD}"/>
    <cellStyle name="Normal 8 2 8 3" xfId="6084" xr:uid="{00000000-0005-0000-0000-00002A1D0000}"/>
    <cellStyle name="Normal 8 2 8 3 2" xfId="14526" xr:uid="{3498B860-9CA5-44D2-83C0-7B22EBE77E73}"/>
    <cellStyle name="Normal 8 2 8 3 3" xfId="22961" xr:uid="{710CF41F-2106-4625-BCAC-2228AD2676F9}"/>
    <cellStyle name="Normal 8 2 8 4" xfId="10308" xr:uid="{D18782C9-C71B-413C-928B-7B961493894F}"/>
    <cellStyle name="Normal 8 2 8 5" xfId="18744" xr:uid="{4A3B84AD-E88F-43D1-9315-EC7DAF2DB5DD}"/>
    <cellStyle name="Normal 8 2 9" xfId="2190" xr:uid="{00000000-0005-0000-0000-00002B1D0000}"/>
    <cellStyle name="Normal 8 2 9 2" xfId="4419" xr:uid="{00000000-0005-0000-0000-00002C1D0000}"/>
    <cellStyle name="Normal 8 2 9 2 2" xfId="8642" xr:uid="{00000000-0005-0000-0000-00002D1D0000}"/>
    <cellStyle name="Normal 8 2 9 2 2 2" xfId="17084" xr:uid="{2DC1F761-48C5-484E-A32F-20011C876E65}"/>
    <cellStyle name="Normal 8 2 9 2 2 3" xfId="25519" xr:uid="{6E119F4B-FE77-45BC-A21D-919061FF983C}"/>
    <cellStyle name="Normal 8 2 9 2 3" xfId="12866" xr:uid="{8ED3A1EF-927B-4366-A90E-15DEC672938B}"/>
    <cellStyle name="Normal 8 2 9 2 4" xfId="21302" xr:uid="{F125B6D2-446C-4C32-BE74-BB3531362ADD}"/>
    <cellStyle name="Normal 8 2 9 3" xfId="6497" xr:uid="{00000000-0005-0000-0000-00002E1D0000}"/>
    <cellStyle name="Normal 8 2 9 3 2" xfId="14939" xr:uid="{D68323F7-337E-4C6D-B776-4CCC46D68EDA}"/>
    <cellStyle name="Normal 8 2 9 3 3" xfId="23374" xr:uid="{2A4CB4BF-E1E6-4FED-869B-2504EFCAA165}"/>
    <cellStyle name="Normal 8 2 9 4" xfId="10721" xr:uid="{96129FB8-8F4C-410D-99A0-A33272250592}"/>
    <cellStyle name="Normal 8 2 9 5" xfId="19157" xr:uid="{36AA7D2E-3392-420D-A6EA-4F8C7F0EC958}"/>
    <cellStyle name="Normal 8 3" xfId="495" xr:uid="{00000000-0005-0000-0000-00002F1D0000}"/>
    <cellStyle name="Normal 8 3 10" xfId="4861" xr:uid="{00000000-0005-0000-0000-0000301D0000}"/>
    <cellStyle name="Normal 8 3 10 2" xfId="13303" xr:uid="{39BBF8CD-F7F9-41C8-9D25-4D92CD3D063E}"/>
    <cellStyle name="Normal 8 3 10 3" xfId="21738" xr:uid="{FA0BE189-4918-4E75-8015-7EAC2463A7BD}"/>
    <cellStyle name="Normal 8 3 11" xfId="9085" xr:uid="{2552B96A-F22D-4886-A600-074B3B12AD27}"/>
    <cellStyle name="Normal 8 3 12" xfId="17521" xr:uid="{5DA64A92-0F50-42F8-B597-351EF4E7AC15}"/>
    <cellStyle name="Normal 8 3 2" xfId="496" xr:uid="{00000000-0005-0000-0000-0000311D0000}"/>
    <cellStyle name="Normal 8 3 2 10" xfId="9086" xr:uid="{9B88D324-F31A-4583-B457-D590C956AA7B}"/>
    <cellStyle name="Normal 8 3 2 11" xfId="17522" xr:uid="{84FC549E-10F3-4CEC-874F-1598A4206693}"/>
    <cellStyle name="Normal 8 3 2 2" xfId="497" xr:uid="{00000000-0005-0000-0000-0000321D0000}"/>
    <cellStyle name="Normal 8 3 2 2 10" xfId="17523" xr:uid="{4AD6274A-2B63-4C0B-A69F-17CB39F505FB}"/>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2 2 2" xfId="15864" xr:uid="{A367AB31-55EB-47B9-BA04-A50ACEAE5A5F}"/>
    <cellStyle name="Normal 8 3 2 2 2 2 2 2 3" xfId="24299" xr:uid="{32A00069-FB0D-4B3D-94F6-DA24533B2B2B}"/>
    <cellStyle name="Normal 8 3 2 2 2 2 2 3" xfId="11646" xr:uid="{26751B18-8117-413D-8AC2-69FFE16CC29F}"/>
    <cellStyle name="Normal 8 3 2 2 2 2 2 4" xfId="20082" xr:uid="{FCF8E154-7D6F-49C1-A993-AB8F49C73940}"/>
    <cellStyle name="Normal 8 3 2 2 2 2 3" xfId="5277" xr:uid="{00000000-0005-0000-0000-0000371D0000}"/>
    <cellStyle name="Normal 8 3 2 2 2 2 3 2" xfId="13719" xr:uid="{F6313A16-A9A0-46EC-804F-A003626FED50}"/>
    <cellStyle name="Normal 8 3 2 2 2 2 3 3" xfId="22154" xr:uid="{5DAC912D-1E6A-4D0A-A5D8-86238B378127}"/>
    <cellStyle name="Normal 8 3 2 2 2 2 4" xfId="9501" xr:uid="{2712F615-04EB-48CF-8121-4005F1C5F0C9}"/>
    <cellStyle name="Normal 8 3 2 2 2 2 5" xfId="17937" xr:uid="{8016C8AF-201E-46F2-A0ED-1A2D9398A231}"/>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2 2 2" xfId="16277" xr:uid="{672F3339-5657-46F8-B88C-2029B8FF96F6}"/>
    <cellStyle name="Normal 8 3 2 2 2 3 2 2 3" xfId="24712" xr:uid="{3E2CF65E-B1CC-4B2F-A64D-0A7810ED7E69}"/>
    <cellStyle name="Normal 8 3 2 2 2 3 2 3" xfId="12059" xr:uid="{84530FDA-3A59-4EE4-9C87-FD5ED3468399}"/>
    <cellStyle name="Normal 8 3 2 2 2 3 2 4" xfId="20495" xr:uid="{DE65CC40-CA9A-4BB6-8312-AA4694130B2C}"/>
    <cellStyle name="Normal 8 3 2 2 2 3 3" xfId="5690" xr:uid="{00000000-0005-0000-0000-00003B1D0000}"/>
    <cellStyle name="Normal 8 3 2 2 2 3 3 2" xfId="14132" xr:uid="{EEF7ECA2-AA6F-4BC2-B976-DAAFC3624EC9}"/>
    <cellStyle name="Normal 8 3 2 2 2 3 3 3" xfId="22567" xr:uid="{B09C0244-9D3C-40EB-AD52-8F79164A5910}"/>
    <cellStyle name="Normal 8 3 2 2 2 3 4" xfId="9914" xr:uid="{1AC2E4D7-7CBD-4B7F-9380-E6F62D8BB14C}"/>
    <cellStyle name="Normal 8 3 2 2 2 3 5" xfId="18350" xr:uid="{3058A6EC-0E7D-45AA-A5BA-545C40EB6F6D}"/>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2 2 2" xfId="16690" xr:uid="{60B24F76-EA17-4960-A03B-4F4039F9AB6C}"/>
    <cellStyle name="Normal 8 3 2 2 2 4 2 2 3" xfId="25125" xr:uid="{79FBA4E8-0891-484E-B6A7-FAFC7B60BC7D}"/>
    <cellStyle name="Normal 8 3 2 2 2 4 2 3" xfId="12472" xr:uid="{F51A4438-4AD0-4C2B-8BA2-F9775B11D9AC}"/>
    <cellStyle name="Normal 8 3 2 2 2 4 2 4" xfId="20908" xr:uid="{FEB9EB10-9407-4EC7-AB25-BB4803A8093B}"/>
    <cellStyle name="Normal 8 3 2 2 2 4 3" xfId="6103" xr:uid="{00000000-0005-0000-0000-00003F1D0000}"/>
    <cellStyle name="Normal 8 3 2 2 2 4 3 2" xfId="14545" xr:uid="{D7C88A4F-6BFA-4242-94FA-A219E040DC50}"/>
    <cellStyle name="Normal 8 3 2 2 2 4 3 3" xfId="22980" xr:uid="{04DE561F-EAE2-4794-8EDB-9F0E7140E9D9}"/>
    <cellStyle name="Normal 8 3 2 2 2 4 4" xfId="10327" xr:uid="{AF7E92E6-AE8E-4305-B352-9DA4CA02BD45}"/>
    <cellStyle name="Normal 8 3 2 2 2 4 5" xfId="18763" xr:uid="{D819C298-FC11-41E9-940F-EED8CCDA7A5E}"/>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2 2 2" xfId="17103" xr:uid="{48A03DF2-7378-4157-9D5E-6A82EF3DFEB6}"/>
    <cellStyle name="Normal 8 3 2 2 2 5 2 2 3" xfId="25538" xr:uid="{4FD16227-4604-4BE0-A729-79BD684F38F5}"/>
    <cellStyle name="Normal 8 3 2 2 2 5 2 3" xfId="12885" xr:uid="{50B3A69E-0D13-4CE6-BD67-95D83321DAB8}"/>
    <cellStyle name="Normal 8 3 2 2 2 5 2 4" xfId="21321" xr:uid="{68163BC0-85F9-4734-BA97-556A43654D17}"/>
    <cellStyle name="Normal 8 3 2 2 2 5 3" xfId="6516" xr:uid="{00000000-0005-0000-0000-0000431D0000}"/>
    <cellStyle name="Normal 8 3 2 2 2 5 3 2" xfId="14958" xr:uid="{FEB8F08B-18CF-4EE2-A38D-7401ACB24E19}"/>
    <cellStyle name="Normal 8 3 2 2 2 5 3 3" xfId="23393" xr:uid="{98DA5400-43FD-4428-A691-EFABAD2A82E6}"/>
    <cellStyle name="Normal 8 3 2 2 2 5 4" xfId="10740" xr:uid="{27D9D45B-DEAF-4198-BFF8-C0D680552B94}"/>
    <cellStyle name="Normal 8 3 2 2 2 5 5" xfId="19176" xr:uid="{794356C8-A60C-4BB4-9103-D78994C7975E}"/>
    <cellStyle name="Normal 8 3 2 2 2 6" xfId="2645" xr:uid="{00000000-0005-0000-0000-0000441D0000}"/>
    <cellStyle name="Normal 8 3 2 2 2 6 2" xfId="6929" xr:uid="{00000000-0005-0000-0000-0000451D0000}"/>
    <cellStyle name="Normal 8 3 2 2 2 6 2 2" xfId="15371" xr:uid="{FB5BF306-49E2-4A01-9B51-0F9BFA993492}"/>
    <cellStyle name="Normal 8 3 2 2 2 6 2 3" xfId="23806" xr:uid="{3AE891E3-73A5-4B6B-BB58-43C42E3C56FB}"/>
    <cellStyle name="Normal 8 3 2 2 2 6 3" xfId="11153" xr:uid="{0DA03204-BDCF-49D8-9294-A38B623F2018}"/>
    <cellStyle name="Normal 8 3 2 2 2 6 4" xfId="19589" xr:uid="{6DA62D63-2B65-4454-93F9-8830261D3A70}"/>
    <cellStyle name="Normal 8 3 2 2 2 7" xfId="4864" xr:uid="{00000000-0005-0000-0000-0000461D0000}"/>
    <cellStyle name="Normal 8 3 2 2 2 7 2" xfId="13306" xr:uid="{BFEA9973-B1C5-4D64-B7DA-C78AB13B3299}"/>
    <cellStyle name="Normal 8 3 2 2 2 7 3" xfId="21741" xr:uid="{347FAFC5-918A-4CD8-A2E0-919AD00B5ED1}"/>
    <cellStyle name="Normal 8 3 2 2 2 8" xfId="9088" xr:uid="{15D1FBCB-42D7-4430-944A-AC96D01FAC9D}"/>
    <cellStyle name="Normal 8 3 2 2 2 9" xfId="17524" xr:uid="{B4E8C893-8D1A-4568-B8A6-935969EFEF40}"/>
    <cellStyle name="Normal 8 3 2 2 3" xfId="964" xr:uid="{00000000-0005-0000-0000-0000471D0000}"/>
    <cellStyle name="Normal 8 3 2 2 3 2" xfId="3198" xr:uid="{00000000-0005-0000-0000-0000481D0000}"/>
    <cellStyle name="Normal 8 3 2 2 3 2 2" xfId="7421" xr:uid="{00000000-0005-0000-0000-0000491D0000}"/>
    <cellStyle name="Normal 8 3 2 2 3 2 2 2" xfId="15863" xr:uid="{EDACEFC2-F670-4382-B24E-CBD58E6F3543}"/>
    <cellStyle name="Normal 8 3 2 2 3 2 2 3" xfId="24298" xr:uid="{F27FDD56-98E3-483E-94CD-343720BDE7BE}"/>
    <cellStyle name="Normal 8 3 2 2 3 2 3" xfId="11645" xr:uid="{B54DEA69-0F3B-4DE1-B793-EC98CA4E839A}"/>
    <cellStyle name="Normal 8 3 2 2 3 2 4" xfId="20081" xr:uid="{D7FA2C74-6F40-4EB0-A420-09A214313D6C}"/>
    <cellStyle name="Normal 8 3 2 2 3 3" xfId="5276" xr:uid="{00000000-0005-0000-0000-00004A1D0000}"/>
    <cellStyle name="Normal 8 3 2 2 3 3 2" xfId="13718" xr:uid="{2E7C7C99-8553-409A-94FD-4EC0B8718D55}"/>
    <cellStyle name="Normal 8 3 2 2 3 3 3" xfId="22153" xr:uid="{5642FEAC-8386-409C-A28E-FF2AB7D53B5B}"/>
    <cellStyle name="Normal 8 3 2 2 3 4" xfId="9500" xr:uid="{D9A81844-5269-4A17-B2BE-C7C7E5A91ABC}"/>
    <cellStyle name="Normal 8 3 2 2 3 5" xfId="17936" xr:uid="{24476007-8869-4D23-9BD5-6E28BB105858}"/>
    <cellStyle name="Normal 8 3 2 2 4" xfId="1381" xr:uid="{00000000-0005-0000-0000-00004B1D0000}"/>
    <cellStyle name="Normal 8 3 2 2 4 2" xfId="3611" xr:uid="{00000000-0005-0000-0000-00004C1D0000}"/>
    <cellStyle name="Normal 8 3 2 2 4 2 2" xfId="7834" xr:uid="{00000000-0005-0000-0000-00004D1D0000}"/>
    <cellStyle name="Normal 8 3 2 2 4 2 2 2" xfId="16276" xr:uid="{88CF3DA9-780D-45CE-A08D-C550249B1288}"/>
    <cellStyle name="Normal 8 3 2 2 4 2 2 3" xfId="24711" xr:uid="{053C45FB-E4E1-4AE8-BD69-172128F7A10F}"/>
    <cellStyle name="Normal 8 3 2 2 4 2 3" xfId="12058" xr:uid="{F90040AF-F7DA-4D96-B14B-512772F8EE66}"/>
    <cellStyle name="Normal 8 3 2 2 4 2 4" xfId="20494" xr:uid="{4DCE878A-3E1E-4824-8127-4EB6028B65F3}"/>
    <cellStyle name="Normal 8 3 2 2 4 3" xfId="5689" xr:uid="{00000000-0005-0000-0000-00004E1D0000}"/>
    <cellStyle name="Normal 8 3 2 2 4 3 2" xfId="14131" xr:uid="{31FD5206-33D8-4144-9715-DC33F4931852}"/>
    <cellStyle name="Normal 8 3 2 2 4 3 3" xfId="22566" xr:uid="{AE0E0811-9550-45C0-B43B-782FBE7F7391}"/>
    <cellStyle name="Normal 8 3 2 2 4 4" xfId="9913" xr:uid="{C79945D7-98DB-4C41-A294-219B344EABE1}"/>
    <cellStyle name="Normal 8 3 2 2 4 5" xfId="18349" xr:uid="{3B263554-0E2F-4373-8601-3AEFE9BAA57B}"/>
    <cellStyle name="Normal 8 3 2 2 5" xfId="1794" xr:uid="{00000000-0005-0000-0000-00004F1D0000}"/>
    <cellStyle name="Normal 8 3 2 2 5 2" xfId="4024" xr:uid="{00000000-0005-0000-0000-0000501D0000}"/>
    <cellStyle name="Normal 8 3 2 2 5 2 2" xfId="8247" xr:uid="{00000000-0005-0000-0000-0000511D0000}"/>
    <cellStyle name="Normal 8 3 2 2 5 2 2 2" xfId="16689" xr:uid="{7B17EB5A-96B7-454F-A8E6-CFA079D69605}"/>
    <cellStyle name="Normal 8 3 2 2 5 2 2 3" xfId="25124" xr:uid="{4254EDD2-54DD-4FBB-927A-D786A7EEFFB8}"/>
    <cellStyle name="Normal 8 3 2 2 5 2 3" xfId="12471" xr:uid="{C4CABE50-1BEE-4947-A4DC-8D9087FD24E4}"/>
    <cellStyle name="Normal 8 3 2 2 5 2 4" xfId="20907" xr:uid="{A9C10AB9-5AF4-4FB0-804A-17F1AB56272E}"/>
    <cellStyle name="Normal 8 3 2 2 5 3" xfId="6102" xr:uid="{00000000-0005-0000-0000-0000521D0000}"/>
    <cellStyle name="Normal 8 3 2 2 5 3 2" xfId="14544" xr:uid="{82AA9BB4-0E47-4384-802E-F7AD1E4681E8}"/>
    <cellStyle name="Normal 8 3 2 2 5 3 3" xfId="22979" xr:uid="{A3C455EA-2FF7-4E1E-863B-D4884037E5B3}"/>
    <cellStyle name="Normal 8 3 2 2 5 4" xfId="10326" xr:uid="{46D3D1DA-550E-443C-87DE-BCD0E4BB4755}"/>
    <cellStyle name="Normal 8 3 2 2 5 5" xfId="18762" xr:uid="{864B9731-9C41-4807-BD53-F78FEC3F5F32}"/>
    <cellStyle name="Normal 8 3 2 2 6" xfId="2208" xr:uid="{00000000-0005-0000-0000-0000531D0000}"/>
    <cellStyle name="Normal 8 3 2 2 6 2" xfId="4437" xr:uid="{00000000-0005-0000-0000-0000541D0000}"/>
    <cellStyle name="Normal 8 3 2 2 6 2 2" xfId="8660" xr:uid="{00000000-0005-0000-0000-0000551D0000}"/>
    <cellStyle name="Normal 8 3 2 2 6 2 2 2" xfId="17102" xr:uid="{A493F7AD-F5B3-49CF-98B0-78866C66F824}"/>
    <cellStyle name="Normal 8 3 2 2 6 2 2 3" xfId="25537" xr:uid="{B9F34284-D7E9-45E7-B46E-202906972CA5}"/>
    <cellStyle name="Normal 8 3 2 2 6 2 3" xfId="12884" xr:uid="{CF6FA576-CFBB-4190-B8B1-518A87BA9A44}"/>
    <cellStyle name="Normal 8 3 2 2 6 2 4" xfId="21320" xr:uid="{DB4EE29D-AFF7-4F87-A607-D969540BC4C6}"/>
    <cellStyle name="Normal 8 3 2 2 6 3" xfId="6515" xr:uid="{00000000-0005-0000-0000-0000561D0000}"/>
    <cellStyle name="Normal 8 3 2 2 6 3 2" xfId="14957" xr:uid="{746AA3F4-EC80-4303-8F72-22141D028335}"/>
    <cellStyle name="Normal 8 3 2 2 6 3 3" xfId="23392" xr:uid="{044A0F4F-67C3-4EEC-A6F9-04BAB7436FAF}"/>
    <cellStyle name="Normal 8 3 2 2 6 4" xfId="10739" xr:uid="{988F13C1-C1F0-4DC9-A375-F74717C9C44C}"/>
    <cellStyle name="Normal 8 3 2 2 6 5" xfId="19175" xr:uid="{099E104F-025A-4F58-B193-F90998D98B9E}"/>
    <cellStyle name="Normal 8 3 2 2 7" xfId="2644" xr:uid="{00000000-0005-0000-0000-0000571D0000}"/>
    <cellStyle name="Normal 8 3 2 2 7 2" xfId="6928" xr:uid="{00000000-0005-0000-0000-0000581D0000}"/>
    <cellStyle name="Normal 8 3 2 2 7 2 2" xfId="15370" xr:uid="{8B503AAC-0FE4-4525-81C1-F580E71AA57E}"/>
    <cellStyle name="Normal 8 3 2 2 7 2 3" xfId="23805" xr:uid="{85087E03-38D9-4292-85F7-6CB0D278FD71}"/>
    <cellStyle name="Normal 8 3 2 2 7 3" xfId="11152" xr:uid="{89CEF4C4-6CB6-4CD6-A24D-4D1716C03E0E}"/>
    <cellStyle name="Normal 8 3 2 2 7 4" xfId="19588" xr:uid="{A7F88795-AAE9-4FF7-93B4-266A240C6ADF}"/>
    <cellStyle name="Normal 8 3 2 2 8" xfId="4863" xr:uid="{00000000-0005-0000-0000-0000591D0000}"/>
    <cellStyle name="Normal 8 3 2 2 8 2" xfId="13305" xr:uid="{A606E3B5-40CC-42DE-9E30-CACC7D8CA871}"/>
    <cellStyle name="Normal 8 3 2 2 8 3" xfId="21740" xr:uid="{30828C3D-93AE-48D8-9AB2-D86C6CCD99D5}"/>
    <cellStyle name="Normal 8 3 2 2 9" xfId="9087" xr:uid="{9939A6F3-FDAD-4467-9526-BEBE2422EF4C}"/>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2 2 2" xfId="15865" xr:uid="{CEBCB382-481E-4EAC-986F-42F7C5C7A373}"/>
    <cellStyle name="Normal 8 3 2 3 2 2 2 3" xfId="24300" xr:uid="{78FC74D7-E9E2-4FFC-A63E-077A781A9B05}"/>
    <cellStyle name="Normal 8 3 2 3 2 2 3" xfId="11647" xr:uid="{7F28A0E4-0AC6-44A9-85CF-3CAFDB448AD5}"/>
    <cellStyle name="Normal 8 3 2 3 2 2 4" xfId="20083" xr:uid="{B1152A26-6F3B-45A6-AA1E-80567CB56E43}"/>
    <cellStyle name="Normal 8 3 2 3 2 3" xfId="5278" xr:uid="{00000000-0005-0000-0000-00005E1D0000}"/>
    <cellStyle name="Normal 8 3 2 3 2 3 2" xfId="13720" xr:uid="{49B90338-C0AE-413A-9E31-F842137C5C37}"/>
    <cellStyle name="Normal 8 3 2 3 2 3 3" xfId="22155" xr:uid="{7E45A11A-0CF6-45EC-9757-BCC45C866A33}"/>
    <cellStyle name="Normal 8 3 2 3 2 4" xfId="9502" xr:uid="{F2D20F1D-67D6-4C6A-A87B-2E6A7810678D}"/>
    <cellStyle name="Normal 8 3 2 3 2 5" xfId="17938" xr:uid="{FE1D3CB5-7BDA-43EC-8297-F35E54E606FF}"/>
    <cellStyle name="Normal 8 3 2 3 3" xfId="1383" xr:uid="{00000000-0005-0000-0000-00005F1D0000}"/>
    <cellStyle name="Normal 8 3 2 3 3 2" xfId="3613" xr:uid="{00000000-0005-0000-0000-0000601D0000}"/>
    <cellStyle name="Normal 8 3 2 3 3 2 2" xfId="7836" xr:uid="{00000000-0005-0000-0000-0000611D0000}"/>
    <cellStyle name="Normal 8 3 2 3 3 2 2 2" xfId="16278" xr:uid="{A8796EF3-89AF-4B08-99E6-990F220D6D4E}"/>
    <cellStyle name="Normal 8 3 2 3 3 2 2 3" xfId="24713" xr:uid="{9B44A125-E8DC-40E4-B903-42141AFD5F88}"/>
    <cellStyle name="Normal 8 3 2 3 3 2 3" xfId="12060" xr:uid="{6258B7B6-2D60-4064-A437-0213E13D45A8}"/>
    <cellStyle name="Normal 8 3 2 3 3 2 4" xfId="20496" xr:uid="{1D09AF59-33DA-4B69-93A8-D884487FB97C}"/>
    <cellStyle name="Normal 8 3 2 3 3 3" xfId="5691" xr:uid="{00000000-0005-0000-0000-0000621D0000}"/>
    <cellStyle name="Normal 8 3 2 3 3 3 2" xfId="14133" xr:uid="{08DC57BD-489A-4D60-960D-060C6D9FA3E3}"/>
    <cellStyle name="Normal 8 3 2 3 3 3 3" xfId="22568" xr:uid="{2C3C0098-162A-4A00-9934-8D17188373F3}"/>
    <cellStyle name="Normal 8 3 2 3 3 4" xfId="9915" xr:uid="{17B19296-E594-4E17-9DEE-1E08EC5D076F}"/>
    <cellStyle name="Normal 8 3 2 3 3 5" xfId="18351" xr:uid="{65C2C89C-1B4B-40CB-A61B-219AD582C999}"/>
    <cellStyle name="Normal 8 3 2 3 4" xfId="1796" xr:uid="{00000000-0005-0000-0000-0000631D0000}"/>
    <cellStyle name="Normal 8 3 2 3 4 2" xfId="4026" xr:uid="{00000000-0005-0000-0000-0000641D0000}"/>
    <cellStyle name="Normal 8 3 2 3 4 2 2" xfId="8249" xr:uid="{00000000-0005-0000-0000-0000651D0000}"/>
    <cellStyle name="Normal 8 3 2 3 4 2 2 2" xfId="16691" xr:uid="{CC4E5353-8EAB-4B18-BA39-89EFABFE25C5}"/>
    <cellStyle name="Normal 8 3 2 3 4 2 2 3" xfId="25126" xr:uid="{04162609-156B-4480-B99B-93E1D2C2CDA6}"/>
    <cellStyle name="Normal 8 3 2 3 4 2 3" xfId="12473" xr:uid="{804726E7-8F69-4F1B-BA3A-86D9BA6D4593}"/>
    <cellStyle name="Normal 8 3 2 3 4 2 4" xfId="20909" xr:uid="{2C78BC07-32D8-4233-B98E-C32F5A67A52E}"/>
    <cellStyle name="Normal 8 3 2 3 4 3" xfId="6104" xr:uid="{00000000-0005-0000-0000-0000661D0000}"/>
    <cellStyle name="Normal 8 3 2 3 4 3 2" xfId="14546" xr:uid="{16AE7026-D092-44E7-9C91-6B8A53ABEA9F}"/>
    <cellStyle name="Normal 8 3 2 3 4 3 3" xfId="22981" xr:uid="{DEE98823-4E63-4CA2-8F08-526F23200F7B}"/>
    <cellStyle name="Normal 8 3 2 3 4 4" xfId="10328" xr:uid="{4831D438-DEB4-49A9-8F46-5109266BDF9F}"/>
    <cellStyle name="Normal 8 3 2 3 4 5" xfId="18764" xr:uid="{EC5586CF-50B0-4939-AAC2-C63AF0B32F4F}"/>
    <cellStyle name="Normal 8 3 2 3 5" xfId="2210" xr:uid="{00000000-0005-0000-0000-0000671D0000}"/>
    <cellStyle name="Normal 8 3 2 3 5 2" xfId="4439" xr:uid="{00000000-0005-0000-0000-0000681D0000}"/>
    <cellStyle name="Normal 8 3 2 3 5 2 2" xfId="8662" xr:uid="{00000000-0005-0000-0000-0000691D0000}"/>
    <cellStyle name="Normal 8 3 2 3 5 2 2 2" xfId="17104" xr:uid="{C68D8D91-703A-4E4A-995E-C5939F2595F8}"/>
    <cellStyle name="Normal 8 3 2 3 5 2 2 3" xfId="25539" xr:uid="{A4A601F2-B6D6-469B-9D16-E0A3B5FC2951}"/>
    <cellStyle name="Normal 8 3 2 3 5 2 3" xfId="12886" xr:uid="{2A60D40B-5CF0-4684-8B71-A202AB6DABE2}"/>
    <cellStyle name="Normal 8 3 2 3 5 2 4" xfId="21322" xr:uid="{B61012A5-B4A8-432A-9788-32DB9B81AA67}"/>
    <cellStyle name="Normal 8 3 2 3 5 3" xfId="6517" xr:uid="{00000000-0005-0000-0000-00006A1D0000}"/>
    <cellStyle name="Normal 8 3 2 3 5 3 2" xfId="14959" xr:uid="{0D2496D8-4D2C-48DA-9E6A-02C9C813DEFD}"/>
    <cellStyle name="Normal 8 3 2 3 5 3 3" xfId="23394" xr:uid="{06CCB5C7-5F8B-4A7F-8B40-A3C6BAC9EA68}"/>
    <cellStyle name="Normal 8 3 2 3 5 4" xfId="10741" xr:uid="{233717AD-33D4-4F23-9026-90A80E181666}"/>
    <cellStyle name="Normal 8 3 2 3 5 5" xfId="19177" xr:uid="{191ED7E5-AEB5-43EE-945C-96816A365F1F}"/>
    <cellStyle name="Normal 8 3 2 3 6" xfId="2646" xr:uid="{00000000-0005-0000-0000-00006B1D0000}"/>
    <cellStyle name="Normal 8 3 2 3 6 2" xfId="6930" xr:uid="{00000000-0005-0000-0000-00006C1D0000}"/>
    <cellStyle name="Normal 8 3 2 3 6 2 2" xfId="15372" xr:uid="{AC66DE21-DA51-4179-99EC-2E56812606DF}"/>
    <cellStyle name="Normal 8 3 2 3 6 2 3" xfId="23807" xr:uid="{AA577EA9-7D71-4F0A-BA94-07DB7B41417B}"/>
    <cellStyle name="Normal 8 3 2 3 6 3" xfId="11154" xr:uid="{557A56EB-0FDA-4BC7-A22E-50177C80324F}"/>
    <cellStyle name="Normal 8 3 2 3 6 4" xfId="19590" xr:uid="{D55E594F-F675-49E4-A98D-6E2502EF32F8}"/>
    <cellStyle name="Normal 8 3 2 3 7" xfId="4865" xr:uid="{00000000-0005-0000-0000-00006D1D0000}"/>
    <cellStyle name="Normal 8 3 2 3 7 2" xfId="13307" xr:uid="{EAAC28BD-39B1-40BD-9D20-19AFF20C636A}"/>
    <cellStyle name="Normal 8 3 2 3 7 3" xfId="21742" xr:uid="{F7F9743A-74E1-4915-90EF-2D7121D24F1D}"/>
    <cellStyle name="Normal 8 3 2 3 8" xfId="9089" xr:uid="{C71BF67F-7B7C-4EF3-8165-91DC917378DF}"/>
    <cellStyle name="Normal 8 3 2 3 9" xfId="17525" xr:uid="{543F1D9F-7085-4ECF-9B35-53DD3B981AF4}"/>
    <cellStyle name="Normal 8 3 2 4" xfId="963" xr:uid="{00000000-0005-0000-0000-00006E1D0000}"/>
    <cellStyle name="Normal 8 3 2 4 2" xfId="3197" xr:uid="{00000000-0005-0000-0000-00006F1D0000}"/>
    <cellStyle name="Normal 8 3 2 4 2 2" xfId="7420" xr:uid="{00000000-0005-0000-0000-0000701D0000}"/>
    <cellStyle name="Normal 8 3 2 4 2 2 2" xfId="15862" xr:uid="{ACA84E6F-7B99-49A8-B736-85AAE9D4E5F2}"/>
    <cellStyle name="Normal 8 3 2 4 2 2 3" xfId="24297" xr:uid="{3554841F-F8CC-4858-85CF-38D8F6950189}"/>
    <cellStyle name="Normal 8 3 2 4 2 3" xfId="11644" xr:uid="{D309942A-8111-43BE-B85B-01D4670FE334}"/>
    <cellStyle name="Normal 8 3 2 4 2 4" xfId="20080" xr:uid="{C9F5988F-4487-402D-BD7D-6ACA5B69FCC4}"/>
    <cellStyle name="Normal 8 3 2 4 3" xfId="5275" xr:uid="{00000000-0005-0000-0000-0000711D0000}"/>
    <cellStyle name="Normal 8 3 2 4 3 2" xfId="13717" xr:uid="{D2EA9764-208B-41E4-9686-2ED8A6E9271F}"/>
    <cellStyle name="Normal 8 3 2 4 3 3" xfId="22152" xr:uid="{A43EF7BE-204A-4BDE-83CE-296E3D0F2534}"/>
    <cellStyle name="Normal 8 3 2 4 4" xfId="9499" xr:uid="{D7F44AC3-D563-4995-8F6C-B4651B6DA39D}"/>
    <cellStyle name="Normal 8 3 2 4 5" xfId="17935" xr:uid="{92D8E934-6FB4-4295-A13C-4EF501CC2D58}"/>
    <cellStyle name="Normal 8 3 2 5" xfId="1380" xr:uid="{00000000-0005-0000-0000-0000721D0000}"/>
    <cellStyle name="Normal 8 3 2 5 2" xfId="3610" xr:uid="{00000000-0005-0000-0000-0000731D0000}"/>
    <cellStyle name="Normal 8 3 2 5 2 2" xfId="7833" xr:uid="{00000000-0005-0000-0000-0000741D0000}"/>
    <cellStyle name="Normal 8 3 2 5 2 2 2" xfId="16275" xr:uid="{FF4FB131-F1AF-430A-89C9-D0F26564D0F0}"/>
    <cellStyle name="Normal 8 3 2 5 2 2 3" xfId="24710" xr:uid="{1DF74069-41F8-47F9-A2AA-7E0E08874D23}"/>
    <cellStyle name="Normal 8 3 2 5 2 3" xfId="12057" xr:uid="{774F5983-EF10-4DE1-AB8B-B35DBCB705C1}"/>
    <cellStyle name="Normal 8 3 2 5 2 4" xfId="20493" xr:uid="{A940F7EF-584D-4C37-8B0D-33EC84B688F0}"/>
    <cellStyle name="Normal 8 3 2 5 3" xfId="5688" xr:uid="{00000000-0005-0000-0000-0000751D0000}"/>
    <cellStyle name="Normal 8 3 2 5 3 2" xfId="14130" xr:uid="{CC99FAC8-DF84-4922-9FD6-AC4B25AFCA55}"/>
    <cellStyle name="Normal 8 3 2 5 3 3" xfId="22565" xr:uid="{FBF553F6-71AF-4EB8-B559-264187AD4020}"/>
    <cellStyle name="Normal 8 3 2 5 4" xfId="9912" xr:uid="{4E95F869-B311-47A5-BCCC-3D095C54A580}"/>
    <cellStyle name="Normal 8 3 2 5 5" xfId="18348" xr:uid="{87B059CA-48D5-4561-9B9F-F12BDDCDBB5A}"/>
    <cellStyle name="Normal 8 3 2 6" xfId="1793" xr:uid="{00000000-0005-0000-0000-0000761D0000}"/>
    <cellStyle name="Normal 8 3 2 6 2" xfId="4023" xr:uid="{00000000-0005-0000-0000-0000771D0000}"/>
    <cellStyle name="Normal 8 3 2 6 2 2" xfId="8246" xr:uid="{00000000-0005-0000-0000-0000781D0000}"/>
    <cellStyle name="Normal 8 3 2 6 2 2 2" xfId="16688" xr:uid="{2BB1661E-7DCD-4CFF-AC72-7EE2A368FBD1}"/>
    <cellStyle name="Normal 8 3 2 6 2 2 3" xfId="25123" xr:uid="{D9F438D6-C6D5-4DDF-BB96-4A658DB435E4}"/>
    <cellStyle name="Normal 8 3 2 6 2 3" xfId="12470" xr:uid="{C5834685-86F7-4533-9D99-691EF5AA3577}"/>
    <cellStyle name="Normal 8 3 2 6 2 4" xfId="20906" xr:uid="{BF32E78B-7EF4-462F-A282-98CCC357DEF2}"/>
    <cellStyle name="Normal 8 3 2 6 3" xfId="6101" xr:uid="{00000000-0005-0000-0000-0000791D0000}"/>
    <cellStyle name="Normal 8 3 2 6 3 2" xfId="14543" xr:uid="{2194757E-D70A-49AF-AE9A-5337363E87B2}"/>
    <cellStyle name="Normal 8 3 2 6 3 3" xfId="22978" xr:uid="{0D0680FE-F432-4368-A2A4-952AB1688517}"/>
    <cellStyle name="Normal 8 3 2 6 4" xfId="10325" xr:uid="{1B1AF4E9-4631-4E34-9428-BCF2852F097A}"/>
    <cellStyle name="Normal 8 3 2 6 5" xfId="18761" xr:uid="{75D0CF8B-7ABF-4997-A228-854055E54D07}"/>
    <cellStyle name="Normal 8 3 2 7" xfId="2207" xr:uid="{00000000-0005-0000-0000-00007A1D0000}"/>
    <cellStyle name="Normal 8 3 2 7 2" xfId="4436" xr:uid="{00000000-0005-0000-0000-00007B1D0000}"/>
    <cellStyle name="Normal 8 3 2 7 2 2" xfId="8659" xr:uid="{00000000-0005-0000-0000-00007C1D0000}"/>
    <cellStyle name="Normal 8 3 2 7 2 2 2" xfId="17101" xr:uid="{83F098AF-2945-4C30-98B1-287210A6BE09}"/>
    <cellStyle name="Normal 8 3 2 7 2 2 3" xfId="25536" xr:uid="{2DB1C938-F5E8-4038-A3D1-0DA699683AB3}"/>
    <cellStyle name="Normal 8 3 2 7 2 3" xfId="12883" xr:uid="{42C90FAF-E155-46EA-85FF-3298CEE5DFA5}"/>
    <cellStyle name="Normal 8 3 2 7 2 4" xfId="21319" xr:uid="{9684B6D4-539D-4BA2-8D7C-2C4880BE65DF}"/>
    <cellStyle name="Normal 8 3 2 7 3" xfId="6514" xr:uid="{00000000-0005-0000-0000-00007D1D0000}"/>
    <cellStyle name="Normal 8 3 2 7 3 2" xfId="14956" xr:uid="{36439705-BD89-4848-BC28-C12DD076FD17}"/>
    <cellStyle name="Normal 8 3 2 7 3 3" xfId="23391" xr:uid="{85DBD6D4-0A04-4BB8-BA94-CAEDEB63BC96}"/>
    <cellStyle name="Normal 8 3 2 7 4" xfId="10738" xr:uid="{ACB50B46-8F9E-48E1-B610-80B52DD4635B}"/>
    <cellStyle name="Normal 8 3 2 7 5" xfId="19174" xr:uid="{2A29E3A0-4F47-4AD5-8E51-847C981BA27A}"/>
    <cellStyle name="Normal 8 3 2 8" xfId="2643" xr:uid="{00000000-0005-0000-0000-00007E1D0000}"/>
    <cellStyle name="Normal 8 3 2 8 2" xfId="6927" xr:uid="{00000000-0005-0000-0000-00007F1D0000}"/>
    <cellStyle name="Normal 8 3 2 8 2 2" xfId="15369" xr:uid="{59FBD3D8-2951-49D8-9CCB-EC52C362DA7F}"/>
    <cellStyle name="Normal 8 3 2 8 2 3" xfId="23804" xr:uid="{219DEA1E-0C62-415D-AF38-E2BDF75ADC3C}"/>
    <cellStyle name="Normal 8 3 2 8 3" xfId="11151" xr:uid="{3E7C9BC5-A586-4CF5-8629-52EFDD3A9AB0}"/>
    <cellStyle name="Normal 8 3 2 8 4" xfId="19587" xr:uid="{BA4B361A-AAC8-4940-BAC5-E586AA64C9CC}"/>
    <cellStyle name="Normal 8 3 2 9" xfId="4862" xr:uid="{00000000-0005-0000-0000-0000801D0000}"/>
    <cellStyle name="Normal 8 3 2 9 2" xfId="13304" xr:uid="{053E8B66-338D-4DF8-BA5F-E4D7B05A4D2C}"/>
    <cellStyle name="Normal 8 3 2 9 3" xfId="21739" xr:uid="{868E2447-4A33-47CB-A144-06CD02ACAF47}"/>
    <cellStyle name="Normal 8 3 3" xfId="500" xr:uid="{00000000-0005-0000-0000-0000811D0000}"/>
    <cellStyle name="Normal 8 3 3 10" xfId="17526" xr:uid="{E3CD1257-043D-4499-963C-71BA9C6A96E8}"/>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2 2 2" xfId="15867" xr:uid="{AD33B674-CBAD-4E54-BE53-00C9D46FD7FB}"/>
    <cellStyle name="Normal 8 3 3 2 2 2 2 3" xfId="24302" xr:uid="{BD3890B2-6047-4AF5-9028-44CC395723E5}"/>
    <cellStyle name="Normal 8 3 3 2 2 2 3" xfId="11649" xr:uid="{0F8C9BDA-5353-46FE-9A9B-0E5F810E6A0E}"/>
    <cellStyle name="Normal 8 3 3 2 2 2 4" xfId="20085" xr:uid="{E6BDE0EF-2011-45E7-ABC6-471C8EC8620C}"/>
    <cellStyle name="Normal 8 3 3 2 2 3" xfId="5280" xr:uid="{00000000-0005-0000-0000-0000861D0000}"/>
    <cellStyle name="Normal 8 3 3 2 2 3 2" xfId="13722" xr:uid="{7FC7298D-4E7A-46A5-8D3D-A5303CF4134A}"/>
    <cellStyle name="Normal 8 3 3 2 2 3 3" xfId="22157" xr:uid="{FC55915C-3F08-45A1-A9AB-6F850EEBF724}"/>
    <cellStyle name="Normal 8 3 3 2 2 4" xfId="9504" xr:uid="{F7D449FF-E5D1-4A2B-B245-4462A43B3B28}"/>
    <cellStyle name="Normal 8 3 3 2 2 5" xfId="17940" xr:uid="{56DEA427-A350-4A8C-B1A7-17D13991D72B}"/>
    <cellStyle name="Normal 8 3 3 2 3" xfId="1385" xr:uid="{00000000-0005-0000-0000-0000871D0000}"/>
    <cellStyle name="Normal 8 3 3 2 3 2" xfId="3615" xr:uid="{00000000-0005-0000-0000-0000881D0000}"/>
    <cellStyle name="Normal 8 3 3 2 3 2 2" xfId="7838" xr:uid="{00000000-0005-0000-0000-0000891D0000}"/>
    <cellStyle name="Normal 8 3 3 2 3 2 2 2" xfId="16280" xr:uid="{D45409EB-EC1A-4575-BBDF-2B55A9AAD367}"/>
    <cellStyle name="Normal 8 3 3 2 3 2 2 3" xfId="24715" xr:uid="{348D6D1E-BF57-4C21-BD08-7905E7095091}"/>
    <cellStyle name="Normal 8 3 3 2 3 2 3" xfId="12062" xr:uid="{D74E597E-0B04-4D3F-9B1E-345DEE2DFAE0}"/>
    <cellStyle name="Normal 8 3 3 2 3 2 4" xfId="20498" xr:uid="{B958D6B0-7072-4854-AC9D-12FA89CF5318}"/>
    <cellStyle name="Normal 8 3 3 2 3 3" xfId="5693" xr:uid="{00000000-0005-0000-0000-00008A1D0000}"/>
    <cellStyle name="Normal 8 3 3 2 3 3 2" xfId="14135" xr:uid="{70D23891-F83A-44E5-A81C-3D4ACBCCACE8}"/>
    <cellStyle name="Normal 8 3 3 2 3 3 3" xfId="22570" xr:uid="{EF73A20A-2677-422F-8CAD-FD2EC8C618C9}"/>
    <cellStyle name="Normal 8 3 3 2 3 4" xfId="9917" xr:uid="{419AF4B2-A6C4-49DE-B0C9-B71576C4A1D8}"/>
    <cellStyle name="Normal 8 3 3 2 3 5" xfId="18353" xr:uid="{5B7D1BFD-481A-418A-9A8F-B59A0F2F88B7}"/>
    <cellStyle name="Normal 8 3 3 2 4" xfId="1798" xr:uid="{00000000-0005-0000-0000-00008B1D0000}"/>
    <cellStyle name="Normal 8 3 3 2 4 2" xfId="4028" xr:uid="{00000000-0005-0000-0000-00008C1D0000}"/>
    <cellStyle name="Normal 8 3 3 2 4 2 2" xfId="8251" xr:uid="{00000000-0005-0000-0000-00008D1D0000}"/>
    <cellStyle name="Normal 8 3 3 2 4 2 2 2" xfId="16693" xr:uid="{86796CC1-4137-49A8-8872-9724C7FB8F88}"/>
    <cellStyle name="Normal 8 3 3 2 4 2 2 3" xfId="25128" xr:uid="{BB618203-EFCF-4465-9368-8116B69B5A26}"/>
    <cellStyle name="Normal 8 3 3 2 4 2 3" xfId="12475" xr:uid="{604D9746-B7AE-485E-AFA0-76CB635F8F1A}"/>
    <cellStyle name="Normal 8 3 3 2 4 2 4" xfId="20911" xr:uid="{B9A6F018-CC2E-4174-BE24-F3C69F3CCD51}"/>
    <cellStyle name="Normal 8 3 3 2 4 3" xfId="6106" xr:uid="{00000000-0005-0000-0000-00008E1D0000}"/>
    <cellStyle name="Normal 8 3 3 2 4 3 2" xfId="14548" xr:uid="{5A77527F-4649-46E8-91FA-A03B0864E5D8}"/>
    <cellStyle name="Normal 8 3 3 2 4 3 3" xfId="22983" xr:uid="{20940083-DC88-42CA-8721-053553C433E3}"/>
    <cellStyle name="Normal 8 3 3 2 4 4" xfId="10330" xr:uid="{708A667B-5622-4061-B6CD-4AE6857D4630}"/>
    <cellStyle name="Normal 8 3 3 2 4 5" xfId="18766" xr:uid="{897F03DF-6F5A-48B4-B900-575C1D4A01BE}"/>
    <cellStyle name="Normal 8 3 3 2 5" xfId="2212" xr:uid="{00000000-0005-0000-0000-00008F1D0000}"/>
    <cellStyle name="Normal 8 3 3 2 5 2" xfId="4441" xr:uid="{00000000-0005-0000-0000-0000901D0000}"/>
    <cellStyle name="Normal 8 3 3 2 5 2 2" xfId="8664" xr:uid="{00000000-0005-0000-0000-0000911D0000}"/>
    <cellStyle name="Normal 8 3 3 2 5 2 2 2" xfId="17106" xr:uid="{F9B87BED-EFBE-4C44-B36D-E4ABCB7D8223}"/>
    <cellStyle name="Normal 8 3 3 2 5 2 2 3" xfId="25541" xr:uid="{6844A0CF-D097-4ADD-B4CC-DF2F05680ADB}"/>
    <cellStyle name="Normal 8 3 3 2 5 2 3" xfId="12888" xr:uid="{2DED1811-2533-4347-84EC-AAA4858D0CEC}"/>
    <cellStyle name="Normal 8 3 3 2 5 2 4" xfId="21324" xr:uid="{20B0E20E-A5A9-4BCC-8D67-DD5A3EA864A9}"/>
    <cellStyle name="Normal 8 3 3 2 5 3" xfId="6519" xr:uid="{00000000-0005-0000-0000-0000921D0000}"/>
    <cellStyle name="Normal 8 3 3 2 5 3 2" xfId="14961" xr:uid="{57F06313-CFAC-4856-9716-8DAE054B6957}"/>
    <cellStyle name="Normal 8 3 3 2 5 3 3" xfId="23396" xr:uid="{4494CAAE-9BA7-4FA6-90BA-EB1903832D02}"/>
    <cellStyle name="Normal 8 3 3 2 5 4" xfId="10743" xr:uid="{B2AEF1A2-4689-410E-98BC-BBE54DDA967A}"/>
    <cellStyle name="Normal 8 3 3 2 5 5" xfId="19179" xr:uid="{9C697ACA-D48C-49F1-8600-614725749F5E}"/>
    <cellStyle name="Normal 8 3 3 2 6" xfId="2648" xr:uid="{00000000-0005-0000-0000-0000931D0000}"/>
    <cellStyle name="Normal 8 3 3 2 6 2" xfId="6932" xr:uid="{00000000-0005-0000-0000-0000941D0000}"/>
    <cellStyle name="Normal 8 3 3 2 6 2 2" xfId="15374" xr:uid="{6A91543E-1C9E-42EA-84A8-8F80CAF74C6E}"/>
    <cellStyle name="Normal 8 3 3 2 6 2 3" xfId="23809" xr:uid="{7B326ADA-3060-4D37-8DCB-B96171363CD1}"/>
    <cellStyle name="Normal 8 3 3 2 6 3" xfId="11156" xr:uid="{B5203440-3B56-4910-B100-F8D4EC2EA714}"/>
    <cellStyle name="Normal 8 3 3 2 6 4" xfId="19592" xr:uid="{62930807-2330-4779-85DB-FBA2C7208208}"/>
    <cellStyle name="Normal 8 3 3 2 7" xfId="4867" xr:uid="{00000000-0005-0000-0000-0000951D0000}"/>
    <cellStyle name="Normal 8 3 3 2 7 2" xfId="13309" xr:uid="{6A248ACE-3114-4D37-9A4B-DBC7AE152D18}"/>
    <cellStyle name="Normal 8 3 3 2 7 3" xfId="21744" xr:uid="{4D513E3B-88A0-4FE5-B3B2-84B6986CD963}"/>
    <cellStyle name="Normal 8 3 3 2 8" xfId="9091" xr:uid="{426813FB-3F9C-45C3-B33A-17EF23E0EE0C}"/>
    <cellStyle name="Normal 8 3 3 2 9" xfId="17527" xr:uid="{BB7DD047-E425-44D7-8E3B-72E80DF06D58}"/>
    <cellStyle name="Normal 8 3 3 3" xfId="967" xr:uid="{00000000-0005-0000-0000-0000961D0000}"/>
    <cellStyle name="Normal 8 3 3 3 2" xfId="3201" xr:uid="{00000000-0005-0000-0000-0000971D0000}"/>
    <cellStyle name="Normal 8 3 3 3 2 2" xfId="7424" xr:uid="{00000000-0005-0000-0000-0000981D0000}"/>
    <cellStyle name="Normal 8 3 3 3 2 2 2" xfId="15866" xr:uid="{A567ECC2-79B0-4B2C-8A30-BAEC2E9D8060}"/>
    <cellStyle name="Normal 8 3 3 3 2 2 3" xfId="24301" xr:uid="{B17B12C2-A7F1-4D45-A546-56E5D51B169C}"/>
    <cellStyle name="Normal 8 3 3 3 2 3" xfId="11648" xr:uid="{B3BA7CC4-A660-4165-AC71-D86EB2BC6B72}"/>
    <cellStyle name="Normal 8 3 3 3 2 4" xfId="20084" xr:uid="{26B7C22C-A201-42BF-9B04-FEDA5F0D1F97}"/>
    <cellStyle name="Normal 8 3 3 3 3" xfId="5279" xr:uid="{00000000-0005-0000-0000-0000991D0000}"/>
    <cellStyle name="Normal 8 3 3 3 3 2" xfId="13721" xr:uid="{742DCD65-071D-494F-B6C4-82FE9F09E038}"/>
    <cellStyle name="Normal 8 3 3 3 3 3" xfId="22156" xr:uid="{70E7BCD8-1595-4A36-8F89-EE7BEAF950BB}"/>
    <cellStyle name="Normal 8 3 3 3 4" xfId="9503" xr:uid="{75458150-0AEC-47E3-BD02-CD2900EA88CF}"/>
    <cellStyle name="Normal 8 3 3 3 5" xfId="17939" xr:uid="{18DF139F-0E2A-4DCF-91D9-4A352C46C84A}"/>
    <cellStyle name="Normal 8 3 3 4" xfId="1384" xr:uid="{00000000-0005-0000-0000-00009A1D0000}"/>
    <cellStyle name="Normal 8 3 3 4 2" xfId="3614" xr:uid="{00000000-0005-0000-0000-00009B1D0000}"/>
    <cellStyle name="Normal 8 3 3 4 2 2" xfId="7837" xr:uid="{00000000-0005-0000-0000-00009C1D0000}"/>
    <cellStyle name="Normal 8 3 3 4 2 2 2" xfId="16279" xr:uid="{B813612A-1F70-499A-B7C5-B54D75344C4D}"/>
    <cellStyle name="Normal 8 3 3 4 2 2 3" xfId="24714" xr:uid="{3B65C997-861E-416F-B810-93B5739489A5}"/>
    <cellStyle name="Normal 8 3 3 4 2 3" xfId="12061" xr:uid="{EBE95BD9-FE3A-4B36-80F8-76AF501ED6FC}"/>
    <cellStyle name="Normal 8 3 3 4 2 4" xfId="20497" xr:uid="{AE73F903-4F7E-4FFD-94E7-E5534FEC5D63}"/>
    <cellStyle name="Normal 8 3 3 4 3" xfId="5692" xr:uid="{00000000-0005-0000-0000-00009D1D0000}"/>
    <cellStyle name="Normal 8 3 3 4 3 2" xfId="14134" xr:uid="{21AF170C-CEA6-4C2F-B188-52C4A6B33C69}"/>
    <cellStyle name="Normal 8 3 3 4 3 3" xfId="22569" xr:uid="{6371CDBF-63F9-4F77-9EAD-871AE577F1EF}"/>
    <cellStyle name="Normal 8 3 3 4 4" xfId="9916" xr:uid="{6492E037-065F-4FA6-84D0-BBC279D07FBD}"/>
    <cellStyle name="Normal 8 3 3 4 5" xfId="18352" xr:uid="{C7C45021-1A00-4807-80CC-1234B281D5B7}"/>
    <cellStyle name="Normal 8 3 3 5" xfId="1797" xr:uid="{00000000-0005-0000-0000-00009E1D0000}"/>
    <cellStyle name="Normal 8 3 3 5 2" xfId="4027" xr:uid="{00000000-0005-0000-0000-00009F1D0000}"/>
    <cellStyle name="Normal 8 3 3 5 2 2" xfId="8250" xr:uid="{00000000-0005-0000-0000-0000A01D0000}"/>
    <cellStyle name="Normal 8 3 3 5 2 2 2" xfId="16692" xr:uid="{87BFFBB5-63BF-4B7C-9FA9-11E8537AE96B}"/>
    <cellStyle name="Normal 8 3 3 5 2 2 3" xfId="25127" xr:uid="{625F5D23-4124-4B1B-B568-58B91CDECF89}"/>
    <cellStyle name="Normal 8 3 3 5 2 3" xfId="12474" xr:uid="{F037CEA9-7933-4070-A619-0247D4CAA2D1}"/>
    <cellStyle name="Normal 8 3 3 5 2 4" xfId="20910" xr:uid="{A82CD1D5-8F1A-477D-BFBF-AB9302276A47}"/>
    <cellStyle name="Normal 8 3 3 5 3" xfId="6105" xr:uid="{00000000-0005-0000-0000-0000A11D0000}"/>
    <cellStyle name="Normal 8 3 3 5 3 2" xfId="14547" xr:uid="{6434DD52-C879-4A8F-9BA9-CB9FA5F3752D}"/>
    <cellStyle name="Normal 8 3 3 5 3 3" xfId="22982" xr:uid="{B72B8C2E-F3F1-4FC4-9ED0-2B5AA84364D2}"/>
    <cellStyle name="Normal 8 3 3 5 4" xfId="10329" xr:uid="{31C5ADDB-C88B-4C3B-A42C-AA678B4297BE}"/>
    <cellStyle name="Normal 8 3 3 5 5" xfId="18765" xr:uid="{9A3D4E8B-DF81-4118-BFE5-6E3EC07E9BAE}"/>
    <cellStyle name="Normal 8 3 3 6" xfId="2211" xr:uid="{00000000-0005-0000-0000-0000A21D0000}"/>
    <cellStyle name="Normal 8 3 3 6 2" xfId="4440" xr:uid="{00000000-0005-0000-0000-0000A31D0000}"/>
    <cellStyle name="Normal 8 3 3 6 2 2" xfId="8663" xr:uid="{00000000-0005-0000-0000-0000A41D0000}"/>
    <cellStyle name="Normal 8 3 3 6 2 2 2" xfId="17105" xr:uid="{EB5771BD-9BB4-4692-B8C7-B56DA6873F56}"/>
    <cellStyle name="Normal 8 3 3 6 2 2 3" xfId="25540" xr:uid="{E0EE05D2-1009-4960-BEF7-9CAFB8531E35}"/>
    <cellStyle name="Normal 8 3 3 6 2 3" xfId="12887" xr:uid="{EBA459B8-10B4-44FE-A149-9481572FB038}"/>
    <cellStyle name="Normal 8 3 3 6 2 4" xfId="21323" xr:uid="{EECEE7D1-94A5-4CAB-A9D2-5A732446A96E}"/>
    <cellStyle name="Normal 8 3 3 6 3" xfId="6518" xr:uid="{00000000-0005-0000-0000-0000A51D0000}"/>
    <cellStyle name="Normal 8 3 3 6 3 2" xfId="14960" xr:uid="{50748DE5-B108-4242-8041-25950BF88132}"/>
    <cellStyle name="Normal 8 3 3 6 3 3" xfId="23395" xr:uid="{E7D551EA-CCF5-4A9B-8939-E2B367A67D35}"/>
    <cellStyle name="Normal 8 3 3 6 4" xfId="10742" xr:uid="{80282807-1E8C-4F4D-9A42-01F396F8B7A3}"/>
    <cellStyle name="Normal 8 3 3 6 5" xfId="19178" xr:uid="{22EA6BB8-C172-4458-BDD3-0B4502516A1D}"/>
    <cellStyle name="Normal 8 3 3 7" xfId="2647" xr:uid="{00000000-0005-0000-0000-0000A61D0000}"/>
    <cellStyle name="Normal 8 3 3 7 2" xfId="6931" xr:uid="{00000000-0005-0000-0000-0000A71D0000}"/>
    <cellStyle name="Normal 8 3 3 7 2 2" xfId="15373" xr:uid="{E81CDD45-652F-4E5E-8959-5188EBE24985}"/>
    <cellStyle name="Normal 8 3 3 7 2 3" xfId="23808" xr:uid="{413F0D14-7156-47F6-8D46-49A75BCE4C61}"/>
    <cellStyle name="Normal 8 3 3 7 3" xfId="11155" xr:uid="{6642D250-1896-4C89-A2C2-E6AEB0B0FB99}"/>
    <cellStyle name="Normal 8 3 3 7 4" xfId="19591" xr:uid="{8BC6E694-D1E3-4000-A4C6-1D5CE8049073}"/>
    <cellStyle name="Normal 8 3 3 8" xfId="4866" xr:uid="{00000000-0005-0000-0000-0000A81D0000}"/>
    <cellStyle name="Normal 8 3 3 8 2" xfId="13308" xr:uid="{943C4FFC-49F9-4388-9A7C-25D721C4BB70}"/>
    <cellStyle name="Normal 8 3 3 8 3" xfId="21743" xr:uid="{3B7641C5-EF67-4040-BB69-5243CB4553ED}"/>
    <cellStyle name="Normal 8 3 3 9" xfId="9090" xr:uid="{AF09CF7D-AB27-4083-862C-F77D353895C8}"/>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2 2 2" xfId="15868" xr:uid="{57C6FA8D-2391-4BF2-9946-D4D4C9D0EE30}"/>
    <cellStyle name="Normal 8 3 4 2 2 2 3" xfId="24303" xr:uid="{7A7FBF94-C930-444E-AABA-D07DD97B8A80}"/>
    <cellStyle name="Normal 8 3 4 2 2 3" xfId="11650" xr:uid="{222A8B3D-8745-4817-AB52-34FF7D787B41}"/>
    <cellStyle name="Normal 8 3 4 2 2 4" xfId="20086" xr:uid="{999A9743-9955-451C-8A9A-E548B2F398D6}"/>
    <cellStyle name="Normal 8 3 4 2 3" xfId="5281" xr:uid="{00000000-0005-0000-0000-0000AD1D0000}"/>
    <cellStyle name="Normal 8 3 4 2 3 2" xfId="13723" xr:uid="{149B9218-B573-4B65-B918-E2973B6BF6FC}"/>
    <cellStyle name="Normal 8 3 4 2 3 3" xfId="22158" xr:uid="{8B34C37A-EA66-43DA-864B-3D8A95E8CF19}"/>
    <cellStyle name="Normal 8 3 4 2 4" xfId="9505" xr:uid="{27F58125-45AB-49D1-B22F-A287CF9F0061}"/>
    <cellStyle name="Normal 8 3 4 2 5" xfId="17941" xr:uid="{29523E61-548C-45D0-BD4B-66FDD0B6B933}"/>
    <cellStyle name="Normal 8 3 4 3" xfId="1386" xr:uid="{00000000-0005-0000-0000-0000AE1D0000}"/>
    <cellStyle name="Normal 8 3 4 3 2" xfId="3616" xr:uid="{00000000-0005-0000-0000-0000AF1D0000}"/>
    <cellStyle name="Normal 8 3 4 3 2 2" xfId="7839" xr:uid="{00000000-0005-0000-0000-0000B01D0000}"/>
    <cellStyle name="Normal 8 3 4 3 2 2 2" xfId="16281" xr:uid="{D4271EF5-DA00-49EF-845E-B5B829F482A6}"/>
    <cellStyle name="Normal 8 3 4 3 2 2 3" xfId="24716" xr:uid="{25CED894-FC7B-49EF-A8C6-215E2804E2F9}"/>
    <cellStyle name="Normal 8 3 4 3 2 3" xfId="12063" xr:uid="{27968629-6C19-443A-B383-8C56C4671DBC}"/>
    <cellStyle name="Normal 8 3 4 3 2 4" xfId="20499" xr:uid="{6ECBB350-DC27-4652-AE28-8B0199339DF8}"/>
    <cellStyle name="Normal 8 3 4 3 3" xfId="5694" xr:uid="{00000000-0005-0000-0000-0000B11D0000}"/>
    <cellStyle name="Normal 8 3 4 3 3 2" xfId="14136" xr:uid="{63C86790-BDD7-4D7B-B232-C3976FEAE028}"/>
    <cellStyle name="Normal 8 3 4 3 3 3" xfId="22571" xr:uid="{A4A31DED-EAB8-4195-98A7-7802535C22E0}"/>
    <cellStyle name="Normal 8 3 4 3 4" xfId="9918" xr:uid="{DCC27887-661D-42E0-AE11-AB6D3ABC63C1}"/>
    <cellStyle name="Normal 8 3 4 3 5" xfId="18354" xr:uid="{C840E58B-9F99-4650-AF32-61016CDB5FA1}"/>
    <cellStyle name="Normal 8 3 4 4" xfId="1799" xr:uid="{00000000-0005-0000-0000-0000B21D0000}"/>
    <cellStyle name="Normal 8 3 4 4 2" xfId="4029" xr:uid="{00000000-0005-0000-0000-0000B31D0000}"/>
    <cellStyle name="Normal 8 3 4 4 2 2" xfId="8252" xr:uid="{00000000-0005-0000-0000-0000B41D0000}"/>
    <cellStyle name="Normal 8 3 4 4 2 2 2" xfId="16694" xr:uid="{82A83FEF-4D03-4FA5-8849-8491D8DF12BE}"/>
    <cellStyle name="Normal 8 3 4 4 2 2 3" xfId="25129" xr:uid="{B07F8F97-ABA1-4FCB-9886-439441A3F035}"/>
    <cellStyle name="Normal 8 3 4 4 2 3" xfId="12476" xr:uid="{3AD038EA-97E1-4BFD-A9F4-59A2F5667864}"/>
    <cellStyle name="Normal 8 3 4 4 2 4" xfId="20912" xr:uid="{9EF0DC1B-8FC2-472C-A72C-133091F65A3B}"/>
    <cellStyle name="Normal 8 3 4 4 3" xfId="6107" xr:uid="{00000000-0005-0000-0000-0000B51D0000}"/>
    <cellStyle name="Normal 8 3 4 4 3 2" xfId="14549" xr:uid="{9D4CF5A4-33E3-40AF-BE29-A162D73FBC46}"/>
    <cellStyle name="Normal 8 3 4 4 3 3" xfId="22984" xr:uid="{A7563290-DCEA-4C87-A4AD-0642F874CB9B}"/>
    <cellStyle name="Normal 8 3 4 4 4" xfId="10331" xr:uid="{010833BC-1E0A-49E4-A95A-C2A189F546EE}"/>
    <cellStyle name="Normal 8 3 4 4 5" xfId="18767" xr:uid="{E1BB0B69-83AD-4B0E-B5F5-7A7D8014613B}"/>
    <cellStyle name="Normal 8 3 4 5" xfId="2213" xr:uid="{00000000-0005-0000-0000-0000B61D0000}"/>
    <cellStyle name="Normal 8 3 4 5 2" xfId="4442" xr:uid="{00000000-0005-0000-0000-0000B71D0000}"/>
    <cellStyle name="Normal 8 3 4 5 2 2" xfId="8665" xr:uid="{00000000-0005-0000-0000-0000B81D0000}"/>
    <cellStyle name="Normal 8 3 4 5 2 2 2" xfId="17107" xr:uid="{EDA58F80-60DF-4CC9-A405-73242DADF5AC}"/>
    <cellStyle name="Normal 8 3 4 5 2 2 3" xfId="25542" xr:uid="{EF713928-F8F7-4D04-88D7-B114F9CEE2E1}"/>
    <cellStyle name="Normal 8 3 4 5 2 3" xfId="12889" xr:uid="{D433B70E-46E1-428E-842D-102C56CADEC4}"/>
    <cellStyle name="Normal 8 3 4 5 2 4" xfId="21325" xr:uid="{DC3572A5-711A-4477-B4DA-E6AA6BBC735E}"/>
    <cellStyle name="Normal 8 3 4 5 3" xfId="6520" xr:uid="{00000000-0005-0000-0000-0000B91D0000}"/>
    <cellStyle name="Normal 8 3 4 5 3 2" xfId="14962" xr:uid="{66EFF5CF-89E9-4124-AC28-9BE3DE875D7A}"/>
    <cellStyle name="Normal 8 3 4 5 3 3" xfId="23397" xr:uid="{1CB5C478-7681-4418-A69A-E892859E0636}"/>
    <cellStyle name="Normal 8 3 4 5 4" xfId="10744" xr:uid="{FDEAA23E-E635-4E60-BEBB-618F5C0A5924}"/>
    <cellStyle name="Normal 8 3 4 5 5" xfId="19180" xr:uid="{9C31817D-B41D-4DD6-B8CA-4D5747CD304B}"/>
    <cellStyle name="Normal 8 3 4 6" xfId="2649" xr:uid="{00000000-0005-0000-0000-0000BA1D0000}"/>
    <cellStyle name="Normal 8 3 4 6 2" xfId="6933" xr:uid="{00000000-0005-0000-0000-0000BB1D0000}"/>
    <cellStyle name="Normal 8 3 4 6 2 2" xfId="15375" xr:uid="{74CED7A9-33B9-4C40-8E31-30AD58693C29}"/>
    <cellStyle name="Normal 8 3 4 6 2 3" xfId="23810" xr:uid="{5E0E2AE5-7DF4-4F88-9561-4B716E017719}"/>
    <cellStyle name="Normal 8 3 4 6 3" xfId="11157" xr:uid="{893EE705-A9A8-4709-B676-381218D79135}"/>
    <cellStyle name="Normal 8 3 4 6 4" xfId="19593" xr:uid="{6EEF6A8E-9463-4C6E-96B2-DB764F1183EA}"/>
    <cellStyle name="Normal 8 3 4 7" xfId="4868" xr:uid="{00000000-0005-0000-0000-0000BC1D0000}"/>
    <cellStyle name="Normal 8 3 4 7 2" xfId="13310" xr:uid="{2E3A5E31-6D00-47E4-AF98-6A066B49F7CE}"/>
    <cellStyle name="Normal 8 3 4 7 3" xfId="21745" xr:uid="{3183646B-4E84-49A0-8B04-175304B25B6F}"/>
    <cellStyle name="Normal 8 3 4 8" xfId="9092" xr:uid="{EDE915C8-2F27-4284-BAA9-A2FBDE152ED9}"/>
    <cellStyle name="Normal 8 3 4 9" xfId="17528" xr:uid="{B772DF09-1AF6-426F-BBD3-5BAE7E1F127D}"/>
    <cellStyle name="Normal 8 3 5" xfId="962" xr:uid="{00000000-0005-0000-0000-0000BD1D0000}"/>
    <cellStyle name="Normal 8 3 5 2" xfId="3196" xr:uid="{00000000-0005-0000-0000-0000BE1D0000}"/>
    <cellStyle name="Normal 8 3 5 2 2" xfId="7419" xr:uid="{00000000-0005-0000-0000-0000BF1D0000}"/>
    <cellStyle name="Normal 8 3 5 2 2 2" xfId="15861" xr:uid="{613F6700-F11C-4708-BBFE-3DAFAC10631D}"/>
    <cellStyle name="Normal 8 3 5 2 2 3" xfId="24296" xr:uid="{AE86DD34-46E8-41F8-9085-DB77EC8E5BFE}"/>
    <cellStyle name="Normal 8 3 5 2 3" xfId="11643" xr:uid="{9F0BA1B7-24BE-4A2F-9C36-35CAB3EA54D0}"/>
    <cellStyle name="Normal 8 3 5 2 4" xfId="20079" xr:uid="{CC4E815A-D297-4684-BACC-F3CE84D66D58}"/>
    <cellStyle name="Normal 8 3 5 3" xfId="5274" xr:uid="{00000000-0005-0000-0000-0000C01D0000}"/>
    <cellStyle name="Normal 8 3 5 3 2" xfId="13716" xr:uid="{9899A5FD-69C1-4DFC-88F2-41AB007EFBC7}"/>
    <cellStyle name="Normal 8 3 5 3 3" xfId="22151" xr:uid="{1571B15B-CCD5-4125-8ACE-8BACEC5C156D}"/>
    <cellStyle name="Normal 8 3 5 4" xfId="9498" xr:uid="{0A9CE746-F61B-4145-B306-D12DBDD6F391}"/>
    <cellStyle name="Normal 8 3 5 5" xfId="17934" xr:uid="{FC8D8021-7F8B-4629-BE88-7B12831D415B}"/>
    <cellStyle name="Normal 8 3 6" xfId="1379" xr:uid="{00000000-0005-0000-0000-0000C11D0000}"/>
    <cellStyle name="Normal 8 3 6 2" xfId="3609" xr:uid="{00000000-0005-0000-0000-0000C21D0000}"/>
    <cellStyle name="Normal 8 3 6 2 2" xfId="7832" xr:uid="{00000000-0005-0000-0000-0000C31D0000}"/>
    <cellStyle name="Normal 8 3 6 2 2 2" xfId="16274" xr:uid="{58EF302C-904C-47A5-96B7-DDE8147F699B}"/>
    <cellStyle name="Normal 8 3 6 2 2 3" xfId="24709" xr:uid="{87CADB12-F771-42BE-B21C-DC20C0CF0051}"/>
    <cellStyle name="Normal 8 3 6 2 3" xfId="12056" xr:uid="{1DD2BC77-83CB-4442-AC12-12ED57ECECAA}"/>
    <cellStyle name="Normal 8 3 6 2 4" xfId="20492" xr:uid="{706D0295-9F43-4D74-9B0C-59C38C5A7B64}"/>
    <cellStyle name="Normal 8 3 6 3" xfId="5687" xr:uid="{00000000-0005-0000-0000-0000C41D0000}"/>
    <cellStyle name="Normal 8 3 6 3 2" xfId="14129" xr:uid="{B2E12E25-C649-4741-904E-AC8458381617}"/>
    <cellStyle name="Normal 8 3 6 3 3" xfId="22564" xr:uid="{186E2DD9-01D2-4477-B9A2-E8F596AD3C1C}"/>
    <cellStyle name="Normal 8 3 6 4" xfId="9911" xr:uid="{5F491EC5-3E23-426A-AB6C-4BC78562EB2D}"/>
    <cellStyle name="Normal 8 3 6 5" xfId="18347" xr:uid="{E453B709-BB21-4C24-A70A-1DA49527BB20}"/>
    <cellStyle name="Normal 8 3 7" xfId="1792" xr:uid="{00000000-0005-0000-0000-0000C51D0000}"/>
    <cellStyle name="Normal 8 3 7 2" xfId="4022" xr:uid="{00000000-0005-0000-0000-0000C61D0000}"/>
    <cellStyle name="Normal 8 3 7 2 2" xfId="8245" xr:uid="{00000000-0005-0000-0000-0000C71D0000}"/>
    <cellStyle name="Normal 8 3 7 2 2 2" xfId="16687" xr:uid="{540F83B7-3AD4-43D1-BA07-49C4AB865297}"/>
    <cellStyle name="Normal 8 3 7 2 2 3" xfId="25122" xr:uid="{C28CBD68-6DE4-46BE-9B8A-24C2A5172A4B}"/>
    <cellStyle name="Normal 8 3 7 2 3" xfId="12469" xr:uid="{F3343126-0FC3-4DAD-B102-B36CC6D43BDF}"/>
    <cellStyle name="Normal 8 3 7 2 4" xfId="20905" xr:uid="{7C12961C-DDEF-4899-9E89-96DAF0776497}"/>
    <cellStyle name="Normal 8 3 7 3" xfId="6100" xr:uid="{00000000-0005-0000-0000-0000C81D0000}"/>
    <cellStyle name="Normal 8 3 7 3 2" xfId="14542" xr:uid="{913B65F4-304F-4A0D-AD71-0F815CFCD374}"/>
    <cellStyle name="Normal 8 3 7 3 3" xfId="22977" xr:uid="{F3363385-5A8A-4226-AAAB-F502B5C55300}"/>
    <cellStyle name="Normal 8 3 7 4" xfId="10324" xr:uid="{03615DB8-02DE-4933-AAB2-8F380662784F}"/>
    <cellStyle name="Normal 8 3 7 5" xfId="18760" xr:uid="{5286B915-61DA-4F21-AE27-ACE78A444AA5}"/>
    <cellStyle name="Normal 8 3 8" xfId="2206" xr:uid="{00000000-0005-0000-0000-0000C91D0000}"/>
    <cellStyle name="Normal 8 3 8 2" xfId="4435" xr:uid="{00000000-0005-0000-0000-0000CA1D0000}"/>
    <cellStyle name="Normal 8 3 8 2 2" xfId="8658" xr:uid="{00000000-0005-0000-0000-0000CB1D0000}"/>
    <cellStyle name="Normal 8 3 8 2 2 2" xfId="17100" xr:uid="{6C936864-EA19-43F3-B7CC-502CFD82F7DE}"/>
    <cellStyle name="Normal 8 3 8 2 2 3" xfId="25535" xr:uid="{7371AB8F-8E89-41FB-B2D0-218905974FCB}"/>
    <cellStyle name="Normal 8 3 8 2 3" xfId="12882" xr:uid="{5AA75EDE-B76A-4E12-9265-6BB1DB2F93A0}"/>
    <cellStyle name="Normal 8 3 8 2 4" xfId="21318" xr:uid="{FE32EA01-DDAC-48EF-9888-DF867F46C420}"/>
    <cellStyle name="Normal 8 3 8 3" xfId="6513" xr:uid="{00000000-0005-0000-0000-0000CC1D0000}"/>
    <cellStyle name="Normal 8 3 8 3 2" xfId="14955" xr:uid="{C7AACE44-A4A4-47EC-9602-A929B452F287}"/>
    <cellStyle name="Normal 8 3 8 3 3" xfId="23390" xr:uid="{FA960BCD-1CC8-4018-8618-1569AD5E3A84}"/>
    <cellStyle name="Normal 8 3 8 4" xfId="10737" xr:uid="{E63AD94C-5E35-4EE6-BCAE-638A3A7F6AC4}"/>
    <cellStyle name="Normal 8 3 8 5" xfId="19173" xr:uid="{51AED947-A6EB-4BAE-BC15-D0FBCD016492}"/>
    <cellStyle name="Normal 8 3 9" xfId="2642" xr:uid="{00000000-0005-0000-0000-0000CD1D0000}"/>
    <cellStyle name="Normal 8 3 9 2" xfId="6926" xr:uid="{00000000-0005-0000-0000-0000CE1D0000}"/>
    <cellStyle name="Normal 8 3 9 2 2" xfId="15368" xr:uid="{30FA957D-524C-4282-B9A0-5575C17EA7B2}"/>
    <cellStyle name="Normal 8 3 9 2 3" xfId="23803" xr:uid="{827E2026-B735-48D7-8608-48A769958CDD}"/>
    <cellStyle name="Normal 8 3 9 3" xfId="11150" xr:uid="{B73376FD-356F-4EBC-99AF-4DACE0653A9A}"/>
    <cellStyle name="Normal 8 3 9 4" xfId="19586" xr:uid="{EFF7A33C-BC52-4742-9399-2E335B5AFCBB}"/>
    <cellStyle name="Normal 8 4" xfId="503" xr:uid="{00000000-0005-0000-0000-0000CF1D0000}"/>
    <cellStyle name="Normal 8 4 10" xfId="9093" xr:uid="{A26E366E-DEBD-4520-8CA4-82A78DAF9460}"/>
    <cellStyle name="Normal 8 4 11" xfId="17529" xr:uid="{F1A20B05-65F4-434F-998A-75393E34C6C9}"/>
    <cellStyle name="Normal 8 4 2" xfId="504" xr:uid="{00000000-0005-0000-0000-0000D01D0000}"/>
    <cellStyle name="Normal 8 4 2 10" xfId="17530" xr:uid="{A3BA6A2B-FAD9-49BA-A1E6-C4F48AA34BE5}"/>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2 2 2" xfId="15871" xr:uid="{847758A0-C550-4CC4-9C48-911AE7365371}"/>
    <cellStyle name="Normal 8 4 2 2 2 2 2 3" xfId="24306" xr:uid="{8B8A6E24-E1C6-46C4-8F77-0FDEF44F9891}"/>
    <cellStyle name="Normal 8 4 2 2 2 2 3" xfId="11653" xr:uid="{749E9410-FD77-4C46-A589-F6B6D959DC8A}"/>
    <cellStyle name="Normal 8 4 2 2 2 2 4" xfId="20089" xr:uid="{5F547D33-6746-4621-B913-669A0242A8C1}"/>
    <cellStyle name="Normal 8 4 2 2 2 3" xfId="5284" xr:uid="{00000000-0005-0000-0000-0000D51D0000}"/>
    <cellStyle name="Normal 8 4 2 2 2 3 2" xfId="13726" xr:uid="{901D3639-6D82-4841-A736-F7AAD17E8344}"/>
    <cellStyle name="Normal 8 4 2 2 2 3 3" xfId="22161" xr:uid="{8B137E5B-7393-4440-B4E7-AC9664CFA31B}"/>
    <cellStyle name="Normal 8 4 2 2 2 4" xfId="9508" xr:uid="{A4AAD597-6248-42F0-BFA5-B50754C2A8C5}"/>
    <cellStyle name="Normal 8 4 2 2 2 5" xfId="17944" xr:uid="{FEBD9592-733B-4ECF-8550-2F8BFE623983}"/>
    <cellStyle name="Normal 8 4 2 2 3" xfId="1389" xr:uid="{00000000-0005-0000-0000-0000D61D0000}"/>
    <cellStyle name="Normal 8 4 2 2 3 2" xfId="3619" xr:uid="{00000000-0005-0000-0000-0000D71D0000}"/>
    <cellStyle name="Normal 8 4 2 2 3 2 2" xfId="7842" xr:uid="{00000000-0005-0000-0000-0000D81D0000}"/>
    <cellStyle name="Normal 8 4 2 2 3 2 2 2" xfId="16284" xr:uid="{F4D76576-9772-410A-B693-582279236119}"/>
    <cellStyle name="Normal 8 4 2 2 3 2 2 3" xfId="24719" xr:uid="{04D81E3E-59BD-48E2-AF88-23883AE2CF80}"/>
    <cellStyle name="Normal 8 4 2 2 3 2 3" xfId="12066" xr:uid="{19F5E5CC-28E9-4B38-B9B5-8500AA16F539}"/>
    <cellStyle name="Normal 8 4 2 2 3 2 4" xfId="20502" xr:uid="{D23C9597-22F9-40C9-A344-8C572E57D9EA}"/>
    <cellStyle name="Normal 8 4 2 2 3 3" xfId="5697" xr:uid="{00000000-0005-0000-0000-0000D91D0000}"/>
    <cellStyle name="Normal 8 4 2 2 3 3 2" xfId="14139" xr:uid="{EEE0F578-1B16-40BF-BCB2-BCE348AD067A}"/>
    <cellStyle name="Normal 8 4 2 2 3 3 3" xfId="22574" xr:uid="{31A564F3-96AA-41AA-B4BD-42DD7BF1809A}"/>
    <cellStyle name="Normal 8 4 2 2 3 4" xfId="9921" xr:uid="{8309A701-6162-404B-92DB-AAC6294EEE48}"/>
    <cellStyle name="Normal 8 4 2 2 3 5" xfId="18357" xr:uid="{AD2D7AED-BB95-4DE7-B4B9-99B01450D044}"/>
    <cellStyle name="Normal 8 4 2 2 4" xfId="1802" xr:uid="{00000000-0005-0000-0000-0000DA1D0000}"/>
    <cellStyle name="Normal 8 4 2 2 4 2" xfId="4032" xr:uid="{00000000-0005-0000-0000-0000DB1D0000}"/>
    <cellStyle name="Normal 8 4 2 2 4 2 2" xfId="8255" xr:uid="{00000000-0005-0000-0000-0000DC1D0000}"/>
    <cellStyle name="Normal 8 4 2 2 4 2 2 2" xfId="16697" xr:uid="{2D7D3475-310D-4831-A8BA-5310D2C63180}"/>
    <cellStyle name="Normal 8 4 2 2 4 2 2 3" xfId="25132" xr:uid="{230B9478-FFD9-4230-B521-6E49C4BD416F}"/>
    <cellStyle name="Normal 8 4 2 2 4 2 3" xfId="12479" xr:uid="{E6502A58-0165-4D47-8BBF-45E1A1ED9BD0}"/>
    <cellStyle name="Normal 8 4 2 2 4 2 4" xfId="20915" xr:uid="{01096B0D-C6FC-4BB2-B79F-2AA10F04D148}"/>
    <cellStyle name="Normal 8 4 2 2 4 3" xfId="6110" xr:uid="{00000000-0005-0000-0000-0000DD1D0000}"/>
    <cellStyle name="Normal 8 4 2 2 4 3 2" xfId="14552" xr:uid="{659458FE-C86C-487F-AE4A-FE7DBE018B90}"/>
    <cellStyle name="Normal 8 4 2 2 4 3 3" xfId="22987" xr:uid="{2985B32A-E9FF-4E13-9711-85902AB0A6B5}"/>
    <cellStyle name="Normal 8 4 2 2 4 4" xfId="10334" xr:uid="{774C88D3-BC07-4B8C-96DA-0FBC96988316}"/>
    <cellStyle name="Normal 8 4 2 2 4 5" xfId="18770" xr:uid="{93BB490D-4518-4CFD-A0FA-E0C1E5FF3F5A}"/>
    <cellStyle name="Normal 8 4 2 2 5" xfId="2216" xr:uid="{00000000-0005-0000-0000-0000DE1D0000}"/>
    <cellStyle name="Normal 8 4 2 2 5 2" xfId="4445" xr:uid="{00000000-0005-0000-0000-0000DF1D0000}"/>
    <cellStyle name="Normal 8 4 2 2 5 2 2" xfId="8668" xr:uid="{00000000-0005-0000-0000-0000E01D0000}"/>
    <cellStyle name="Normal 8 4 2 2 5 2 2 2" xfId="17110" xr:uid="{FE8FD51A-8880-4D45-A84E-799EFAAE044D}"/>
    <cellStyle name="Normal 8 4 2 2 5 2 2 3" xfId="25545" xr:uid="{D373ACA1-EC3C-4F81-9D25-58D13EA5821A}"/>
    <cellStyle name="Normal 8 4 2 2 5 2 3" xfId="12892" xr:uid="{4FDE5F28-F7F6-40BF-A6D2-81EB6D4B697D}"/>
    <cellStyle name="Normal 8 4 2 2 5 2 4" xfId="21328" xr:uid="{233C3A94-9E8B-408E-99F1-54C23BEA0699}"/>
    <cellStyle name="Normal 8 4 2 2 5 3" xfId="6523" xr:uid="{00000000-0005-0000-0000-0000E11D0000}"/>
    <cellStyle name="Normal 8 4 2 2 5 3 2" xfId="14965" xr:uid="{258D0C93-2E2D-4398-844D-E51F1E2D8CFC}"/>
    <cellStyle name="Normal 8 4 2 2 5 3 3" xfId="23400" xr:uid="{A361C1D2-6839-4598-B5B6-1AF89AEE6B36}"/>
    <cellStyle name="Normal 8 4 2 2 5 4" xfId="10747" xr:uid="{3CD700D6-5FA0-4475-9054-DA86885930AB}"/>
    <cellStyle name="Normal 8 4 2 2 5 5" xfId="19183" xr:uid="{B8ECCD55-E710-4C7E-8D7A-E6DDD65DFFD9}"/>
    <cellStyle name="Normal 8 4 2 2 6" xfId="2652" xr:uid="{00000000-0005-0000-0000-0000E21D0000}"/>
    <cellStyle name="Normal 8 4 2 2 6 2" xfId="6936" xr:uid="{00000000-0005-0000-0000-0000E31D0000}"/>
    <cellStyle name="Normal 8 4 2 2 6 2 2" xfId="15378" xr:uid="{573C2F95-6F94-4E92-A01C-B746074849C4}"/>
    <cellStyle name="Normal 8 4 2 2 6 2 3" xfId="23813" xr:uid="{1F743975-873E-4AA6-8634-7455CA81465A}"/>
    <cellStyle name="Normal 8 4 2 2 6 3" xfId="11160" xr:uid="{1D7A7D6B-5F4A-4190-9C56-C8B5CEE51DE6}"/>
    <cellStyle name="Normal 8 4 2 2 6 4" xfId="19596" xr:uid="{A8D7308F-87B7-4443-9C52-1B982C960100}"/>
    <cellStyle name="Normal 8 4 2 2 7" xfId="4871" xr:uid="{00000000-0005-0000-0000-0000E41D0000}"/>
    <cellStyle name="Normal 8 4 2 2 7 2" xfId="13313" xr:uid="{3EB35915-BD4A-42E2-96C7-0EDD66F5F4FB}"/>
    <cellStyle name="Normal 8 4 2 2 7 3" xfId="21748" xr:uid="{1EA68F3F-0FA0-46EE-B8C4-18684AB8E783}"/>
    <cellStyle name="Normal 8 4 2 2 8" xfId="9095" xr:uid="{BA86A2D4-0899-48A3-A33B-88572A920C44}"/>
    <cellStyle name="Normal 8 4 2 2 9" xfId="17531" xr:uid="{8EB02FBF-96D2-4FE1-B5D2-3F370E891CAD}"/>
    <cellStyle name="Normal 8 4 2 3" xfId="971" xr:uid="{00000000-0005-0000-0000-0000E51D0000}"/>
    <cellStyle name="Normal 8 4 2 3 2" xfId="3205" xr:uid="{00000000-0005-0000-0000-0000E61D0000}"/>
    <cellStyle name="Normal 8 4 2 3 2 2" xfId="7428" xr:uid="{00000000-0005-0000-0000-0000E71D0000}"/>
    <cellStyle name="Normal 8 4 2 3 2 2 2" xfId="15870" xr:uid="{7ED96046-EA01-43C3-8322-A461F954DE2F}"/>
    <cellStyle name="Normal 8 4 2 3 2 2 3" xfId="24305" xr:uid="{1640BCC8-74F2-438D-94AC-662B5C1BBC4C}"/>
    <cellStyle name="Normal 8 4 2 3 2 3" xfId="11652" xr:uid="{B7DF7A8B-E844-486C-9CD9-7ED9907D807D}"/>
    <cellStyle name="Normal 8 4 2 3 2 4" xfId="20088" xr:uid="{398D0CDB-67FD-40C9-A0AC-FE217D88A075}"/>
    <cellStyle name="Normal 8 4 2 3 3" xfId="5283" xr:uid="{00000000-0005-0000-0000-0000E81D0000}"/>
    <cellStyle name="Normal 8 4 2 3 3 2" xfId="13725" xr:uid="{0B42F814-F750-4B65-924E-400F6C3F7938}"/>
    <cellStyle name="Normal 8 4 2 3 3 3" xfId="22160" xr:uid="{B34EFA5C-691D-4061-A8CB-97C31AAD7391}"/>
    <cellStyle name="Normal 8 4 2 3 4" xfId="9507" xr:uid="{6308764C-69B8-4082-8F9F-CFC17BDAB98A}"/>
    <cellStyle name="Normal 8 4 2 3 5" xfId="17943" xr:uid="{DB3896BC-B19B-4F97-A9FD-204AE60B879D}"/>
    <cellStyle name="Normal 8 4 2 4" xfId="1388" xr:uid="{00000000-0005-0000-0000-0000E91D0000}"/>
    <cellStyle name="Normal 8 4 2 4 2" xfId="3618" xr:uid="{00000000-0005-0000-0000-0000EA1D0000}"/>
    <cellStyle name="Normal 8 4 2 4 2 2" xfId="7841" xr:uid="{00000000-0005-0000-0000-0000EB1D0000}"/>
    <cellStyle name="Normal 8 4 2 4 2 2 2" xfId="16283" xr:uid="{AF63E16D-DF13-4B99-B274-BCBD7E67D721}"/>
    <cellStyle name="Normal 8 4 2 4 2 2 3" xfId="24718" xr:uid="{6D243A9B-F025-41B7-967B-871D438F37F9}"/>
    <cellStyle name="Normal 8 4 2 4 2 3" xfId="12065" xr:uid="{1109F854-C204-4B40-AB9C-80E65DDCF965}"/>
    <cellStyle name="Normal 8 4 2 4 2 4" xfId="20501" xr:uid="{3E21D175-207E-47BA-8CF7-365861F06D5D}"/>
    <cellStyle name="Normal 8 4 2 4 3" xfId="5696" xr:uid="{00000000-0005-0000-0000-0000EC1D0000}"/>
    <cellStyle name="Normal 8 4 2 4 3 2" xfId="14138" xr:uid="{4C80ED62-16CA-4141-A3B6-EAC7463CC88C}"/>
    <cellStyle name="Normal 8 4 2 4 3 3" xfId="22573" xr:uid="{6B258692-984D-4F00-A9A6-46650CE2AB1A}"/>
    <cellStyle name="Normal 8 4 2 4 4" xfId="9920" xr:uid="{6E05DFFB-35A8-4FEF-B6B8-E0B9D994FB4B}"/>
    <cellStyle name="Normal 8 4 2 4 5" xfId="18356" xr:uid="{D5BA924A-8257-49B8-A1F7-4BF3885C2153}"/>
    <cellStyle name="Normal 8 4 2 5" xfId="1801" xr:uid="{00000000-0005-0000-0000-0000ED1D0000}"/>
    <cellStyle name="Normal 8 4 2 5 2" xfId="4031" xr:uid="{00000000-0005-0000-0000-0000EE1D0000}"/>
    <cellStyle name="Normal 8 4 2 5 2 2" xfId="8254" xr:uid="{00000000-0005-0000-0000-0000EF1D0000}"/>
    <cellStyle name="Normal 8 4 2 5 2 2 2" xfId="16696" xr:uid="{E9063038-A89E-4791-AA55-8745E1F878DF}"/>
    <cellStyle name="Normal 8 4 2 5 2 2 3" xfId="25131" xr:uid="{295FC3BE-3C53-4C7C-B61B-F8B187B2E69F}"/>
    <cellStyle name="Normal 8 4 2 5 2 3" xfId="12478" xr:uid="{B9D9141B-B807-4A93-BA82-CB34642011D3}"/>
    <cellStyle name="Normal 8 4 2 5 2 4" xfId="20914" xr:uid="{2D04823C-05C2-49FA-A0E8-6CB4D8154419}"/>
    <cellStyle name="Normal 8 4 2 5 3" xfId="6109" xr:uid="{00000000-0005-0000-0000-0000F01D0000}"/>
    <cellStyle name="Normal 8 4 2 5 3 2" xfId="14551" xr:uid="{D3D7A663-D3B1-4876-9BB7-70A4CCB35905}"/>
    <cellStyle name="Normal 8 4 2 5 3 3" xfId="22986" xr:uid="{B405C92C-3B26-4CEC-AF11-19ED15BF1A97}"/>
    <cellStyle name="Normal 8 4 2 5 4" xfId="10333" xr:uid="{A8B7E0D0-E358-4AFE-AEDC-9FA003C0D188}"/>
    <cellStyle name="Normal 8 4 2 5 5" xfId="18769" xr:uid="{62CF9ADD-B33F-4FB3-8A87-B0C084335235}"/>
    <cellStyle name="Normal 8 4 2 6" xfId="2215" xr:uid="{00000000-0005-0000-0000-0000F11D0000}"/>
    <cellStyle name="Normal 8 4 2 6 2" xfId="4444" xr:uid="{00000000-0005-0000-0000-0000F21D0000}"/>
    <cellStyle name="Normal 8 4 2 6 2 2" xfId="8667" xr:uid="{00000000-0005-0000-0000-0000F31D0000}"/>
    <cellStyle name="Normal 8 4 2 6 2 2 2" xfId="17109" xr:uid="{DBF85EDB-CBF5-4C0A-863F-7E3B426618D1}"/>
    <cellStyle name="Normal 8 4 2 6 2 2 3" xfId="25544" xr:uid="{1E988E72-2CFD-4DDB-A8AE-1CDB8648D746}"/>
    <cellStyle name="Normal 8 4 2 6 2 3" xfId="12891" xr:uid="{3317C3B8-E498-47F9-9842-F8A82C7DD5FA}"/>
    <cellStyle name="Normal 8 4 2 6 2 4" xfId="21327" xr:uid="{0081E292-3CC0-4C55-85E6-AF3E65C73EEC}"/>
    <cellStyle name="Normal 8 4 2 6 3" xfId="6522" xr:uid="{00000000-0005-0000-0000-0000F41D0000}"/>
    <cellStyle name="Normal 8 4 2 6 3 2" xfId="14964" xr:uid="{A095D5C5-DFA9-42BE-91B6-DFAD0B4D1BB7}"/>
    <cellStyle name="Normal 8 4 2 6 3 3" xfId="23399" xr:uid="{4613A3A4-E81A-40D8-A6FA-2B71CE26C29D}"/>
    <cellStyle name="Normal 8 4 2 6 4" xfId="10746" xr:uid="{76B8D169-16C0-4EA1-838C-AB6954A77519}"/>
    <cellStyle name="Normal 8 4 2 6 5" xfId="19182" xr:uid="{53DB157A-60E6-4289-90B9-83209701459E}"/>
    <cellStyle name="Normal 8 4 2 7" xfId="2651" xr:uid="{00000000-0005-0000-0000-0000F51D0000}"/>
    <cellStyle name="Normal 8 4 2 7 2" xfId="6935" xr:uid="{00000000-0005-0000-0000-0000F61D0000}"/>
    <cellStyle name="Normal 8 4 2 7 2 2" xfId="15377" xr:uid="{02597773-8999-43A8-AED5-43539D4A3A36}"/>
    <cellStyle name="Normal 8 4 2 7 2 3" xfId="23812" xr:uid="{3AF7C89C-D96E-4139-8077-BBDFA9A6DE01}"/>
    <cellStyle name="Normal 8 4 2 7 3" xfId="11159" xr:uid="{F0A77636-AF2C-4C9A-994A-85E99E65352C}"/>
    <cellStyle name="Normal 8 4 2 7 4" xfId="19595" xr:uid="{8231AE63-C485-45A9-9DFC-85384627E487}"/>
    <cellStyle name="Normal 8 4 2 8" xfId="4870" xr:uid="{00000000-0005-0000-0000-0000F71D0000}"/>
    <cellStyle name="Normal 8 4 2 8 2" xfId="13312" xr:uid="{1F6C6522-668C-4C50-9A1E-947A4713748B}"/>
    <cellStyle name="Normal 8 4 2 8 3" xfId="21747" xr:uid="{03EC714D-FC49-43AC-BA14-3BA0B21B77A1}"/>
    <cellStyle name="Normal 8 4 2 9" xfId="9094" xr:uid="{FB277CD0-816C-44D7-948C-6742BA44071F}"/>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2 2 2" xfId="15872" xr:uid="{B0C19404-E1E6-48F7-AD35-BA2D53E03334}"/>
    <cellStyle name="Normal 8 4 3 2 2 2 3" xfId="24307" xr:uid="{8D36EB13-231C-436B-AF7C-FAAD1A787D01}"/>
    <cellStyle name="Normal 8 4 3 2 2 3" xfId="11654" xr:uid="{71D0FB45-F6B9-4B39-BB52-55466238B39D}"/>
    <cellStyle name="Normal 8 4 3 2 2 4" xfId="20090" xr:uid="{F26416AC-4DA4-4F22-B83E-BCAFC05724D8}"/>
    <cellStyle name="Normal 8 4 3 2 3" xfId="5285" xr:uid="{00000000-0005-0000-0000-0000FC1D0000}"/>
    <cellStyle name="Normal 8 4 3 2 3 2" xfId="13727" xr:uid="{E22CF145-CDF7-46D6-BB37-1B329D55D6A1}"/>
    <cellStyle name="Normal 8 4 3 2 3 3" xfId="22162" xr:uid="{6D99D9C9-42AA-42B3-B075-A0B0CEE75DEC}"/>
    <cellStyle name="Normal 8 4 3 2 4" xfId="9509" xr:uid="{EA3DC035-CA03-447D-9B7A-EA6EC62F87F3}"/>
    <cellStyle name="Normal 8 4 3 2 5" xfId="17945" xr:uid="{C0AAAE2A-28E6-4ABB-A276-F03EB3980683}"/>
    <cellStyle name="Normal 8 4 3 3" xfId="1390" xr:uid="{00000000-0005-0000-0000-0000FD1D0000}"/>
    <cellStyle name="Normal 8 4 3 3 2" xfId="3620" xr:uid="{00000000-0005-0000-0000-0000FE1D0000}"/>
    <cellStyle name="Normal 8 4 3 3 2 2" xfId="7843" xr:uid="{00000000-0005-0000-0000-0000FF1D0000}"/>
    <cellStyle name="Normal 8 4 3 3 2 2 2" xfId="16285" xr:uid="{F9672A84-170B-4A92-944B-433AD4DA536C}"/>
    <cellStyle name="Normal 8 4 3 3 2 2 3" xfId="24720" xr:uid="{37C6A484-B9B8-419F-857C-6A8B91A6A351}"/>
    <cellStyle name="Normal 8 4 3 3 2 3" xfId="12067" xr:uid="{692D285B-15BA-41C0-B3E5-560827833B6D}"/>
    <cellStyle name="Normal 8 4 3 3 2 4" xfId="20503" xr:uid="{E6A75C2B-4B94-4DBA-9FE0-BEE443D92294}"/>
    <cellStyle name="Normal 8 4 3 3 3" xfId="5698" xr:uid="{00000000-0005-0000-0000-0000001E0000}"/>
    <cellStyle name="Normal 8 4 3 3 3 2" xfId="14140" xr:uid="{AFE6C65D-155F-4457-BB93-C96F7E7F90E0}"/>
    <cellStyle name="Normal 8 4 3 3 3 3" xfId="22575" xr:uid="{E5625A2A-B4C6-4215-BED4-939432A8CA04}"/>
    <cellStyle name="Normal 8 4 3 3 4" xfId="9922" xr:uid="{68970FE2-C619-41EF-A59B-0CDA28CE93C9}"/>
    <cellStyle name="Normal 8 4 3 3 5" xfId="18358" xr:uid="{767FC61B-5867-4BDA-B42E-36C4AFFB0418}"/>
    <cellStyle name="Normal 8 4 3 4" xfId="1803" xr:uid="{00000000-0005-0000-0000-0000011E0000}"/>
    <cellStyle name="Normal 8 4 3 4 2" xfId="4033" xr:uid="{00000000-0005-0000-0000-0000021E0000}"/>
    <cellStyle name="Normal 8 4 3 4 2 2" xfId="8256" xr:uid="{00000000-0005-0000-0000-0000031E0000}"/>
    <cellStyle name="Normal 8 4 3 4 2 2 2" xfId="16698" xr:uid="{BA91B852-6E3B-493F-A620-2CD1D2A504E0}"/>
    <cellStyle name="Normal 8 4 3 4 2 2 3" xfId="25133" xr:uid="{0975E1FC-7824-497A-99D4-D3F1312553D3}"/>
    <cellStyle name="Normal 8 4 3 4 2 3" xfId="12480" xr:uid="{0B18873E-38E3-47BC-A533-F8B6E0A35E8C}"/>
    <cellStyle name="Normal 8 4 3 4 2 4" xfId="20916" xr:uid="{3862A6ED-BA2B-4A56-80FB-8E8500CACD8E}"/>
    <cellStyle name="Normal 8 4 3 4 3" xfId="6111" xr:uid="{00000000-0005-0000-0000-0000041E0000}"/>
    <cellStyle name="Normal 8 4 3 4 3 2" xfId="14553" xr:uid="{3D22001A-DEB5-465F-A393-72044D065FCF}"/>
    <cellStyle name="Normal 8 4 3 4 3 3" xfId="22988" xr:uid="{6123D155-EDF6-4154-81E7-B9DBA3A00D43}"/>
    <cellStyle name="Normal 8 4 3 4 4" xfId="10335" xr:uid="{45D8745A-9CAE-4C9E-970F-EE856290C642}"/>
    <cellStyle name="Normal 8 4 3 4 5" xfId="18771" xr:uid="{ED2CB315-B784-4422-9156-2D7FE085B3BE}"/>
    <cellStyle name="Normal 8 4 3 5" xfId="2217" xr:uid="{00000000-0005-0000-0000-0000051E0000}"/>
    <cellStyle name="Normal 8 4 3 5 2" xfId="4446" xr:uid="{00000000-0005-0000-0000-0000061E0000}"/>
    <cellStyle name="Normal 8 4 3 5 2 2" xfId="8669" xr:uid="{00000000-0005-0000-0000-0000071E0000}"/>
    <cellStyle name="Normal 8 4 3 5 2 2 2" xfId="17111" xr:uid="{D51FDB2B-4F18-4816-87C7-C7422C135881}"/>
    <cellStyle name="Normal 8 4 3 5 2 2 3" xfId="25546" xr:uid="{88010AB0-3005-4A3F-9254-5E12D6E622B7}"/>
    <cellStyle name="Normal 8 4 3 5 2 3" xfId="12893" xr:uid="{9C23A9EC-A1DE-44E5-A8CB-0BA3602FAFEE}"/>
    <cellStyle name="Normal 8 4 3 5 2 4" xfId="21329" xr:uid="{A6C1AC8C-0904-436F-B9C0-E361572FEB08}"/>
    <cellStyle name="Normal 8 4 3 5 3" xfId="6524" xr:uid="{00000000-0005-0000-0000-0000081E0000}"/>
    <cellStyle name="Normal 8 4 3 5 3 2" xfId="14966" xr:uid="{ACA124F8-91F9-4366-B2D1-964D090EEBAD}"/>
    <cellStyle name="Normal 8 4 3 5 3 3" xfId="23401" xr:uid="{47797366-0958-4BAE-8371-4007FFF532CA}"/>
    <cellStyle name="Normal 8 4 3 5 4" xfId="10748" xr:uid="{A3BA4F50-739A-4AE1-854B-9E379364F544}"/>
    <cellStyle name="Normal 8 4 3 5 5" xfId="19184" xr:uid="{F275DF61-9E8A-4861-87D1-538C866C768B}"/>
    <cellStyle name="Normal 8 4 3 6" xfId="2653" xr:uid="{00000000-0005-0000-0000-0000091E0000}"/>
    <cellStyle name="Normal 8 4 3 6 2" xfId="6937" xr:uid="{00000000-0005-0000-0000-00000A1E0000}"/>
    <cellStyle name="Normal 8 4 3 6 2 2" xfId="15379" xr:uid="{983124BF-22A1-49E1-B157-8541602F80CB}"/>
    <cellStyle name="Normal 8 4 3 6 2 3" xfId="23814" xr:uid="{F6E09943-45E1-4BD8-BBD6-ABD627A0B023}"/>
    <cellStyle name="Normal 8 4 3 6 3" xfId="11161" xr:uid="{D52D085D-A244-4256-8AE6-4601472FF361}"/>
    <cellStyle name="Normal 8 4 3 6 4" xfId="19597" xr:uid="{CB1C2E74-AFB6-45C7-A060-D0833B18C44B}"/>
    <cellStyle name="Normal 8 4 3 7" xfId="4872" xr:uid="{00000000-0005-0000-0000-00000B1E0000}"/>
    <cellStyle name="Normal 8 4 3 7 2" xfId="13314" xr:uid="{85DBF069-E69F-4D42-9AAD-2F4DC807C9BD}"/>
    <cellStyle name="Normal 8 4 3 7 3" xfId="21749" xr:uid="{93CA7AE6-C77A-4374-93D9-C6811DD70668}"/>
    <cellStyle name="Normal 8 4 3 8" xfId="9096" xr:uid="{1C45C6C9-53E1-403E-B9B8-5541AAF9CB41}"/>
    <cellStyle name="Normal 8 4 3 9" xfId="17532" xr:uid="{0C459F6A-586F-4DB0-AA8B-B124CF172D5D}"/>
    <cellStyle name="Normal 8 4 4" xfId="970" xr:uid="{00000000-0005-0000-0000-00000C1E0000}"/>
    <cellStyle name="Normal 8 4 4 2" xfId="3204" xr:uid="{00000000-0005-0000-0000-00000D1E0000}"/>
    <cellStyle name="Normal 8 4 4 2 2" xfId="7427" xr:uid="{00000000-0005-0000-0000-00000E1E0000}"/>
    <cellStyle name="Normal 8 4 4 2 2 2" xfId="15869" xr:uid="{F531547F-E6C7-405D-8A46-29DBC4DAB634}"/>
    <cellStyle name="Normal 8 4 4 2 2 3" xfId="24304" xr:uid="{C725C7C9-DD8A-4E0E-982F-D4F7D41FD85D}"/>
    <cellStyle name="Normal 8 4 4 2 3" xfId="11651" xr:uid="{00E09C0E-FDE3-4204-BC75-4438C4B038BE}"/>
    <cellStyle name="Normal 8 4 4 2 4" xfId="20087" xr:uid="{21A90693-9351-4840-B611-05D919C8F288}"/>
    <cellStyle name="Normal 8 4 4 3" xfId="5282" xr:uid="{00000000-0005-0000-0000-00000F1E0000}"/>
    <cellStyle name="Normal 8 4 4 3 2" xfId="13724" xr:uid="{9F57A376-D630-402A-8506-31948ED24832}"/>
    <cellStyle name="Normal 8 4 4 3 3" xfId="22159" xr:uid="{EF5BB477-3D46-42BA-8066-532A2FCB985A}"/>
    <cellStyle name="Normal 8 4 4 4" xfId="9506" xr:uid="{727581D2-F709-4F01-86FB-B58412994FF5}"/>
    <cellStyle name="Normal 8 4 4 5" xfId="17942" xr:uid="{4A2275F4-5104-4ACD-810B-FE9EBE65C635}"/>
    <cellStyle name="Normal 8 4 5" xfId="1387" xr:uid="{00000000-0005-0000-0000-0000101E0000}"/>
    <cellStyle name="Normal 8 4 5 2" xfId="3617" xr:uid="{00000000-0005-0000-0000-0000111E0000}"/>
    <cellStyle name="Normal 8 4 5 2 2" xfId="7840" xr:uid="{00000000-0005-0000-0000-0000121E0000}"/>
    <cellStyle name="Normal 8 4 5 2 2 2" xfId="16282" xr:uid="{98A11185-E90F-4843-A5C4-E40626F7C682}"/>
    <cellStyle name="Normal 8 4 5 2 2 3" xfId="24717" xr:uid="{8B588E08-DF0E-421F-9F1D-E24F14BC84F2}"/>
    <cellStyle name="Normal 8 4 5 2 3" xfId="12064" xr:uid="{D725422E-421D-4F69-B076-EAB02F009ECE}"/>
    <cellStyle name="Normal 8 4 5 2 4" xfId="20500" xr:uid="{67E769CF-1FAC-4881-AF99-4643A91F2A21}"/>
    <cellStyle name="Normal 8 4 5 3" xfId="5695" xr:uid="{00000000-0005-0000-0000-0000131E0000}"/>
    <cellStyle name="Normal 8 4 5 3 2" xfId="14137" xr:uid="{AEA90D14-D363-434B-9244-82E744B737DC}"/>
    <cellStyle name="Normal 8 4 5 3 3" xfId="22572" xr:uid="{FD1A1B6A-4172-40D0-A616-C901F083FC6B}"/>
    <cellStyle name="Normal 8 4 5 4" xfId="9919" xr:uid="{0D345A48-1F65-4CEF-B377-B95EBD151995}"/>
    <cellStyle name="Normal 8 4 5 5" xfId="18355" xr:uid="{A0424997-74D9-4EB3-99DA-EDAFF20CA0A8}"/>
    <cellStyle name="Normal 8 4 6" xfId="1800" xr:uid="{00000000-0005-0000-0000-0000141E0000}"/>
    <cellStyle name="Normal 8 4 6 2" xfId="4030" xr:uid="{00000000-0005-0000-0000-0000151E0000}"/>
    <cellStyle name="Normal 8 4 6 2 2" xfId="8253" xr:uid="{00000000-0005-0000-0000-0000161E0000}"/>
    <cellStyle name="Normal 8 4 6 2 2 2" xfId="16695" xr:uid="{2A1A6425-484C-4E7A-BE1E-4ED31D661CB4}"/>
    <cellStyle name="Normal 8 4 6 2 2 3" xfId="25130" xr:uid="{6D19DBF7-626C-4F16-A90C-2AB2D118DA57}"/>
    <cellStyle name="Normal 8 4 6 2 3" xfId="12477" xr:uid="{71F77C18-7B2E-47F2-B689-52A3A07A0B56}"/>
    <cellStyle name="Normal 8 4 6 2 4" xfId="20913" xr:uid="{F33DBA2C-657E-4AE0-BD38-8E4E090E316B}"/>
    <cellStyle name="Normal 8 4 6 3" xfId="6108" xr:uid="{00000000-0005-0000-0000-0000171E0000}"/>
    <cellStyle name="Normal 8 4 6 3 2" xfId="14550" xr:uid="{84341109-9C51-464B-9858-6CE2605D00FD}"/>
    <cellStyle name="Normal 8 4 6 3 3" xfId="22985" xr:uid="{6F7E3E42-B25F-414E-89DD-95A88837535C}"/>
    <cellStyle name="Normal 8 4 6 4" xfId="10332" xr:uid="{9700F4F9-0CE5-49D1-8A64-8056A4697860}"/>
    <cellStyle name="Normal 8 4 6 5" xfId="18768" xr:uid="{67818BF7-BCFE-42E0-BC4C-341BB8C7C95F}"/>
    <cellStyle name="Normal 8 4 7" xfId="2214" xr:uid="{00000000-0005-0000-0000-0000181E0000}"/>
    <cellStyle name="Normal 8 4 7 2" xfId="4443" xr:uid="{00000000-0005-0000-0000-0000191E0000}"/>
    <cellStyle name="Normal 8 4 7 2 2" xfId="8666" xr:uid="{00000000-0005-0000-0000-00001A1E0000}"/>
    <cellStyle name="Normal 8 4 7 2 2 2" xfId="17108" xr:uid="{0981065D-0334-4CD4-9523-06128C67885F}"/>
    <cellStyle name="Normal 8 4 7 2 2 3" xfId="25543" xr:uid="{57AD796A-464B-4C2A-8D67-366B553AE0B0}"/>
    <cellStyle name="Normal 8 4 7 2 3" xfId="12890" xr:uid="{85566C90-DB00-47D2-AC5B-9B33A0C82D8E}"/>
    <cellStyle name="Normal 8 4 7 2 4" xfId="21326" xr:uid="{2E5C66FB-E202-4F1F-8175-2F7EB89B1A78}"/>
    <cellStyle name="Normal 8 4 7 3" xfId="6521" xr:uid="{00000000-0005-0000-0000-00001B1E0000}"/>
    <cellStyle name="Normal 8 4 7 3 2" xfId="14963" xr:uid="{DD8F92FA-831A-4959-BA65-9E292314C015}"/>
    <cellStyle name="Normal 8 4 7 3 3" xfId="23398" xr:uid="{8998544D-DDCE-4EAF-B5AB-6309CD76B876}"/>
    <cellStyle name="Normal 8 4 7 4" xfId="10745" xr:uid="{1F03E0D1-4BA4-4AD9-9313-8967A79D9B02}"/>
    <cellStyle name="Normal 8 4 7 5" xfId="19181" xr:uid="{F46AFEBE-1E73-4B33-8F98-8FE8B17C4292}"/>
    <cellStyle name="Normal 8 4 8" xfId="2650" xr:uid="{00000000-0005-0000-0000-00001C1E0000}"/>
    <cellStyle name="Normal 8 4 8 2" xfId="6934" xr:uid="{00000000-0005-0000-0000-00001D1E0000}"/>
    <cellStyle name="Normal 8 4 8 2 2" xfId="15376" xr:uid="{1385CF78-BE27-487A-8A45-854D19D05951}"/>
    <cellStyle name="Normal 8 4 8 2 3" xfId="23811" xr:uid="{2CE6DAEE-6EBF-4EBA-BA15-3CC1B6171C27}"/>
    <cellStyle name="Normal 8 4 8 3" xfId="11158" xr:uid="{DB7906F4-F500-4475-BF52-9D1F627A8642}"/>
    <cellStyle name="Normal 8 4 8 4" xfId="19594" xr:uid="{33AAB32E-42F4-49F7-8303-BAA858B06067}"/>
    <cellStyle name="Normal 8 4 9" xfId="4869" xr:uid="{00000000-0005-0000-0000-00001E1E0000}"/>
    <cellStyle name="Normal 8 4 9 2" xfId="13311" xr:uid="{32941D45-C39D-41DE-BEA8-3437077DA8F8}"/>
    <cellStyle name="Normal 8 4 9 3" xfId="21746" xr:uid="{E78D09E2-92F6-4D56-B2A4-D956588DC752}"/>
    <cellStyle name="Normal 8 5" xfId="507" xr:uid="{00000000-0005-0000-0000-00001F1E0000}"/>
    <cellStyle name="Normal 8 5 10" xfId="17533" xr:uid="{61F137AD-0C58-434D-B43B-B88FC2695D49}"/>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2 2 2" xfId="15874" xr:uid="{A4009D2C-6B09-4342-A2AC-4E838B8A87B5}"/>
    <cellStyle name="Normal 8 5 2 2 2 2 3" xfId="24309" xr:uid="{AF048FC2-18DE-420B-BD88-CF65E5C52754}"/>
    <cellStyle name="Normal 8 5 2 2 2 3" xfId="11656" xr:uid="{29B93D1D-00ED-4EAC-A630-429457264208}"/>
    <cellStyle name="Normal 8 5 2 2 2 4" xfId="20092" xr:uid="{A80958B9-893F-4311-A8B0-9BBDD6854276}"/>
    <cellStyle name="Normal 8 5 2 2 3" xfId="5287" xr:uid="{00000000-0005-0000-0000-0000241E0000}"/>
    <cellStyle name="Normal 8 5 2 2 3 2" xfId="13729" xr:uid="{67E573E2-B262-4460-BBB2-FA0A450B747C}"/>
    <cellStyle name="Normal 8 5 2 2 3 3" xfId="22164" xr:uid="{A0626B2C-4A15-4CCE-886E-CC66558E2DA6}"/>
    <cellStyle name="Normal 8 5 2 2 4" xfId="9511" xr:uid="{578CD6AC-0C70-48B8-ADC5-73B2D5B23DB0}"/>
    <cellStyle name="Normal 8 5 2 2 5" xfId="17947" xr:uid="{5B064A93-9BB0-4821-847E-CBACDCC5B741}"/>
    <cellStyle name="Normal 8 5 2 3" xfId="1392" xr:uid="{00000000-0005-0000-0000-0000251E0000}"/>
    <cellStyle name="Normal 8 5 2 3 2" xfId="3622" xr:uid="{00000000-0005-0000-0000-0000261E0000}"/>
    <cellStyle name="Normal 8 5 2 3 2 2" xfId="7845" xr:uid="{00000000-0005-0000-0000-0000271E0000}"/>
    <cellStyle name="Normal 8 5 2 3 2 2 2" xfId="16287" xr:uid="{A54E983C-41B5-4E91-8269-749E88BB5532}"/>
    <cellStyle name="Normal 8 5 2 3 2 2 3" xfId="24722" xr:uid="{CDBAADEC-59B2-43BA-AF67-E0490E09D4CF}"/>
    <cellStyle name="Normal 8 5 2 3 2 3" xfId="12069" xr:uid="{F8B1241D-F10C-41A7-960F-56EC6C6F3B84}"/>
    <cellStyle name="Normal 8 5 2 3 2 4" xfId="20505" xr:uid="{BECB25F7-C95C-49A0-9D0A-70DC83D6ABE5}"/>
    <cellStyle name="Normal 8 5 2 3 3" xfId="5700" xr:uid="{00000000-0005-0000-0000-0000281E0000}"/>
    <cellStyle name="Normal 8 5 2 3 3 2" xfId="14142" xr:uid="{FD7D8FCB-2886-4999-80F4-6149E5F5A7B9}"/>
    <cellStyle name="Normal 8 5 2 3 3 3" xfId="22577" xr:uid="{D2384BDC-9014-4FD9-A83A-6CE7EAED1EA8}"/>
    <cellStyle name="Normal 8 5 2 3 4" xfId="9924" xr:uid="{544A941D-6A7F-4C55-94B0-E54D1E4B4D5F}"/>
    <cellStyle name="Normal 8 5 2 3 5" xfId="18360" xr:uid="{EC170E82-448E-47DA-9EE1-6A71BE5E4403}"/>
    <cellStyle name="Normal 8 5 2 4" xfId="1805" xr:uid="{00000000-0005-0000-0000-0000291E0000}"/>
    <cellStyle name="Normal 8 5 2 4 2" xfId="4035" xr:uid="{00000000-0005-0000-0000-00002A1E0000}"/>
    <cellStyle name="Normal 8 5 2 4 2 2" xfId="8258" xr:uid="{00000000-0005-0000-0000-00002B1E0000}"/>
    <cellStyle name="Normal 8 5 2 4 2 2 2" xfId="16700" xr:uid="{AF0A87C4-40ED-44FA-833A-11173D62F118}"/>
    <cellStyle name="Normal 8 5 2 4 2 2 3" xfId="25135" xr:uid="{F9D23939-D507-4CBE-B0E8-8944F5746870}"/>
    <cellStyle name="Normal 8 5 2 4 2 3" xfId="12482" xr:uid="{3924D47C-2320-43B5-9D39-BFC3F53E5BCA}"/>
    <cellStyle name="Normal 8 5 2 4 2 4" xfId="20918" xr:uid="{7ECBB56C-01CD-41D6-87ED-CCD36468FC5D}"/>
    <cellStyle name="Normal 8 5 2 4 3" xfId="6113" xr:uid="{00000000-0005-0000-0000-00002C1E0000}"/>
    <cellStyle name="Normal 8 5 2 4 3 2" xfId="14555" xr:uid="{D427C86C-28E6-4F6A-ADA6-244643C5347C}"/>
    <cellStyle name="Normal 8 5 2 4 3 3" xfId="22990" xr:uid="{FEE17061-5444-4C80-ADB7-00ABECBE0035}"/>
    <cellStyle name="Normal 8 5 2 4 4" xfId="10337" xr:uid="{D8801B33-533F-4273-B899-A08BD6398862}"/>
    <cellStyle name="Normal 8 5 2 4 5" xfId="18773" xr:uid="{A742D841-AA59-4134-868F-C48F23AFB0EB}"/>
    <cellStyle name="Normal 8 5 2 5" xfId="2219" xr:uid="{00000000-0005-0000-0000-00002D1E0000}"/>
    <cellStyle name="Normal 8 5 2 5 2" xfId="4448" xr:uid="{00000000-0005-0000-0000-00002E1E0000}"/>
    <cellStyle name="Normal 8 5 2 5 2 2" xfId="8671" xr:uid="{00000000-0005-0000-0000-00002F1E0000}"/>
    <cellStyle name="Normal 8 5 2 5 2 2 2" xfId="17113" xr:uid="{3197961A-7E4C-4822-BDD8-754FDBFEA785}"/>
    <cellStyle name="Normal 8 5 2 5 2 2 3" xfId="25548" xr:uid="{C5F28FAA-E18B-40FA-95A6-956BF931C6E0}"/>
    <cellStyle name="Normal 8 5 2 5 2 3" xfId="12895" xr:uid="{786C7D94-597A-4B0A-ABD7-F9F4B5CC4AA0}"/>
    <cellStyle name="Normal 8 5 2 5 2 4" xfId="21331" xr:uid="{70020880-6152-4110-B870-9557D6F7299B}"/>
    <cellStyle name="Normal 8 5 2 5 3" xfId="6526" xr:uid="{00000000-0005-0000-0000-0000301E0000}"/>
    <cellStyle name="Normal 8 5 2 5 3 2" xfId="14968" xr:uid="{89666AE8-D0FE-49B4-8A06-D7C56E168E29}"/>
    <cellStyle name="Normal 8 5 2 5 3 3" xfId="23403" xr:uid="{B7A14F00-47EA-4A0B-94EE-5E8A91BECE1D}"/>
    <cellStyle name="Normal 8 5 2 5 4" xfId="10750" xr:uid="{763433DD-E3AA-47C5-AE9C-1FCFC20835B6}"/>
    <cellStyle name="Normal 8 5 2 5 5" xfId="19186" xr:uid="{0C0C56A0-DDEE-44EF-A696-DCAF24E1FA64}"/>
    <cellStyle name="Normal 8 5 2 6" xfId="2655" xr:uid="{00000000-0005-0000-0000-0000311E0000}"/>
    <cellStyle name="Normal 8 5 2 6 2" xfId="6939" xr:uid="{00000000-0005-0000-0000-0000321E0000}"/>
    <cellStyle name="Normal 8 5 2 6 2 2" xfId="15381" xr:uid="{C44094CA-A464-4AF0-ACCC-A760BEDD9063}"/>
    <cellStyle name="Normal 8 5 2 6 2 3" xfId="23816" xr:uid="{FB88847C-2C59-464F-9E8A-2689F14086C8}"/>
    <cellStyle name="Normal 8 5 2 6 3" xfId="11163" xr:uid="{F7E3526E-EBD4-44A7-8983-97AF36ACE8DD}"/>
    <cellStyle name="Normal 8 5 2 6 4" xfId="19599" xr:uid="{97A879AE-7786-462E-A0A0-9B8D28BF1C42}"/>
    <cellStyle name="Normal 8 5 2 7" xfId="4874" xr:uid="{00000000-0005-0000-0000-0000331E0000}"/>
    <cellStyle name="Normal 8 5 2 7 2" xfId="13316" xr:uid="{6007EEFA-6612-4A92-A313-9D0BC86FB3E4}"/>
    <cellStyle name="Normal 8 5 2 7 3" xfId="21751" xr:uid="{55136709-5EEA-4E49-962A-2922CE2EDA7B}"/>
    <cellStyle name="Normal 8 5 2 8" xfId="9098" xr:uid="{7D95F808-D8AD-416B-8138-C1432CAAA3C8}"/>
    <cellStyle name="Normal 8 5 2 9" xfId="17534" xr:uid="{DE0418D6-C0B1-4072-A4B5-24AC5DCC4743}"/>
    <cellStyle name="Normal 8 5 3" xfId="974" xr:uid="{00000000-0005-0000-0000-0000341E0000}"/>
    <cellStyle name="Normal 8 5 3 2" xfId="3208" xr:uid="{00000000-0005-0000-0000-0000351E0000}"/>
    <cellStyle name="Normal 8 5 3 2 2" xfId="7431" xr:uid="{00000000-0005-0000-0000-0000361E0000}"/>
    <cellStyle name="Normal 8 5 3 2 2 2" xfId="15873" xr:uid="{B89A0424-A751-4DFB-9259-0F0A6A044C69}"/>
    <cellStyle name="Normal 8 5 3 2 2 3" xfId="24308" xr:uid="{3C8AABDD-0E9C-42B8-B0BE-5537F653BFE5}"/>
    <cellStyle name="Normal 8 5 3 2 3" xfId="11655" xr:uid="{83C57ED6-576E-441E-84F8-EF027C10E286}"/>
    <cellStyle name="Normal 8 5 3 2 4" xfId="20091" xr:uid="{1F3E895E-2489-4C31-B6B0-9E55916C199A}"/>
    <cellStyle name="Normal 8 5 3 3" xfId="5286" xr:uid="{00000000-0005-0000-0000-0000371E0000}"/>
    <cellStyle name="Normal 8 5 3 3 2" xfId="13728" xr:uid="{27D9CC89-07E2-4F42-A9F1-4A14A6F4FC4E}"/>
    <cellStyle name="Normal 8 5 3 3 3" xfId="22163" xr:uid="{ADD584E8-963E-4784-BC97-257AD6E07669}"/>
    <cellStyle name="Normal 8 5 3 4" xfId="9510" xr:uid="{19A658C4-7105-4B43-B962-D6FB2FDF6AE3}"/>
    <cellStyle name="Normal 8 5 3 5" xfId="17946" xr:uid="{4232063B-C01F-4561-9A49-F4C6460FC71D}"/>
    <cellStyle name="Normal 8 5 4" xfId="1391" xr:uid="{00000000-0005-0000-0000-0000381E0000}"/>
    <cellStyle name="Normal 8 5 4 2" xfId="3621" xr:uid="{00000000-0005-0000-0000-0000391E0000}"/>
    <cellStyle name="Normal 8 5 4 2 2" xfId="7844" xr:uid="{00000000-0005-0000-0000-00003A1E0000}"/>
    <cellStyle name="Normal 8 5 4 2 2 2" xfId="16286" xr:uid="{2D066FD4-FF07-47D5-8EBE-38DE6BDDBFEE}"/>
    <cellStyle name="Normal 8 5 4 2 2 3" xfId="24721" xr:uid="{653C9AC6-3036-4EBB-865B-4BFAE88BD0A1}"/>
    <cellStyle name="Normal 8 5 4 2 3" xfId="12068" xr:uid="{D26A535B-6EDB-401B-9841-A63837AE9DFD}"/>
    <cellStyle name="Normal 8 5 4 2 4" xfId="20504" xr:uid="{55F54B00-E8AF-47CB-A8A8-1653024F20D0}"/>
    <cellStyle name="Normal 8 5 4 3" xfId="5699" xr:uid="{00000000-0005-0000-0000-00003B1E0000}"/>
    <cellStyle name="Normal 8 5 4 3 2" xfId="14141" xr:uid="{C94B1B12-438E-4ACD-B720-8A36E58EC422}"/>
    <cellStyle name="Normal 8 5 4 3 3" xfId="22576" xr:uid="{C6BBCC5F-4796-42AA-8047-C38B6BB183C2}"/>
    <cellStyle name="Normal 8 5 4 4" xfId="9923" xr:uid="{3401787E-8667-4A4C-8D17-E48F714F9FB8}"/>
    <cellStyle name="Normal 8 5 4 5" xfId="18359" xr:uid="{53A1A8F8-85F0-4D5A-8974-6EF3D2AA1130}"/>
    <cellStyle name="Normal 8 5 5" xfId="1804" xr:uid="{00000000-0005-0000-0000-00003C1E0000}"/>
    <cellStyle name="Normal 8 5 5 2" xfId="4034" xr:uid="{00000000-0005-0000-0000-00003D1E0000}"/>
    <cellStyle name="Normal 8 5 5 2 2" xfId="8257" xr:uid="{00000000-0005-0000-0000-00003E1E0000}"/>
    <cellStyle name="Normal 8 5 5 2 2 2" xfId="16699" xr:uid="{2C013CEC-D2A8-429D-8A26-7F93E9E2BEEC}"/>
    <cellStyle name="Normal 8 5 5 2 2 3" xfId="25134" xr:uid="{CA17F988-2A7D-488B-B2FB-2AA6F759648A}"/>
    <cellStyle name="Normal 8 5 5 2 3" xfId="12481" xr:uid="{981B0A68-87A1-4116-94F5-042873002ECB}"/>
    <cellStyle name="Normal 8 5 5 2 4" xfId="20917" xr:uid="{FAD8A135-5A44-4123-921C-1FCEF180EBB1}"/>
    <cellStyle name="Normal 8 5 5 3" xfId="6112" xr:uid="{00000000-0005-0000-0000-00003F1E0000}"/>
    <cellStyle name="Normal 8 5 5 3 2" xfId="14554" xr:uid="{B4538AAD-2198-44A8-AD63-5E76F176CE13}"/>
    <cellStyle name="Normal 8 5 5 3 3" xfId="22989" xr:uid="{76FB31CD-2D33-45A2-A6CC-EC8DE7616DF8}"/>
    <cellStyle name="Normal 8 5 5 4" xfId="10336" xr:uid="{34E959C5-2DCF-4E7D-AD68-88A5C5E1C41F}"/>
    <cellStyle name="Normal 8 5 5 5" xfId="18772" xr:uid="{E3CA1F30-7DCE-4128-A04A-A53274B3E625}"/>
    <cellStyle name="Normal 8 5 6" xfId="2218" xr:uid="{00000000-0005-0000-0000-0000401E0000}"/>
    <cellStyle name="Normal 8 5 6 2" xfId="4447" xr:uid="{00000000-0005-0000-0000-0000411E0000}"/>
    <cellStyle name="Normal 8 5 6 2 2" xfId="8670" xr:uid="{00000000-0005-0000-0000-0000421E0000}"/>
    <cellStyle name="Normal 8 5 6 2 2 2" xfId="17112" xr:uid="{EA757784-5411-4863-A97E-8D4F41297543}"/>
    <cellStyle name="Normal 8 5 6 2 2 3" xfId="25547" xr:uid="{FF260744-BDD7-4EA0-BF05-6E9A7A32ED66}"/>
    <cellStyle name="Normal 8 5 6 2 3" xfId="12894" xr:uid="{0E00E398-DAD6-4EB4-9866-C356F8D3917C}"/>
    <cellStyle name="Normal 8 5 6 2 4" xfId="21330" xr:uid="{5B6E176A-5247-41C4-AE8D-2EA1E67CBDDC}"/>
    <cellStyle name="Normal 8 5 6 3" xfId="6525" xr:uid="{00000000-0005-0000-0000-0000431E0000}"/>
    <cellStyle name="Normal 8 5 6 3 2" xfId="14967" xr:uid="{8A24E944-D97E-4B36-B4C8-A8E51B3F33AB}"/>
    <cellStyle name="Normal 8 5 6 3 3" xfId="23402" xr:uid="{9F07C3E9-84EE-463F-8439-1C2E0032ED34}"/>
    <cellStyle name="Normal 8 5 6 4" xfId="10749" xr:uid="{747A203A-DF6C-4A98-A484-68D2F15D9A02}"/>
    <cellStyle name="Normal 8 5 6 5" xfId="19185" xr:uid="{100B1F1F-B2F1-403E-9E22-86D0B8701E98}"/>
    <cellStyle name="Normal 8 5 7" xfId="2654" xr:uid="{00000000-0005-0000-0000-0000441E0000}"/>
    <cellStyle name="Normal 8 5 7 2" xfId="6938" xr:uid="{00000000-0005-0000-0000-0000451E0000}"/>
    <cellStyle name="Normal 8 5 7 2 2" xfId="15380" xr:uid="{9FE78A45-6EC9-41EF-9C54-28BA5438370A}"/>
    <cellStyle name="Normal 8 5 7 2 3" xfId="23815" xr:uid="{C01B7BDF-EC6F-4F66-9BDF-9D01C9AEAB35}"/>
    <cellStyle name="Normal 8 5 7 3" xfId="11162" xr:uid="{C2B9D214-ED59-4D21-9A1E-13FB80CDF8CE}"/>
    <cellStyle name="Normal 8 5 7 4" xfId="19598" xr:uid="{2F1E2581-90B9-4E33-B831-978546877CF1}"/>
    <cellStyle name="Normal 8 5 8" xfId="4873" xr:uid="{00000000-0005-0000-0000-0000461E0000}"/>
    <cellStyle name="Normal 8 5 8 2" xfId="13315" xr:uid="{08AE386B-0071-429E-A758-4989D2679632}"/>
    <cellStyle name="Normal 8 5 8 3" xfId="21750" xr:uid="{D11CFF44-A36A-49D3-8098-8E5C57ABC0AE}"/>
    <cellStyle name="Normal 8 5 9" xfId="9097" xr:uid="{0ECD694D-215A-4DB9-9DEF-54F30A82FDD5}"/>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2 2 2" xfId="15875" xr:uid="{7F293CB1-5E2E-40D2-937E-144F00318BA1}"/>
    <cellStyle name="Normal 8 6 2 2 2 3" xfId="24310" xr:uid="{9A3D5F47-E528-430A-85A0-6863D6757E97}"/>
    <cellStyle name="Normal 8 6 2 2 3" xfId="11657" xr:uid="{56C5B170-DCC0-4D09-BCBC-38A0DD9021F8}"/>
    <cellStyle name="Normal 8 6 2 2 4" xfId="20093" xr:uid="{1A48858B-1AF5-41A9-8AD7-36613967F47C}"/>
    <cellStyle name="Normal 8 6 2 3" xfId="5288" xr:uid="{00000000-0005-0000-0000-00004B1E0000}"/>
    <cellStyle name="Normal 8 6 2 3 2" xfId="13730" xr:uid="{931FB02C-6290-469B-94EA-55ACB790B181}"/>
    <cellStyle name="Normal 8 6 2 3 3" xfId="22165" xr:uid="{4A06AEFB-E11C-4B4C-8817-5BE77975265A}"/>
    <cellStyle name="Normal 8 6 2 4" xfId="9512" xr:uid="{BBB6B5E0-D71E-44C6-803F-2C3AF59C96CB}"/>
    <cellStyle name="Normal 8 6 2 5" xfId="17948" xr:uid="{6F1A9A6E-4A19-4649-9581-382CFF18265F}"/>
    <cellStyle name="Normal 8 6 3" xfId="1393" xr:uid="{00000000-0005-0000-0000-00004C1E0000}"/>
    <cellStyle name="Normal 8 6 3 2" xfId="3623" xr:uid="{00000000-0005-0000-0000-00004D1E0000}"/>
    <cellStyle name="Normal 8 6 3 2 2" xfId="7846" xr:uid="{00000000-0005-0000-0000-00004E1E0000}"/>
    <cellStyle name="Normal 8 6 3 2 2 2" xfId="16288" xr:uid="{CF9CBB2C-9913-4FE0-AB62-627AC3088328}"/>
    <cellStyle name="Normal 8 6 3 2 2 3" xfId="24723" xr:uid="{D6410B39-FE06-4669-92C2-2D3373B0A212}"/>
    <cellStyle name="Normal 8 6 3 2 3" xfId="12070" xr:uid="{1DFF6292-C305-4B62-BDF9-0B7173B17469}"/>
    <cellStyle name="Normal 8 6 3 2 4" xfId="20506" xr:uid="{448324B5-114C-4FF6-9E5C-E821AD3F3BE9}"/>
    <cellStyle name="Normal 8 6 3 3" xfId="5701" xr:uid="{00000000-0005-0000-0000-00004F1E0000}"/>
    <cellStyle name="Normal 8 6 3 3 2" xfId="14143" xr:uid="{5C83EFAB-FF22-414F-814D-75723F2C8AEE}"/>
    <cellStyle name="Normal 8 6 3 3 3" xfId="22578" xr:uid="{03D73FD0-6667-4410-BB08-750B1EE21547}"/>
    <cellStyle name="Normal 8 6 3 4" xfId="9925" xr:uid="{AF7B3646-DA93-4017-9EB8-8E6E9C814F3B}"/>
    <cellStyle name="Normal 8 6 3 5" xfId="18361" xr:uid="{9171E48C-A786-4F70-AE72-EF52ECE754B6}"/>
    <cellStyle name="Normal 8 6 4" xfId="1806" xr:uid="{00000000-0005-0000-0000-0000501E0000}"/>
    <cellStyle name="Normal 8 6 4 2" xfId="4036" xr:uid="{00000000-0005-0000-0000-0000511E0000}"/>
    <cellStyle name="Normal 8 6 4 2 2" xfId="8259" xr:uid="{00000000-0005-0000-0000-0000521E0000}"/>
    <cellStyle name="Normal 8 6 4 2 2 2" xfId="16701" xr:uid="{64EE2DAE-9B2D-46EF-865A-7A635585A10A}"/>
    <cellStyle name="Normal 8 6 4 2 2 3" xfId="25136" xr:uid="{44240B1B-4F50-4162-88C8-189C00A35020}"/>
    <cellStyle name="Normal 8 6 4 2 3" xfId="12483" xr:uid="{CA2E4EA5-F5D0-4559-8BC0-AFACCBB7DD90}"/>
    <cellStyle name="Normal 8 6 4 2 4" xfId="20919" xr:uid="{B6052394-EDD6-4170-BBF3-019205A1C6A8}"/>
    <cellStyle name="Normal 8 6 4 3" xfId="6114" xr:uid="{00000000-0005-0000-0000-0000531E0000}"/>
    <cellStyle name="Normal 8 6 4 3 2" xfId="14556" xr:uid="{CB040139-9BCF-4BF2-92B2-477D7180F08D}"/>
    <cellStyle name="Normal 8 6 4 3 3" xfId="22991" xr:uid="{9F462C8E-94B7-42CB-9D42-FFABB4DC7F33}"/>
    <cellStyle name="Normal 8 6 4 4" xfId="10338" xr:uid="{8510FA43-6697-46EA-8697-8699D9C14217}"/>
    <cellStyle name="Normal 8 6 4 5" xfId="18774" xr:uid="{A6D31857-7659-416E-826B-99DF97A06987}"/>
    <cellStyle name="Normal 8 6 5" xfId="2220" xr:uid="{00000000-0005-0000-0000-0000541E0000}"/>
    <cellStyle name="Normal 8 6 5 2" xfId="4449" xr:uid="{00000000-0005-0000-0000-0000551E0000}"/>
    <cellStyle name="Normal 8 6 5 2 2" xfId="8672" xr:uid="{00000000-0005-0000-0000-0000561E0000}"/>
    <cellStyle name="Normal 8 6 5 2 2 2" xfId="17114" xr:uid="{10E18BA8-AFFE-44CB-807D-2A53096DD8CF}"/>
    <cellStyle name="Normal 8 6 5 2 2 3" xfId="25549" xr:uid="{EAD353F7-0122-4238-8F4A-8A496E4EBA18}"/>
    <cellStyle name="Normal 8 6 5 2 3" xfId="12896" xr:uid="{27801BED-2206-475B-8093-80FEF2A29A7A}"/>
    <cellStyle name="Normal 8 6 5 2 4" xfId="21332" xr:uid="{647CF22C-7F79-4C20-ACA6-D21794D9B28B}"/>
    <cellStyle name="Normal 8 6 5 3" xfId="6527" xr:uid="{00000000-0005-0000-0000-0000571E0000}"/>
    <cellStyle name="Normal 8 6 5 3 2" xfId="14969" xr:uid="{4B1B7D52-5D04-4510-826F-88FEE5C73FB8}"/>
    <cellStyle name="Normal 8 6 5 3 3" xfId="23404" xr:uid="{7342F6D6-1CC4-453C-85D7-C3ADF8724793}"/>
    <cellStyle name="Normal 8 6 5 4" xfId="10751" xr:uid="{B6942A66-E733-46A8-BA8B-A9E98ADB9E4D}"/>
    <cellStyle name="Normal 8 6 5 5" xfId="19187" xr:uid="{EEA44569-947E-4FE4-A71C-23EB32B2489B}"/>
    <cellStyle name="Normal 8 6 6" xfId="2656" xr:uid="{00000000-0005-0000-0000-0000581E0000}"/>
    <cellStyle name="Normal 8 6 6 2" xfId="6940" xr:uid="{00000000-0005-0000-0000-0000591E0000}"/>
    <cellStyle name="Normal 8 6 6 2 2" xfId="15382" xr:uid="{F4D850ED-991A-466A-B97A-81736EEBBEB2}"/>
    <cellStyle name="Normal 8 6 6 2 3" xfId="23817" xr:uid="{955FC413-5407-494D-BEBA-BF0810A563EE}"/>
    <cellStyle name="Normal 8 6 6 3" xfId="11164" xr:uid="{EC113F67-3BD5-4E27-800B-D8924DF415A5}"/>
    <cellStyle name="Normal 8 6 6 4" xfId="19600" xr:uid="{91F30BF8-D02C-4C21-9ABB-A471E8FD5452}"/>
    <cellStyle name="Normal 8 6 7" xfId="4875" xr:uid="{00000000-0005-0000-0000-00005A1E0000}"/>
    <cellStyle name="Normal 8 6 7 2" xfId="13317" xr:uid="{7A219078-3734-4C22-9AB4-FA50AE690174}"/>
    <cellStyle name="Normal 8 6 7 3" xfId="21752" xr:uid="{02F4BCDA-9881-47D1-97FF-5348677A7BA4}"/>
    <cellStyle name="Normal 8 6 8" xfId="9099" xr:uid="{2B69EDF4-634B-4D10-A998-5E6A45FB0096}"/>
    <cellStyle name="Normal 8 6 9" xfId="17535" xr:uid="{54FBB5B3-7805-4D44-A0C2-1D9B8518B565}"/>
    <cellStyle name="Normal 8 7" xfId="945" xr:uid="{00000000-0005-0000-0000-00005B1E0000}"/>
    <cellStyle name="Normal 8 7 2" xfId="3179" xr:uid="{00000000-0005-0000-0000-00005C1E0000}"/>
    <cellStyle name="Normal 8 7 2 2" xfId="7402" xr:uid="{00000000-0005-0000-0000-00005D1E0000}"/>
    <cellStyle name="Normal 8 7 2 2 2" xfId="15844" xr:uid="{D4739663-BF1B-485F-B2F8-95C2BD3B524E}"/>
    <cellStyle name="Normal 8 7 2 2 3" xfId="24279" xr:uid="{8F531B8B-B48E-49AB-A371-A89284397A69}"/>
    <cellStyle name="Normal 8 7 2 3" xfId="11626" xr:uid="{65DBFCA1-D829-49B3-A86E-036463E0AD7B}"/>
    <cellStyle name="Normal 8 7 2 4" xfId="20062" xr:uid="{DDC6BD0E-4DD4-4C2B-8F0B-5429C37BCECD}"/>
    <cellStyle name="Normal 8 7 3" xfId="5257" xr:uid="{00000000-0005-0000-0000-00005E1E0000}"/>
    <cellStyle name="Normal 8 7 3 2" xfId="13699" xr:uid="{D093C9EA-FBFF-475C-88EE-7CAA2AA18AAB}"/>
    <cellStyle name="Normal 8 7 3 3" xfId="22134" xr:uid="{090F2B9E-C597-4CE1-9C69-49987F238289}"/>
    <cellStyle name="Normal 8 7 4" xfId="9481" xr:uid="{A008B693-8096-4187-B8AC-0D653B2EC624}"/>
    <cellStyle name="Normal 8 7 5" xfId="17917" xr:uid="{C301CE86-AB71-46DC-9FC4-5980D0F31612}"/>
    <cellStyle name="Normal 8 8" xfId="1362" xr:uid="{00000000-0005-0000-0000-00005F1E0000}"/>
    <cellStyle name="Normal 8 8 2" xfId="3592" xr:uid="{00000000-0005-0000-0000-0000601E0000}"/>
    <cellStyle name="Normal 8 8 2 2" xfId="7815" xr:uid="{00000000-0005-0000-0000-0000611E0000}"/>
    <cellStyle name="Normal 8 8 2 2 2" xfId="16257" xr:uid="{4029A869-D50B-4302-A90B-727040437C53}"/>
    <cellStyle name="Normal 8 8 2 2 3" xfId="24692" xr:uid="{B41FE2AE-E7A4-415D-B3C0-86662EAFC776}"/>
    <cellStyle name="Normal 8 8 2 3" xfId="12039" xr:uid="{D5B75BDD-F814-462B-BE3E-57AA2867F295}"/>
    <cellStyle name="Normal 8 8 2 4" xfId="20475" xr:uid="{5051BAE0-8FE5-47F2-976D-CCD21A726CD6}"/>
    <cellStyle name="Normal 8 8 3" xfId="5670" xr:uid="{00000000-0005-0000-0000-0000621E0000}"/>
    <cellStyle name="Normal 8 8 3 2" xfId="14112" xr:uid="{2324CDAD-A615-4B07-B664-32ECF10DC043}"/>
    <cellStyle name="Normal 8 8 3 3" xfId="22547" xr:uid="{50D47D62-89DE-4BAD-AC43-7C2769E77C8D}"/>
    <cellStyle name="Normal 8 8 4" xfId="9894" xr:uid="{14189382-1CC1-46BC-8E98-09D3A6EBCBC1}"/>
    <cellStyle name="Normal 8 8 5" xfId="18330" xr:uid="{AE7CF206-8CDD-47C3-B12F-19DC2BFDD7D2}"/>
    <cellStyle name="Normal 8 9" xfId="1775" xr:uid="{00000000-0005-0000-0000-0000631E0000}"/>
    <cellStyle name="Normal 8 9 2" xfId="4005" xr:uid="{00000000-0005-0000-0000-0000641E0000}"/>
    <cellStyle name="Normal 8 9 2 2" xfId="8228" xr:uid="{00000000-0005-0000-0000-0000651E0000}"/>
    <cellStyle name="Normal 8 9 2 2 2" xfId="16670" xr:uid="{99BDA1DB-E277-4B18-8543-C60D29C61A3C}"/>
    <cellStyle name="Normal 8 9 2 2 3" xfId="25105" xr:uid="{8A905E79-25F8-4D8D-9602-0E1442147BAE}"/>
    <cellStyle name="Normal 8 9 2 3" xfId="12452" xr:uid="{C09E7A00-322D-494F-9B3A-77393BCA9F8D}"/>
    <cellStyle name="Normal 8 9 2 4" xfId="20888" xr:uid="{A69480CF-D8A1-4991-8C7E-9430443DEDC7}"/>
    <cellStyle name="Normal 8 9 3" xfId="6083" xr:uid="{00000000-0005-0000-0000-0000661E0000}"/>
    <cellStyle name="Normal 8 9 3 2" xfId="14525" xr:uid="{CDC779DD-CFCC-4F34-9868-19D8FB4E9B49}"/>
    <cellStyle name="Normal 8 9 3 3" xfId="22960" xr:uid="{EA5C6DBD-14DE-40D1-8175-8E822FEF43E9}"/>
    <cellStyle name="Normal 8 9 4" xfId="10307" xr:uid="{A4A255B2-D468-40DA-BB45-3AA9DA993DF7}"/>
    <cellStyle name="Normal 8 9 5" xfId="18743" xr:uid="{96304C95-329D-4624-85B7-44A6B614929E}"/>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0 2 2" xfId="15383" xr:uid="{DB359D5F-D0A1-4E0B-BCCA-1E609977DBEC}"/>
    <cellStyle name="Normal 9 2 10 2 3" xfId="23818" xr:uid="{4C0C2452-FC84-427A-8BFB-D9DA92DCAD63}"/>
    <cellStyle name="Normal 9 2 10 3" xfId="11165" xr:uid="{841D0017-5C3B-4026-B1C7-528796C5161C}"/>
    <cellStyle name="Normal 9 2 10 4" xfId="19601" xr:uid="{969F2302-67F9-44B4-9769-9F1BDB384F4E}"/>
    <cellStyle name="Normal 9 2 11" xfId="4876" xr:uid="{00000000-0005-0000-0000-00006B1E0000}"/>
    <cellStyle name="Normal 9 2 11 2" xfId="13318" xr:uid="{23E5B2CB-C55A-4B1B-B676-D1A631BE1D52}"/>
    <cellStyle name="Normal 9 2 11 3" xfId="21753" xr:uid="{9813EC54-4A31-4441-B505-F7D45E003533}"/>
    <cellStyle name="Normal 9 2 12" xfId="9100" xr:uid="{3659D7C7-11E0-4428-9046-7CFAE59A11BF}"/>
    <cellStyle name="Normal 9 2 13" xfId="17536" xr:uid="{A73CF78C-BB5C-46C2-AC81-08392A5A0D83}"/>
    <cellStyle name="Normal 9 2 2" xfId="512" xr:uid="{00000000-0005-0000-0000-00006C1E0000}"/>
    <cellStyle name="Normal 9 2 2 10" xfId="4877" xr:uid="{00000000-0005-0000-0000-00006D1E0000}"/>
    <cellStyle name="Normal 9 2 2 10 2" xfId="13319" xr:uid="{56FE4551-6EE6-4828-BDDA-6FCCD98F2DE5}"/>
    <cellStyle name="Normal 9 2 2 10 3" xfId="21754" xr:uid="{2C0148E4-340D-4A03-92FD-FF04F49728EE}"/>
    <cellStyle name="Normal 9 2 2 11" xfId="9101" xr:uid="{F80E72E7-76DC-40F2-80FB-5C13DDF062B1}"/>
    <cellStyle name="Normal 9 2 2 12" xfId="17537" xr:uid="{07396F10-627D-421A-BB33-2E36904884BD}"/>
    <cellStyle name="Normal 9 2 2 2" xfId="513" xr:uid="{00000000-0005-0000-0000-00006E1E0000}"/>
    <cellStyle name="Normal 9 2 2 2 10" xfId="9102" xr:uid="{DBB1FAF3-8071-4831-806B-713EC916325E}"/>
    <cellStyle name="Normal 9 2 2 2 11" xfId="17538" xr:uid="{513BB0A1-3494-465F-8DFF-04D2AC91D2FC}"/>
    <cellStyle name="Normal 9 2 2 2 2" xfId="514" xr:uid="{00000000-0005-0000-0000-00006F1E0000}"/>
    <cellStyle name="Normal 9 2 2 2 2 10" xfId="17539" xr:uid="{7904A4FA-FC60-4E95-B09C-1BA84E65E665}"/>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2 2 2" xfId="15880" xr:uid="{DF9228B1-EF51-4835-807B-DA1CF41BE1C3}"/>
    <cellStyle name="Normal 9 2 2 2 2 2 2 2 2 3" xfId="24315" xr:uid="{C8C5B2E3-1F22-4594-B34D-F714536B25A5}"/>
    <cellStyle name="Normal 9 2 2 2 2 2 2 2 3" xfId="11662" xr:uid="{605DAB7F-9570-4E82-BFFF-8F6C118EC6EE}"/>
    <cellStyle name="Normal 9 2 2 2 2 2 2 2 4" xfId="20098" xr:uid="{85FAF16E-C314-458D-883A-E8327D43D786}"/>
    <cellStyle name="Normal 9 2 2 2 2 2 2 3" xfId="5293" xr:uid="{00000000-0005-0000-0000-0000741E0000}"/>
    <cellStyle name="Normal 9 2 2 2 2 2 2 3 2" xfId="13735" xr:uid="{A829072A-0F4A-4146-B3F2-8D8446BABB26}"/>
    <cellStyle name="Normal 9 2 2 2 2 2 2 3 3" xfId="22170" xr:uid="{57945E8C-42AF-4C79-93B8-2E6371A93B54}"/>
    <cellStyle name="Normal 9 2 2 2 2 2 2 4" xfId="9517" xr:uid="{45447105-94C4-4FD5-A979-6D0D9B01B2AF}"/>
    <cellStyle name="Normal 9 2 2 2 2 2 2 5" xfId="17953" xr:uid="{7B6B5855-1334-4910-BF4A-6ECCFE88D0AB}"/>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2 2 2" xfId="16293" xr:uid="{873BD62B-72C0-4E75-8921-BD0C61275996}"/>
    <cellStyle name="Normal 9 2 2 2 2 2 3 2 2 3" xfId="24728" xr:uid="{4123FEFD-7F53-43BC-8761-28876ACEF09E}"/>
    <cellStyle name="Normal 9 2 2 2 2 2 3 2 3" xfId="12075" xr:uid="{CE9C12B0-A401-46B6-8B2E-E253E21EA653}"/>
    <cellStyle name="Normal 9 2 2 2 2 2 3 2 4" xfId="20511" xr:uid="{D8E557D7-A9C5-462C-BF5F-74DA21CF18F1}"/>
    <cellStyle name="Normal 9 2 2 2 2 2 3 3" xfId="5706" xr:uid="{00000000-0005-0000-0000-0000781E0000}"/>
    <cellStyle name="Normal 9 2 2 2 2 2 3 3 2" xfId="14148" xr:uid="{12396FF9-1F37-4AB6-A7A1-ECB8E6E9360E}"/>
    <cellStyle name="Normal 9 2 2 2 2 2 3 3 3" xfId="22583" xr:uid="{68DE85B0-3097-4436-8370-97B87D6E3816}"/>
    <cellStyle name="Normal 9 2 2 2 2 2 3 4" xfId="9930" xr:uid="{9791DF56-208F-44CE-A9C5-1103C48D49CA}"/>
    <cellStyle name="Normal 9 2 2 2 2 2 3 5" xfId="18366" xr:uid="{E09CD24C-8CC6-4944-A9B6-3EFC8C3E2474}"/>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2 2 2" xfId="16706" xr:uid="{EF3CDB24-B90A-4A44-A00B-827AEE4BA462}"/>
    <cellStyle name="Normal 9 2 2 2 2 2 4 2 2 3" xfId="25141" xr:uid="{171490FF-39A0-4D9A-924F-AFBFCE011E27}"/>
    <cellStyle name="Normal 9 2 2 2 2 2 4 2 3" xfId="12488" xr:uid="{D29CB532-539A-48BE-AD1E-0A00D9DAE547}"/>
    <cellStyle name="Normal 9 2 2 2 2 2 4 2 4" xfId="20924" xr:uid="{A536F14A-9F26-4CCF-B984-F7BF6B27D38B}"/>
    <cellStyle name="Normal 9 2 2 2 2 2 4 3" xfId="6119" xr:uid="{00000000-0005-0000-0000-00007C1E0000}"/>
    <cellStyle name="Normal 9 2 2 2 2 2 4 3 2" xfId="14561" xr:uid="{C7631CB3-5457-4525-A924-5CAA355F9A7A}"/>
    <cellStyle name="Normal 9 2 2 2 2 2 4 3 3" xfId="22996" xr:uid="{30C96202-9E0A-4F6C-AC86-E5E66F9D50B1}"/>
    <cellStyle name="Normal 9 2 2 2 2 2 4 4" xfId="10343" xr:uid="{9AC1D3EF-7683-43D0-BC96-99A5230B4262}"/>
    <cellStyle name="Normal 9 2 2 2 2 2 4 5" xfId="18779" xr:uid="{4CB7D491-0251-47BF-89DA-DA2E8E9542A6}"/>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2 2 2" xfId="17119" xr:uid="{3D625F02-053D-491A-B89D-F302D0C914B0}"/>
    <cellStyle name="Normal 9 2 2 2 2 2 5 2 2 3" xfId="25554" xr:uid="{EB50CDBD-7E91-4338-BD46-FEB429E99670}"/>
    <cellStyle name="Normal 9 2 2 2 2 2 5 2 3" xfId="12901" xr:uid="{581337B3-70FA-45A6-A750-8AC77634DE7A}"/>
    <cellStyle name="Normal 9 2 2 2 2 2 5 2 4" xfId="21337" xr:uid="{E98F0372-FFBE-46FE-B65A-BC7636E19A80}"/>
    <cellStyle name="Normal 9 2 2 2 2 2 5 3" xfId="6532" xr:uid="{00000000-0005-0000-0000-0000801E0000}"/>
    <cellStyle name="Normal 9 2 2 2 2 2 5 3 2" xfId="14974" xr:uid="{5DDDFF88-A2F5-4DFD-952E-1F000FA03D4D}"/>
    <cellStyle name="Normal 9 2 2 2 2 2 5 3 3" xfId="23409" xr:uid="{B6AEE2C5-4F7A-40D7-B3A2-D12EB75C14DC}"/>
    <cellStyle name="Normal 9 2 2 2 2 2 5 4" xfId="10756" xr:uid="{B9281D35-1B9C-4F01-87CB-66C387F817AF}"/>
    <cellStyle name="Normal 9 2 2 2 2 2 5 5" xfId="19192" xr:uid="{EA2B9632-A64C-4B82-AA52-2D8123727F93}"/>
    <cellStyle name="Normal 9 2 2 2 2 2 6" xfId="2661" xr:uid="{00000000-0005-0000-0000-0000811E0000}"/>
    <cellStyle name="Normal 9 2 2 2 2 2 6 2" xfId="6945" xr:uid="{00000000-0005-0000-0000-0000821E0000}"/>
    <cellStyle name="Normal 9 2 2 2 2 2 6 2 2" xfId="15387" xr:uid="{692BF4E2-A2A6-49B3-A1B3-101CD87ACA4F}"/>
    <cellStyle name="Normal 9 2 2 2 2 2 6 2 3" xfId="23822" xr:uid="{95018983-2F00-4630-8A53-2EFDC0A60195}"/>
    <cellStyle name="Normal 9 2 2 2 2 2 6 3" xfId="11169" xr:uid="{94C9F1FC-9B48-47F3-A613-7915F6602C36}"/>
    <cellStyle name="Normal 9 2 2 2 2 2 6 4" xfId="19605" xr:uid="{ED57A6B2-08F3-4522-B3C1-AFFEB50D88B7}"/>
    <cellStyle name="Normal 9 2 2 2 2 2 7" xfId="4880" xr:uid="{00000000-0005-0000-0000-0000831E0000}"/>
    <cellStyle name="Normal 9 2 2 2 2 2 7 2" xfId="13322" xr:uid="{4E5151D4-E291-44EC-A8DC-802CA6AAFF5D}"/>
    <cellStyle name="Normal 9 2 2 2 2 2 7 3" xfId="21757" xr:uid="{6B677FCC-E219-4D3F-9666-18A10DF0D9A0}"/>
    <cellStyle name="Normal 9 2 2 2 2 2 8" xfId="9104" xr:uid="{9A567565-0687-4426-9A63-8034E1C2D122}"/>
    <cellStyle name="Normal 9 2 2 2 2 2 9" xfId="17540" xr:uid="{C15D5A22-E28A-4FEA-8C44-3E0BBAE2655A}"/>
    <cellStyle name="Normal 9 2 2 2 2 3" xfId="981" xr:uid="{00000000-0005-0000-0000-0000841E0000}"/>
    <cellStyle name="Normal 9 2 2 2 2 3 2" xfId="3214" xr:uid="{00000000-0005-0000-0000-0000851E0000}"/>
    <cellStyle name="Normal 9 2 2 2 2 3 2 2" xfId="7437" xr:uid="{00000000-0005-0000-0000-0000861E0000}"/>
    <cellStyle name="Normal 9 2 2 2 2 3 2 2 2" xfId="15879" xr:uid="{EC234151-860F-407B-8F8C-4C1259E2C046}"/>
    <cellStyle name="Normal 9 2 2 2 2 3 2 2 3" xfId="24314" xr:uid="{B153F34A-5311-4605-AB80-D42DCA984B5C}"/>
    <cellStyle name="Normal 9 2 2 2 2 3 2 3" xfId="11661" xr:uid="{7634D69D-AB5E-46E1-A5B3-EA825818AAFD}"/>
    <cellStyle name="Normal 9 2 2 2 2 3 2 4" xfId="20097" xr:uid="{30A2C23E-E306-469B-9B43-6C4B55A64F28}"/>
    <cellStyle name="Normal 9 2 2 2 2 3 3" xfId="5292" xr:uid="{00000000-0005-0000-0000-0000871E0000}"/>
    <cellStyle name="Normal 9 2 2 2 2 3 3 2" xfId="13734" xr:uid="{ED24C5C8-4B2D-4A2E-A247-41B912A3B2A3}"/>
    <cellStyle name="Normal 9 2 2 2 2 3 3 3" xfId="22169" xr:uid="{96CFD9F8-20C2-4B4E-A35F-3C6EB2ADA272}"/>
    <cellStyle name="Normal 9 2 2 2 2 3 4" xfId="9516" xr:uid="{D2030582-4365-43A6-A8B0-571D2FC8D864}"/>
    <cellStyle name="Normal 9 2 2 2 2 3 5" xfId="17952" xr:uid="{7E67151F-56B4-4675-BE4E-3B7079E0B216}"/>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2 2 2" xfId="16292" xr:uid="{0C82310B-D524-4145-8F91-8651BC071949}"/>
    <cellStyle name="Normal 9 2 2 2 2 4 2 2 3" xfId="24727" xr:uid="{60955441-9EA4-41B5-961D-1D8F647142AC}"/>
    <cellStyle name="Normal 9 2 2 2 2 4 2 3" xfId="12074" xr:uid="{6FD465C9-1716-4C52-BA6B-961BDCEB4BDA}"/>
    <cellStyle name="Normal 9 2 2 2 2 4 2 4" xfId="20510" xr:uid="{BD108A99-2C83-447A-A747-3B6AB3865AA4}"/>
    <cellStyle name="Normal 9 2 2 2 2 4 3" xfId="5705" xr:uid="{00000000-0005-0000-0000-00008B1E0000}"/>
    <cellStyle name="Normal 9 2 2 2 2 4 3 2" xfId="14147" xr:uid="{61486072-657D-4CAB-B9C6-1B90372793A7}"/>
    <cellStyle name="Normal 9 2 2 2 2 4 3 3" xfId="22582" xr:uid="{6778D4D3-8B64-43F0-84AC-A74517D5F678}"/>
    <cellStyle name="Normal 9 2 2 2 2 4 4" xfId="9929" xr:uid="{EAD80387-A1C8-4736-835C-862C5814F808}"/>
    <cellStyle name="Normal 9 2 2 2 2 4 5" xfId="18365" xr:uid="{BFAF2529-364A-40E9-912C-FF8CB952634B}"/>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2 2 2" xfId="16705" xr:uid="{E0DA1B4B-A507-4691-816B-04FFBDC269F5}"/>
    <cellStyle name="Normal 9 2 2 2 2 5 2 2 3" xfId="25140" xr:uid="{E53A6658-0A90-4AA8-9D73-FC0B4F57DAF3}"/>
    <cellStyle name="Normal 9 2 2 2 2 5 2 3" xfId="12487" xr:uid="{627100ED-A8F5-4AEE-9711-EC611852FD74}"/>
    <cellStyle name="Normal 9 2 2 2 2 5 2 4" xfId="20923" xr:uid="{F2BA7D39-943E-47CF-BBE8-C65767D7F2B1}"/>
    <cellStyle name="Normal 9 2 2 2 2 5 3" xfId="6118" xr:uid="{00000000-0005-0000-0000-00008F1E0000}"/>
    <cellStyle name="Normal 9 2 2 2 2 5 3 2" xfId="14560" xr:uid="{13D74EB3-E16D-4091-AA6B-90A60C8B55D8}"/>
    <cellStyle name="Normal 9 2 2 2 2 5 3 3" xfId="22995" xr:uid="{2CB2D424-E9D4-4370-BB08-64427D91E2B0}"/>
    <cellStyle name="Normal 9 2 2 2 2 5 4" xfId="10342" xr:uid="{0447293B-1259-435E-82D3-209D6714BDC5}"/>
    <cellStyle name="Normal 9 2 2 2 2 5 5" xfId="18778" xr:uid="{4A0B4655-E8FD-43F8-B81A-F4916E64A359}"/>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2 2 2" xfId="17118" xr:uid="{91801CF0-7286-4A65-ACC5-6C93238C28D6}"/>
    <cellStyle name="Normal 9 2 2 2 2 6 2 2 3" xfId="25553" xr:uid="{10B832E4-B4B1-4A8F-9074-F02EAC9514B0}"/>
    <cellStyle name="Normal 9 2 2 2 2 6 2 3" xfId="12900" xr:uid="{8BC61E67-C85A-4EDD-904A-1B6D921ECD9A}"/>
    <cellStyle name="Normal 9 2 2 2 2 6 2 4" xfId="21336" xr:uid="{30C16489-8244-4F0E-934C-870A05B8BCFA}"/>
    <cellStyle name="Normal 9 2 2 2 2 6 3" xfId="6531" xr:uid="{00000000-0005-0000-0000-0000931E0000}"/>
    <cellStyle name="Normal 9 2 2 2 2 6 3 2" xfId="14973" xr:uid="{322F4BDD-CD3B-490B-A58F-12BA8A98E733}"/>
    <cellStyle name="Normal 9 2 2 2 2 6 3 3" xfId="23408" xr:uid="{25D6AD8F-852A-4F99-861F-E6EED8573C6C}"/>
    <cellStyle name="Normal 9 2 2 2 2 6 4" xfId="10755" xr:uid="{A37369BC-177C-4E79-AD26-6A7D5545AFE9}"/>
    <cellStyle name="Normal 9 2 2 2 2 6 5" xfId="19191" xr:uid="{933EB319-4443-4879-93AA-29B8EEB5C292}"/>
    <cellStyle name="Normal 9 2 2 2 2 7" xfId="2660" xr:uid="{00000000-0005-0000-0000-0000941E0000}"/>
    <cellStyle name="Normal 9 2 2 2 2 7 2" xfId="6944" xr:uid="{00000000-0005-0000-0000-0000951E0000}"/>
    <cellStyle name="Normal 9 2 2 2 2 7 2 2" xfId="15386" xr:uid="{AE8CF441-ED2B-43C6-8BF1-76852B39590D}"/>
    <cellStyle name="Normal 9 2 2 2 2 7 2 3" xfId="23821" xr:uid="{D452F74D-8E4B-4E8F-921A-BF80D0343A4D}"/>
    <cellStyle name="Normal 9 2 2 2 2 7 3" xfId="11168" xr:uid="{06BFA893-9FA7-4582-A320-8A4349B4D1ED}"/>
    <cellStyle name="Normal 9 2 2 2 2 7 4" xfId="19604" xr:uid="{8D44EFC2-3F2B-4D24-9AED-D079E8C3485A}"/>
    <cellStyle name="Normal 9 2 2 2 2 8" xfId="4879" xr:uid="{00000000-0005-0000-0000-0000961E0000}"/>
    <cellStyle name="Normal 9 2 2 2 2 8 2" xfId="13321" xr:uid="{FE1F00D1-5070-4BDE-9E3E-E75608133D3F}"/>
    <cellStyle name="Normal 9 2 2 2 2 8 3" xfId="21756" xr:uid="{38208D9B-F95D-4881-AB57-109513156AAA}"/>
    <cellStyle name="Normal 9 2 2 2 2 9" xfId="9103" xr:uid="{FDBEDC5C-7425-4388-8DDC-CCDC13CD287A}"/>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2 2 2" xfId="15881" xr:uid="{0F1B56EB-DB4B-49BC-9344-4E1C54314E67}"/>
    <cellStyle name="Normal 9 2 2 2 3 2 2 2 3" xfId="24316" xr:uid="{A6DC8363-409E-4CF0-80B3-03BC25FB4596}"/>
    <cellStyle name="Normal 9 2 2 2 3 2 2 3" xfId="11663" xr:uid="{6CBE7AD9-0C30-4766-B907-EBFF0AF8CE0E}"/>
    <cellStyle name="Normal 9 2 2 2 3 2 2 4" xfId="20099" xr:uid="{1F993D9A-0A17-4B7E-9847-FF50B4CFEA47}"/>
    <cellStyle name="Normal 9 2 2 2 3 2 3" xfId="5294" xr:uid="{00000000-0005-0000-0000-00009B1E0000}"/>
    <cellStyle name="Normal 9 2 2 2 3 2 3 2" xfId="13736" xr:uid="{676A727E-6D10-439F-843F-3C82FAA4B79A}"/>
    <cellStyle name="Normal 9 2 2 2 3 2 3 3" xfId="22171" xr:uid="{F0C8E0B9-75CB-4369-84DD-9482A097126D}"/>
    <cellStyle name="Normal 9 2 2 2 3 2 4" xfId="9518" xr:uid="{3BB1B527-2968-47C1-B407-8C1B1C5CE4D5}"/>
    <cellStyle name="Normal 9 2 2 2 3 2 5" xfId="17954" xr:uid="{2F64828C-070D-4671-B51A-F11E1A8D9C75}"/>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2 2 2" xfId="16294" xr:uid="{A6F9512C-002C-4867-867D-06B395BF964B}"/>
    <cellStyle name="Normal 9 2 2 2 3 3 2 2 3" xfId="24729" xr:uid="{3377D4D2-2F9B-4E51-BDFF-01B48BF6AFBF}"/>
    <cellStyle name="Normal 9 2 2 2 3 3 2 3" xfId="12076" xr:uid="{4A03F03D-7C74-4282-9341-2B6B0566939D}"/>
    <cellStyle name="Normal 9 2 2 2 3 3 2 4" xfId="20512" xr:uid="{E48F255E-968E-4184-BD25-8595E4952E67}"/>
    <cellStyle name="Normal 9 2 2 2 3 3 3" xfId="5707" xr:uid="{00000000-0005-0000-0000-00009F1E0000}"/>
    <cellStyle name="Normal 9 2 2 2 3 3 3 2" xfId="14149" xr:uid="{8B33F33E-73C0-47A7-A55C-F9862DDA21E4}"/>
    <cellStyle name="Normal 9 2 2 2 3 3 3 3" xfId="22584" xr:uid="{25DBEEE7-48B5-4347-8B0E-C2D94933C426}"/>
    <cellStyle name="Normal 9 2 2 2 3 3 4" xfId="9931" xr:uid="{836AC838-28F6-4645-8A32-01075E26422E}"/>
    <cellStyle name="Normal 9 2 2 2 3 3 5" xfId="18367" xr:uid="{864E4FA9-3A1D-459E-B142-49325E858474}"/>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2 2 2" xfId="16707" xr:uid="{12684680-BCC6-4A07-B006-194D4DA5714F}"/>
    <cellStyle name="Normal 9 2 2 2 3 4 2 2 3" xfId="25142" xr:uid="{023F0DF2-5DE4-46BE-8F6E-07A9C923A043}"/>
    <cellStyle name="Normal 9 2 2 2 3 4 2 3" xfId="12489" xr:uid="{4EC6BDFC-2333-4E81-AFA9-A8EAFA0B47E9}"/>
    <cellStyle name="Normal 9 2 2 2 3 4 2 4" xfId="20925" xr:uid="{90E7AC6D-6E98-4A98-B132-3667956BF090}"/>
    <cellStyle name="Normal 9 2 2 2 3 4 3" xfId="6120" xr:uid="{00000000-0005-0000-0000-0000A31E0000}"/>
    <cellStyle name="Normal 9 2 2 2 3 4 3 2" xfId="14562" xr:uid="{78ECE041-5902-400F-B74C-5B036EE7F509}"/>
    <cellStyle name="Normal 9 2 2 2 3 4 3 3" xfId="22997" xr:uid="{5B6C94EA-A78B-4C44-8A4F-0E5B3320B499}"/>
    <cellStyle name="Normal 9 2 2 2 3 4 4" xfId="10344" xr:uid="{B5779B68-56F2-4B8E-A928-517383AAF3BB}"/>
    <cellStyle name="Normal 9 2 2 2 3 4 5" xfId="18780" xr:uid="{AA6DB584-CCEC-4671-9B28-D298F6B20AE9}"/>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2 2 2" xfId="17120" xr:uid="{43F3590C-5761-4E7E-9D62-FB82ACF6B5E4}"/>
    <cellStyle name="Normal 9 2 2 2 3 5 2 2 3" xfId="25555" xr:uid="{2A880C2A-E421-4402-8CBF-C364B01BA169}"/>
    <cellStyle name="Normal 9 2 2 2 3 5 2 3" xfId="12902" xr:uid="{5E5F0609-B724-4C33-BD3F-C372F7F2852D}"/>
    <cellStyle name="Normal 9 2 2 2 3 5 2 4" xfId="21338" xr:uid="{7CE8C15E-0D20-4934-839F-3BDDA3412DA6}"/>
    <cellStyle name="Normal 9 2 2 2 3 5 3" xfId="6533" xr:uid="{00000000-0005-0000-0000-0000A71E0000}"/>
    <cellStyle name="Normal 9 2 2 2 3 5 3 2" xfId="14975" xr:uid="{A4A84141-5CC7-46B3-A1B7-4926CD60602E}"/>
    <cellStyle name="Normal 9 2 2 2 3 5 3 3" xfId="23410" xr:uid="{A1CCB69C-0391-42BB-B488-0CF20961C92E}"/>
    <cellStyle name="Normal 9 2 2 2 3 5 4" xfId="10757" xr:uid="{C223FD72-7119-4286-B252-E4C9B287E7FD}"/>
    <cellStyle name="Normal 9 2 2 2 3 5 5" xfId="19193" xr:uid="{7E29D0AE-9D5A-4137-8439-9A606B3481B1}"/>
    <cellStyle name="Normal 9 2 2 2 3 6" xfId="2662" xr:uid="{00000000-0005-0000-0000-0000A81E0000}"/>
    <cellStyle name="Normal 9 2 2 2 3 6 2" xfId="6946" xr:uid="{00000000-0005-0000-0000-0000A91E0000}"/>
    <cellStyle name="Normal 9 2 2 2 3 6 2 2" xfId="15388" xr:uid="{3E623C5D-65E4-4F46-9373-93F9EC969117}"/>
    <cellStyle name="Normal 9 2 2 2 3 6 2 3" xfId="23823" xr:uid="{AD3D8051-08AE-4446-ADBC-073413011D6A}"/>
    <cellStyle name="Normal 9 2 2 2 3 6 3" xfId="11170" xr:uid="{EEB73D4F-A050-44BF-A2ED-CAC742B424DA}"/>
    <cellStyle name="Normal 9 2 2 2 3 6 4" xfId="19606" xr:uid="{84D9F2BD-B332-4019-BDCF-1CAD839628D5}"/>
    <cellStyle name="Normal 9 2 2 2 3 7" xfId="4881" xr:uid="{00000000-0005-0000-0000-0000AA1E0000}"/>
    <cellStyle name="Normal 9 2 2 2 3 7 2" xfId="13323" xr:uid="{2DB3ACC6-BB2E-4F03-8D90-A3A025CCA9CB}"/>
    <cellStyle name="Normal 9 2 2 2 3 7 3" xfId="21758" xr:uid="{FF0684DE-4BFD-4FAA-B7C1-E79960497018}"/>
    <cellStyle name="Normal 9 2 2 2 3 8" xfId="9105" xr:uid="{A18CEF85-C1F4-4FBA-8808-CEF6D3BC8501}"/>
    <cellStyle name="Normal 9 2 2 2 3 9" xfId="17541" xr:uid="{26C8ABDB-E6FD-4F7C-B981-CBAEF47ADE18}"/>
    <cellStyle name="Normal 9 2 2 2 4" xfId="980" xr:uid="{00000000-0005-0000-0000-0000AB1E0000}"/>
    <cellStyle name="Normal 9 2 2 2 4 2" xfId="3213" xr:uid="{00000000-0005-0000-0000-0000AC1E0000}"/>
    <cellStyle name="Normal 9 2 2 2 4 2 2" xfId="7436" xr:uid="{00000000-0005-0000-0000-0000AD1E0000}"/>
    <cellStyle name="Normal 9 2 2 2 4 2 2 2" xfId="15878" xr:uid="{B1F36674-3A55-43B9-8456-61FF4DA02828}"/>
    <cellStyle name="Normal 9 2 2 2 4 2 2 3" xfId="24313" xr:uid="{2813A180-046C-4443-B300-79D86CB92463}"/>
    <cellStyle name="Normal 9 2 2 2 4 2 3" xfId="11660" xr:uid="{1C5DE983-03FD-431D-BD84-EF8560FFB66F}"/>
    <cellStyle name="Normal 9 2 2 2 4 2 4" xfId="20096" xr:uid="{0053C476-B7F4-4E87-8E86-5E1FFF1E7C7D}"/>
    <cellStyle name="Normal 9 2 2 2 4 3" xfId="5291" xr:uid="{00000000-0005-0000-0000-0000AE1E0000}"/>
    <cellStyle name="Normal 9 2 2 2 4 3 2" xfId="13733" xr:uid="{492116BB-4844-4994-9BB0-2699D01197FB}"/>
    <cellStyle name="Normal 9 2 2 2 4 3 3" xfId="22168" xr:uid="{9286A683-2D0D-4D9A-8257-7621D2CA209A}"/>
    <cellStyle name="Normal 9 2 2 2 4 4" xfId="9515" xr:uid="{72840DFF-CC9C-4DF6-A4B1-5045615BB707}"/>
    <cellStyle name="Normal 9 2 2 2 4 5" xfId="17951" xr:uid="{F18E4A34-9788-4CCE-9252-BAA1504C73EC}"/>
    <cellStyle name="Normal 9 2 2 2 5" xfId="1396" xr:uid="{00000000-0005-0000-0000-0000AF1E0000}"/>
    <cellStyle name="Normal 9 2 2 2 5 2" xfId="3626" xr:uid="{00000000-0005-0000-0000-0000B01E0000}"/>
    <cellStyle name="Normal 9 2 2 2 5 2 2" xfId="7849" xr:uid="{00000000-0005-0000-0000-0000B11E0000}"/>
    <cellStyle name="Normal 9 2 2 2 5 2 2 2" xfId="16291" xr:uid="{B68F9B0E-885F-4645-8749-8AF37A25D8D1}"/>
    <cellStyle name="Normal 9 2 2 2 5 2 2 3" xfId="24726" xr:uid="{436CD33E-26D1-41BE-A24D-D6A1F6221BF4}"/>
    <cellStyle name="Normal 9 2 2 2 5 2 3" xfId="12073" xr:uid="{CAB59DD1-ABFC-4D3F-964C-2F356F821EB1}"/>
    <cellStyle name="Normal 9 2 2 2 5 2 4" xfId="20509" xr:uid="{FFCB6C88-0599-4A15-8216-6A2BE4CA972E}"/>
    <cellStyle name="Normal 9 2 2 2 5 3" xfId="5704" xr:uid="{00000000-0005-0000-0000-0000B21E0000}"/>
    <cellStyle name="Normal 9 2 2 2 5 3 2" xfId="14146" xr:uid="{C5E5B267-A1C8-45A2-A681-D2A0943A1236}"/>
    <cellStyle name="Normal 9 2 2 2 5 3 3" xfId="22581" xr:uid="{A0C53EA7-1FF5-45AA-8FF1-1A841F5F88E8}"/>
    <cellStyle name="Normal 9 2 2 2 5 4" xfId="9928" xr:uid="{E3FD0EB6-7CAB-4B52-90B0-854D9EA810A4}"/>
    <cellStyle name="Normal 9 2 2 2 5 5" xfId="18364" xr:uid="{DAA3E122-E8C6-4260-858D-B51DE3DA214C}"/>
    <cellStyle name="Normal 9 2 2 2 6" xfId="1809" xr:uid="{00000000-0005-0000-0000-0000B31E0000}"/>
    <cellStyle name="Normal 9 2 2 2 6 2" xfId="4039" xr:uid="{00000000-0005-0000-0000-0000B41E0000}"/>
    <cellStyle name="Normal 9 2 2 2 6 2 2" xfId="8262" xr:uid="{00000000-0005-0000-0000-0000B51E0000}"/>
    <cellStyle name="Normal 9 2 2 2 6 2 2 2" xfId="16704" xr:uid="{A745A3AA-00D8-437A-A0C2-32E98A518926}"/>
    <cellStyle name="Normal 9 2 2 2 6 2 2 3" xfId="25139" xr:uid="{BADC99DB-C4E6-483B-8A52-20DCA4E13520}"/>
    <cellStyle name="Normal 9 2 2 2 6 2 3" xfId="12486" xr:uid="{F9D133A5-CB25-4BFD-86CC-5DE4F2897D12}"/>
    <cellStyle name="Normal 9 2 2 2 6 2 4" xfId="20922" xr:uid="{4680D241-6044-4C7A-9510-4FB1816BEC5F}"/>
    <cellStyle name="Normal 9 2 2 2 6 3" xfId="6117" xr:uid="{00000000-0005-0000-0000-0000B61E0000}"/>
    <cellStyle name="Normal 9 2 2 2 6 3 2" xfId="14559" xr:uid="{51A3C31C-048E-4497-82CE-927DB72AA1D4}"/>
    <cellStyle name="Normal 9 2 2 2 6 3 3" xfId="22994" xr:uid="{B17CEC52-F8E3-43BB-83E9-6139DB659863}"/>
    <cellStyle name="Normal 9 2 2 2 6 4" xfId="10341" xr:uid="{D7663ED5-CA21-4B55-80FE-AECA9DB93F67}"/>
    <cellStyle name="Normal 9 2 2 2 6 5" xfId="18777" xr:uid="{A6FDA9CA-7C6B-4200-8D52-8047329EF291}"/>
    <cellStyle name="Normal 9 2 2 2 7" xfId="2223" xr:uid="{00000000-0005-0000-0000-0000B71E0000}"/>
    <cellStyle name="Normal 9 2 2 2 7 2" xfId="4452" xr:uid="{00000000-0005-0000-0000-0000B81E0000}"/>
    <cellStyle name="Normal 9 2 2 2 7 2 2" xfId="8675" xr:uid="{00000000-0005-0000-0000-0000B91E0000}"/>
    <cellStyle name="Normal 9 2 2 2 7 2 2 2" xfId="17117" xr:uid="{784FB9B2-B8BB-4BC0-8C72-659298C8D7D6}"/>
    <cellStyle name="Normal 9 2 2 2 7 2 2 3" xfId="25552" xr:uid="{753517DA-5A67-4F63-A730-B63AEECD099D}"/>
    <cellStyle name="Normal 9 2 2 2 7 2 3" xfId="12899" xr:uid="{D19D0278-C472-4AD1-88CF-C93219414E8F}"/>
    <cellStyle name="Normal 9 2 2 2 7 2 4" xfId="21335" xr:uid="{C4FD4B95-CD5F-4A9E-9C61-5B6B79AD12E6}"/>
    <cellStyle name="Normal 9 2 2 2 7 3" xfId="6530" xr:uid="{00000000-0005-0000-0000-0000BA1E0000}"/>
    <cellStyle name="Normal 9 2 2 2 7 3 2" xfId="14972" xr:uid="{96E457B9-ACCC-4CD2-9905-FFAC66B36D4D}"/>
    <cellStyle name="Normal 9 2 2 2 7 3 3" xfId="23407" xr:uid="{A3FF9755-C5D7-472A-A806-AE9E23CDD071}"/>
    <cellStyle name="Normal 9 2 2 2 7 4" xfId="10754" xr:uid="{7945598B-9085-4B90-B962-7873C64A8AB9}"/>
    <cellStyle name="Normal 9 2 2 2 7 5" xfId="19190" xr:uid="{AFE829F4-1AEC-41B3-9DAF-03387841B06D}"/>
    <cellStyle name="Normal 9 2 2 2 8" xfId="2659" xr:uid="{00000000-0005-0000-0000-0000BB1E0000}"/>
    <cellStyle name="Normal 9 2 2 2 8 2" xfId="6943" xr:uid="{00000000-0005-0000-0000-0000BC1E0000}"/>
    <cellStyle name="Normal 9 2 2 2 8 2 2" xfId="15385" xr:uid="{3D32E3FA-FD02-40DD-9281-784C5F2E9645}"/>
    <cellStyle name="Normal 9 2 2 2 8 2 3" xfId="23820" xr:uid="{547B6E82-9470-4FDC-8100-535DCA6D9003}"/>
    <cellStyle name="Normal 9 2 2 2 8 3" xfId="11167" xr:uid="{E667DBEF-E22B-46BE-ABC6-5D736E9ED320}"/>
    <cellStyle name="Normal 9 2 2 2 8 4" xfId="19603" xr:uid="{A5C985AC-F2F6-4DFA-93C7-B5AFE44DFFB3}"/>
    <cellStyle name="Normal 9 2 2 2 9" xfId="4878" xr:uid="{00000000-0005-0000-0000-0000BD1E0000}"/>
    <cellStyle name="Normal 9 2 2 2 9 2" xfId="13320" xr:uid="{256129CD-0A9D-4A43-97CB-B428D3ED5571}"/>
    <cellStyle name="Normal 9 2 2 2 9 3" xfId="21755" xr:uid="{843BBE16-376D-4666-BE3B-3D09E694568F}"/>
    <cellStyle name="Normal 9 2 2 3" xfId="517" xr:uid="{00000000-0005-0000-0000-0000BE1E0000}"/>
    <cellStyle name="Normal 9 2 2 3 10" xfId="17542" xr:uid="{488FED7C-1033-4D3C-9BDD-F34EB657BF2C}"/>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2 2 2" xfId="15883" xr:uid="{16DDE2E3-791A-4F67-B16A-240F98212182}"/>
    <cellStyle name="Normal 9 2 2 3 2 2 2 2 3" xfId="24318" xr:uid="{2009761F-7C86-4A9C-AE67-D7768C847383}"/>
    <cellStyle name="Normal 9 2 2 3 2 2 2 3" xfId="11665" xr:uid="{5FE59D3B-8D96-45F5-9465-9BE332B1601C}"/>
    <cellStyle name="Normal 9 2 2 3 2 2 2 4" xfId="20101" xr:uid="{665444CB-0145-4557-95C1-80B4F887AAE4}"/>
    <cellStyle name="Normal 9 2 2 3 2 2 3" xfId="5296" xr:uid="{00000000-0005-0000-0000-0000C31E0000}"/>
    <cellStyle name="Normal 9 2 2 3 2 2 3 2" xfId="13738" xr:uid="{78ADE419-9B08-4B95-A66D-9FE51D3C2823}"/>
    <cellStyle name="Normal 9 2 2 3 2 2 3 3" xfId="22173" xr:uid="{493D0445-AF0A-44A9-A74A-98BDFFEE5417}"/>
    <cellStyle name="Normal 9 2 2 3 2 2 4" xfId="9520" xr:uid="{29F6AF12-6938-44BA-BBFF-AE30F2B70722}"/>
    <cellStyle name="Normal 9 2 2 3 2 2 5" xfId="17956" xr:uid="{4A938A23-37E9-429D-B9E1-26734BBAFFB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2 2 2" xfId="16296" xr:uid="{5F6C6520-A9FC-42F6-896B-D2EA0F3F75C7}"/>
    <cellStyle name="Normal 9 2 2 3 2 3 2 2 3" xfId="24731" xr:uid="{C6A02F05-64DA-4843-9F07-E0DFE9E5F269}"/>
    <cellStyle name="Normal 9 2 2 3 2 3 2 3" xfId="12078" xr:uid="{073B5BA5-84F4-4B38-9995-57CDCA5B72B1}"/>
    <cellStyle name="Normal 9 2 2 3 2 3 2 4" xfId="20514" xr:uid="{407CB4BC-9982-406A-9BDF-B40224D7C94B}"/>
    <cellStyle name="Normal 9 2 2 3 2 3 3" xfId="5709" xr:uid="{00000000-0005-0000-0000-0000C71E0000}"/>
    <cellStyle name="Normal 9 2 2 3 2 3 3 2" xfId="14151" xr:uid="{E30A2371-2FED-4607-B944-75514A396001}"/>
    <cellStyle name="Normal 9 2 2 3 2 3 3 3" xfId="22586" xr:uid="{C539147D-4D62-41BB-97CE-FD51A60A6F72}"/>
    <cellStyle name="Normal 9 2 2 3 2 3 4" xfId="9933" xr:uid="{75BECDC5-4F0A-48B2-8C79-33E50D11E0E5}"/>
    <cellStyle name="Normal 9 2 2 3 2 3 5" xfId="18369" xr:uid="{AA0DC569-FDBE-42FE-8483-92375ED3CB4C}"/>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2 2 2" xfId="16709" xr:uid="{0052137E-B47F-4014-B575-7B86932A7659}"/>
    <cellStyle name="Normal 9 2 2 3 2 4 2 2 3" xfId="25144" xr:uid="{3D90912B-80FA-467E-AE0A-A66AEADDFF60}"/>
    <cellStyle name="Normal 9 2 2 3 2 4 2 3" xfId="12491" xr:uid="{32826B40-419E-4881-8D5C-85BFB7D57FA3}"/>
    <cellStyle name="Normal 9 2 2 3 2 4 2 4" xfId="20927" xr:uid="{BB462F3B-AA9D-42DC-A6E5-B7B15C99206B}"/>
    <cellStyle name="Normal 9 2 2 3 2 4 3" xfId="6122" xr:uid="{00000000-0005-0000-0000-0000CB1E0000}"/>
    <cellStyle name="Normal 9 2 2 3 2 4 3 2" xfId="14564" xr:uid="{3F90F84A-88BA-492C-BA4B-17BD9EAF9F67}"/>
    <cellStyle name="Normal 9 2 2 3 2 4 3 3" xfId="22999" xr:uid="{9325AC39-82DB-4CEC-BAA5-EAFE26F114B2}"/>
    <cellStyle name="Normal 9 2 2 3 2 4 4" xfId="10346" xr:uid="{3EC6843D-94C9-4502-BD09-21C8B42A9122}"/>
    <cellStyle name="Normal 9 2 2 3 2 4 5" xfId="18782" xr:uid="{3E0C7A9A-C2FF-4EC6-87FF-50789B633473}"/>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2 2 2" xfId="17122" xr:uid="{93D8AE06-B4F5-4251-8648-A0F073AA674F}"/>
    <cellStyle name="Normal 9 2 2 3 2 5 2 2 3" xfId="25557" xr:uid="{5BC0E1B3-DB4B-4305-B2C0-6C9D2009AB77}"/>
    <cellStyle name="Normal 9 2 2 3 2 5 2 3" xfId="12904" xr:uid="{D5544903-E547-443E-8047-787B618F3DB7}"/>
    <cellStyle name="Normal 9 2 2 3 2 5 2 4" xfId="21340" xr:uid="{D7326C4A-97AF-4B43-B978-7E7205281422}"/>
    <cellStyle name="Normal 9 2 2 3 2 5 3" xfId="6535" xr:uid="{00000000-0005-0000-0000-0000CF1E0000}"/>
    <cellStyle name="Normal 9 2 2 3 2 5 3 2" xfId="14977" xr:uid="{0E875F05-9559-4090-A259-154787A6C61E}"/>
    <cellStyle name="Normal 9 2 2 3 2 5 3 3" xfId="23412" xr:uid="{2F0DA4BD-AF93-4F3F-B7B5-536B6E0B79D4}"/>
    <cellStyle name="Normal 9 2 2 3 2 5 4" xfId="10759" xr:uid="{BD03E077-236A-4E55-8870-36521C995C15}"/>
    <cellStyle name="Normal 9 2 2 3 2 5 5" xfId="19195" xr:uid="{0BE4F631-4A05-4BC5-91C3-95A5A3ACCDDA}"/>
    <cellStyle name="Normal 9 2 2 3 2 6" xfId="2664" xr:uid="{00000000-0005-0000-0000-0000D01E0000}"/>
    <cellStyle name="Normal 9 2 2 3 2 6 2" xfId="6948" xr:uid="{00000000-0005-0000-0000-0000D11E0000}"/>
    <cellStyle name="Normal 9 2 2 3 2 6 2 2" xfId="15390" xr:uid="{9581957C-ED1D-4D40-AED9-55C3ADCF9B1C}"/>
    <cellStyle name="Normal 9 2 2 3 2 6 2 3" xfId="23825" xr:uid="{928052A0-736E-459C-BDA3-C906ED1A04D8}"/>
    <cellStyle name="Normal 9 2 2 3 2 6 3" xfId="11172" xr:uid="{87D18D73-372D-490A-B3F3-15F79090ED30}"/>
    <cellStyle name="Normal 9 2 2 3 2 6 4" xfId="19608" xr:uid="{5D2A4978-7434-400B-98BB-D588FB3E5DC7}"/>
    <cellStyle name="Normal 9 2 2 3 2 7" xfId="4883" xr:uid="{00000000-0005-0000-0000-0000D21E0000}"/>
    <cellStyle name="Normal 9 2 2 3 2 7 2" xfId="13325" xr:uid="{1D048C34-0A5A-45E1-9C67-E0E3B7C44740}"/>
    <cellStyle name="Normal 9 2 2 3 2 7 3" xfId="21760" xr:uid="{003C9761-2447-4B97-97AD-D0E458CE7254}"/>
    <cellStyle name="Normal 9 2 2 3 2 8" xfId="9107" xr:uid="{C6ACA7EA-AF0D-4FC9-8451-8CAAFE53BE16}"/>
    <cellStyle name="Normal 9 2 2 3 2 9" xfId="17543" xr:uid="{AD3A26C6-C141-4F94-880B-6314A467FD65}"/>
    <cellStyle name="Normal 9 2 2 3 3" xfId="984" xr:uid="{00000000-0005-0000-0000-0000D31E0000}"/>
    <cellStyle name="Normal 9 2 2 3 3 2" xfId="3217" xr:uid="{00000000-0005-0000-0000-0000D41E0000}"/>
    <cellStyle name="Normal 9 2 2 3 3 2 2" xfId="7440" xr:uid="{00000000-0005-0000-0000-0000D51E0000}"/>
    <cellStyle name="Normal 9 2 2 3 3 2 2 2" xfId="15882" xr:uid="{EBC31E65-475A-4D04-B307-11F0B0F6EE3B}"/>
    <cellStyle name="Normal 9 2 2 3 3 2 2 3" xfId="24317" xr:uid="{5C25984F-6018-4724-A65F-336F3BBC0541}"/>
    <cellStyle name="Normal 9 2 2 3 3 2 3" xfId="11664" xr:uid="{A7B83139-F9BA-41AF-98BE-CE46B4A362C4}"/>
    <cellStyle name="Normal 9 2 2 3 3 2 4" xfId="20100" xr:uid="{CB3FC43A-A8CD-4A58-8AB1-60D181C9B1C9}"/>
    <cellStyle name="Normal 9 2 2 3 3 3" xfId="5295" xr:uid="{00000000-0005-0000-0000-0000D61E0000}"/>
    <cellStyle name="Normal 9 2 2 3 3 3 2" xfId="13737" xr:uid="{CF0E2179-7641-4E74-99E3-4D8407BE1124}"/>
    <cellStyle name="Normal 9 2 2 3 3 3 3" xfId="22172" xr:uid="{ADDDE845-1A13-4F15-8633-0BB12BAE99FE}"/>
    <cellStyle name="Normal 9 2 2 3 3 4" xfId="9519" xr:uid="{3A8129F4-BFB9-4650-96B7-475395DDBFC3}"/>
    <cellStyle name="Normal 9 2 2 3 3 5" xfId="17955" xr:uid="{C4A6281E-DB14-486A-A2CE-F43150D80CA4}"/>
    <cellStyle name="Normal 9 2 2 3 4" xfId="1400" xr:uid="{00000000-0005-0000-0000-0000D71E0000}"/>
    <cellStyle name="Normal 9 2 2 3 4 2" xfId="3630" xr:uid="{00000000-0005-0000-0000-0000D81E0000}"/>
    <cellStyle name="Normal 9 2 2 3 4 2 2" xfId="7853" xr:uid="{00000000-0005-0000-0000-0000D91E0000}"/>
    <cellStyle name="Normal 9 2 2 3 4 2 2 2" xfId="16295" xr:uid="{A5AC3066-B383-48F1-9938-696F0CF3E8C0}"/>
    <cellStyle name="Normal 9 2 2 3 4 2 2 3" xfId="24730" xr:uid="{034E7E93-8C20-4273-B249-71B91C07BB55}"/>
    <cellStyle name="Normal 9 2 2 3 4 2 3" xfId="12077" xr:uid="{DCE0030F-4987-42E9-9AF0-8ECC9AEFFF15}"/>
    <cellStyle name="Normal 9 2 2 3 4 2 4" xfId="20513" xr:uid="{948508C7-E9CB-48E7-B5F3-FBE88A48410E}"/>
    <cellStyle name="Normal 9 2 2 3 4 3" xfId="5708" xr:uid="{00000000-0005-0000-0000-0000DA1E0000}"/>
    <cellStyle name="Normal 9 2 2 3 4 3 2" xfId="14150" xr:uid="{FC96D5D2-9CC2-4260-82BF-2F828B14CE7B}"/>
    <cellStyle name="Normal 9 2 2 3 4 3 3" xfId="22585" xr:uid="{1B43F85D-8CB7-40D8-9E00-E4CDF16BB6AE}"/>
    <cellStyle name="Normal 9 2 2 3 4 4" xfId="9932" xr:uid="{6291BBF5-5642-4EB2-9758-DCA986E835F5}"/>
    <cellStyle name="Normal 9 2 2 3 4 5" xfId="18368" xr:uid="{6ECB1656-BE94-4AFD-B6D5-89FE2B6616D4}"/>
    <cellStyle name="Normal 9 2 2 3 5" xfId="1813" xr:uid="{00000000-0005-0000-0000-0000DB1E0000}"/>
    <cellStyle name="Normal 9 2 2 3 5 2" xfId="4043" xr:uid="{00000000-0005-0000-0000-0000DC1E0000}"/>
    <cellStyle name="Normal 9 2 2 3 5 2 2" xfId="8266" xr:uid="{00000000-0005-0000-0000-0000DD1E0000}"/>
    <cellStyle name="Normal 9 2 2 3 5 2 2 2" xfId="16708" xr:uid="{94F8C298-AAA1-4A12-9CB5-74028FF91D6D}"/>
    <cellStyle name="Normal 9 2 2 3 5 2 2 3" xfId="25143" xr:uid="{D9319133-EB48-4EAF-9FFC-7F36E57E3211}"/>
    <cellStyle name="Normal 9 2 2 3 5 2 3" xfId="12490" xr:uid="{4F59448A-8E74-4F0A-90BD-3561F078AD1B}"/>
    <cellStyle name="Normal 9 2 2 3 5 2 4" xfId="20926" xr:uid="{FD01257F-2D3A-447E-A971-FCC711FD498A}"/>
    <cellStyle name="Normal 9 2 2 3 5 3" xfId="6121" xr:uid="{00000000-0005-0000-0000-0000DE1E0000}"/>
    <cellStyle name="Normal 9 2 2 3 5 3 2" xfId="14563" xr:uid="{F9026C5B-01CD-44D0-8DAA-203DEDD4E0E9}"/>
    <cellStyle name="Normal 9 2 2 3 5 3 3" xfId="22998" xr:uid="{25529D9B-6746-4532-A276-EA33B648261A}"/>
    <cellStyle name="Normal 9 2 2 3 5 4" xfId="10345" xr:uid="{C6B2CB3F-6ACF-4E19-86D9-44878541F981}"/>
    <cellStyle name="Normal 9 2 2 3 5 5" xfId="18781" xr:uid="{2F3E65AD-D456-42D0-8E3E-0FFC88C6BE1B}"/>
    <cellStyle name="Normal 9 2 2 3 6" xfId="2227" xr:uid="{00000000-0005-0000-0000-0000DF1E0000}"/>
    <cellStyle name="Normal 9 2 2 3 6 2" xfId="4456" xr:uid="{00000000-0005-0000-0000-0000E01E0000}"/>
    <cellStyle name="Normal 9 2 2 3 6 2 2" xfId="8679" xr:uid="{00000000-0005-0000-0000-0000E11E0000}"/>
    <cellStyle name="Normal 9 2 2 3 6 2 2 2" xfId="17121" xr:uid="{180BB1EC-D049-46DD-B671-DDB860688E90}"/>
    <cellStyle name="Normal 9 2 2 3 6 2 2 3" xfId="25556" xr:uid="{8205DA26-CE44-4D21-825C-4BB6A4A5383F}"/>
    <cellStyle name="Normal 9 2 2 3 6 2 3" xfId="12903" xr:uid="{471FC8FD-9833-49E2-9129-E9B7D3E91398}"/>
    <cellStyle name="Normal 9 2 2 3 6 2 4" xfId="21339" xr:uid="{6D5036F5-B8BC-43E7-BBBF-6D2B63E4DD68}"/>
    <cellStyle name="Normal 9 2 2 3 6 3" xfId="6534" xr:uid="{00000000-0005-0000-0000-0000E21E0000}"/>
    <cellStyle name="Normal 9 2 2 3 6 3 2" xfId="14976" xr:uid="{7FEFAFCF-9B66-47C3-AD62-5482A2B27D27}"/>
    <cellStyle name="Normal 9 2 2 3 6 3 3" xfId="23411" xr:uid="{1CA5941A-0C3F-4D16-869E-932A9F407E9F}"/>
    <cellStyle name="Normal 9 2 2 3 6 4" xfId="10758" xr:uid="{8B340CB8-61CE-4D03-8F3E-CEEB22A6708C}"/>
    <cellStyle name="Normal 9 2 2 3 6 5" xfId="19194" xr:uid="{76AED315-7D39-4FE2-B139-199886973216}"/>
    <cellStyle name="Normal 9 2 2 3 7" xfId="2663" xr:uid="{00000000-0005-0000-0000-0000E31E0000}"/>
    <cellStyle name="Normal 9 2 2 3 7 2" xfId="6947" xr:uid="{00000000-0005-0000-0000-0000E41E0000}"/>
    <cellStyle name="Normal 9 2 2 3 7 2 2" xfId="15389" xr:uid="{125E28C1-F7A4-4F9E-A377-F8DA5D7816EA}"/>
    <cellStyle name="Normal 9 2 2 3 7 2 3" xfId="23824" xr:uid="{2A702378-28AE-4259-807E-7E606E0BD947}"/>
    <cellStyle name="Normal 9 2 2 3 7 3" xfId="11171" xr:uid="{0425CA23-24F1-4084-A534-A01178C2E7EB}"/>
    <cellStyle name="Normal 9 2 2 3 7 4" xfId="19607" xr:uid="{9BA9D09C-273F-4F04-B7F1-2D9E18BB8819}"/>
    <cellStyle name="Normal 9 2 2 3 8" xfId="4882" xr:uid="{00000000-0005-0000-0000-0000E51E0000}"/>
    <cellStyle name="Normal 9 2 2 3 8 2" xfId="13324" xr:uid="{B0D72FA3-0E17-4F25-92E6-E7AB4B4FD44F}"/>
    <cellStyle name="Normal 9 2 2 3 8 3" xfId="21759" xr:uid="{47C0A86F-76C5-42B8-9273-D76FB4CDD192}"/>
    <cellStyle name="Normal 9 2 2 3 9" xfId="9106" xr:uid="{6554D677-D18F-42F6-BAA8-00331B299FF5}"/>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2 2 2" xfId="15884" xr:uid="{662B9E32-9C86-4AC1-83C9-68217E364ABB}"/>
    <cellStyle name="Normal 9 2 2 4 2 2 2 3" xfId="24319" xr:uid="{703B0DF4-B66E-4F00-9E9B-BCCAC0FDA9F6}"/>
    <cellStyle name="Normal 9 2 2 4 2 2 3" xfId="11666" xr:uid="{769C7CC3-9DE3-4445-AE7A-9D57F6CE1330}"/>
    <cellStyle name="Normal 9 2 2 4 2 2 4" xfId="20102" xr:uid="{DB36FCE7-EA11-49F9-952D-7444CF623FEB}"/>
    <cellStyle name="Normal 9 2 2 4 2 3" xfId="5297" xr:uid="{00000000-0005-0000-0000-0000EA1E0000}"/>
    <cellStyle name="Normal 9 2 2 4 2 3 2" xfId="13739" xr:uid="{1256357A-7AE3-4BC2-8442-621A3CFA12C7}"/>
    <cellStyle name="Normal 9 2 2 4 2 3 3" xfId="22174" xr:uid="{16EA2AB9-D274-4C14-9B96-4508C7B2A05D}"/>
    <cellStyle name="Normal 9 2 2 4 2 4" xfId="9521" xr:uid="{D1DAFD5A-1359-425E-A33B-B858BA5392D9}"/>
    <cellStyle name="Normal 9 2 2 4 2 5" xfId="17957" xr:uid="{C78F3E26-7BD1-41D3-8C4B-52A4ACCF0E5D}"/>
    <cellStyle name="Normal 9 2 2 4 3" xfId="1402" xr:uid="{00000000-0005-0000-0000-0000EB1E0000}"/>
    <cellStyle name="Normal 9 2 2 4 3 2" xfId="3632" xr:uid="{00000000-0005-0000-0000-0000EC1E0000}"/>
    <cellStyle name="Normal 9 2 2 4 3 2 2" xfId="7855" xr:uid="{00000000-0005-0000-0000-0000ED1E0000}"/>
    <cellStyle name="Normal 9 2 2 4 3 2 2 2" xfId="16297" xr:uid="{CCEEEFC9-15D9-415C-B9D8-FAD22EAAF432}"/>
    <cellStyle name="Normal 9 2 2 4 3 2 2 3" xfId="24732" xr:uid="{B6001854-2114-443D-97A5-567AC265CF00}"/>
    <cellStyle name="Normal 9 2 2 4 3 2 3" xfId="12079" xr:uid="{7E478729-0142-43AD-9B06-D4B2062C5614}"/>
    <cellStyle name="Normal 9 2 2 4 3 2 4" xfId="20515" xr:uid="{4259B556-038A-41B0-9267-8EBDFE626E82}"/>
    <cellStyle name="Normal 9 2 2 4 3 3" xfId="5710" xr:uid="{00000000-0005-0000-0000-0000EE1E0000}"/>
    <cellStyle name="Normal 9 2 2 4 3 3 2" xfId="14152" xr:uid="{FC0E099E-006D-4254-943E-59189976801A}"/>
    <cellStyle name="Normal 9 2 2 4 3 3 3" xfId="22587" xr:uid="{F03D054B-74A2-4337-9F82-11587AFAD9A8}"/>
    <cellStyle name="Normal 9 2 2 4 3 4" xfId="9934" xr:uid="{F2401C46-0277-4830-A271-B5AEBBE3992F}"/>
    <cellStyle name="Normal 9 2 2 4 3 5" xfId="18370" xr:uid="{72E73393-1ABE-4FA1-A23B-BFFC28717A77}"/>
    <cellStyle name="Normal 9 2 2 4 4" xfId="1815" xr:uid="{00000000-0005-0000-0000-0000EF1E0000}"/>
    <cellStyle name="Normal 9 2 2 4 4 2" xfId="4045" xr:uid="{00000000-0005-0000-0000-0000F01E0000}"/>
    <cellStyle name="Normal 9 2 2 4 4 2 2" xfId="8268" xr:uid="{00000000-0005-0000-0000-0000F11E0000}"/>
    <cellStyle name="Normal 9 2 2 4 4 2 2 2" xfId="16710" xr:uid="{BCEAAF08-0514-4B9F-93E6-F15C351921E8}"/>
    <cellStyle name="Normal 9 2 2 4 4 2 2 3" xfId="25145" xr:uid="{AF809B9B-7D8C-4847-A14A-22277BC82E10}"/>
    <cellStyle name="Normal 9 2 2 4 4 2 3" xfId="12492" xr:uid="{D98BA612-BDEB-46F2-A5C5-C47ABA9A0F8F}"/>
    <cellStyle name="Normal 9 2 2 4 4 2 4" xfId="20928" xr:uid="{4D154F63-0A29-4601-86DC-428700D743FB}"/>
    <cellStyle name="Normal 9 2 2 4 4 3" xfId="6123" xr:uid="{00000000-0005-0000-0000-0000F21E0000}"/>
    <cellStyle name="Normal 9 2 2 4 4 3 2" xfId="14565" xr:uid="{3A158E21-9B6B-4FE4-865A-53433526B914}"/>
    <cellStyle name="Normal 9 2 2 4 4 3 3" xfId="23000" xr:uid="{C24EA44C-0361-468B-ADEA-FC0499EF37FF}"/>
    <cellStyle name="Normal 9 2 2 4 4 4" xfId="10347" xr:uid="{7DAD8306-9773-4E6E-811C-9F6C473E27CB}"/>
    <cellStyle name="Normal 9 2 2 4 4 5" xfId="18783" xr:uid="{80DA1338-9DBA-4B9B-BA45-6D37B79AAA0A}"/>
    <cellStyle name="Normal 9 2 2 4 5" xfId="2229" xr:uid="{00000000-0005-0000-0000-0000F31E0000}"/>
    <cellStyle name="Normal 9 2 2 4 5 2" xfId="4458" xr:uid="{00000000-0005-0000-0000-0000F41E0000}"/>
    <cellStyle name="Normal 9 2 2 4 5 2 2" xfId="8681" xr:uid="{00000000-0005-0000-0000-0000F51E0000}"/>
    <cellStyle name="Normal 9 2 2 4 5 2 2 2" xfId="17123" xr:uid="{DF70BF4F-C068-44FE-A036-F1EE8201F193}"/>
    <cellStyle name="Normal 9 2 2 4 5 2 2 3" xfId="25558" xr:uid="{C5F0AFA0-AD8B-467B-9E4A-489AFA9CDC86}"/>
    <cellStyle name="Normal 9 2 2 4 5 2 3" xfId="12905" xr:uid="{B5C87585-4AA1-4EF5-B3E5-9B0FB9528D48}"/>
    <cellStyle name="Normal 9 2 2 4 5 2 4" xfId="21341" xr:uid="{57ACCDCC-10E1-4E8E-ACC6-AEBE29BFC10B}"/>
    <cellStyle name="Normal 9 2 2 4 5 3" xfId="6536" xr:uid="{00000000-0005-0000-0000-0000F61E0000}"/>
    <cellStyle name="Normal 9 2 2 4 5 3 2" xfId="14978" xr:uid="{97B2DF53-4D63-4F67-AAF0-891D71F9E44E}"/>
    <cellStyle name="Normal 9 2 2 4 5 3 3" xfId="23413" xr:uid="{51E1E6DA-F344-427C-8D23-8D37D4C46C37}"/>
    <cellStyle name="Normal 9 2 2 4 5 4" xfId="10760" xr:uid="{8880FE3F-4811-4906-BC33-59A4D9462F7F}"/>
    <cellStyle name="Normal 9 2 2 4 5 5" xfId="19196" xr:uid="{53B08CC7-7360-4F1E-AEFA-6242685F8066}"/>
    <cellStyle name="Normal 9 2 2 4 6" xfId="2665" xr:uid="{00000000-0005-0000-0000-0000F71E0000}"/>
    <cellStyle name="Normal 9 2 2 4 6 2" xfId="6949" xr:uid="{00000000-0005-0000-0000-0000F81E0000}"/>
    <cellStyle name="Normal 9 2 2 4 6 2 2" xfId="15391" xr:uid="{FB541BC2-2382-4ABF-BFE7-21F2FEF47003}"/>
    <cellStyle name="Normal 9 2 2 4 6 2 3" xfId="23826" xr:uid="{E450BCC5-A5AC-4A53-B803-D0DC7085DE05}"/>
    <cellStyle name="Normal 9 2 2 4 6 3" xfId="11173" xr:uid="{64A755B3-1C0A-4803-93D3-BB86BFF488FF}"/>
    <cellStyle name="Normal 9 2 2 4 6 4" xfId="19609" xr:uid="{81CB2D32-4782-417D-AAAA-5B50229D7A40}"/>
    <cellStyle name="Normal 9 2 2 4 7" xfId="4884" xr:uid="{00000000-0005-0000-0000-0000F91E0000}"/>
    <cellStyle name="Normal 9 2 2 4 7 2" xfId="13326" xr:uid="{7E6F45F1-B401-4F49-9FFC-8DD44E7BEAC5}"/>
    <cellStyle name="Normal 9 2 2 4 7 3" xfId="21761" xr:uid="{D10E5817-6F65-4141-86C0-63B718B9AF87}"/>
    <cellStyle name="Normal 9 2 2 4 8" xfId="9108" xr:uid="{9A4EEE1A-86C1-4317-A517-ADFACD59A0DA}"/>
    <cellStyle name="Normal 9 2 2 4 9" xfId="17544" xr:uid="{0BFB8979-70C6-4B3A-A19B-F4A576A2539C}"/>
    <cellStyle name="Normal 9 2 2 5" xfId="979" xr:uid="{00000000-0005-0000-0000-0000FA1E0000}"/>
    <cellStyle name="Normal 9 2 2 5 2" xfId="3212" xr:uid="{00000000-0005-0000-0000-0000FB1E0000}"/>
    <cellStyle name="Normal 9 2 2 5 2 2" xfId="7435" xr:uid="{00000000-0005-0000-0000-0000FC1E0000}"/>
    <cellStyle name="Normal 9 2 2 5 2 2 2" xfId="15877" xr:uid="{ACC945DE-CF5B-4EC8-BC25-15FE1A25C1A7}"/>
    <cellStyle name="Normal 9 2 2 5 2 2 3" xfId="24312" xr:uid="{9E20669A-73B6-44BA-81C7-1B96D36E0F6D}"/>
    <cellStyle name="Normal 9 2 2 5 2 3" xfId="11659" xr:uid="{68996857-2D79-4313-BC4A-8E03439E8459}"/>
    <cellStyle name="Normal 9 2 2 5 2 4" xfId="20095" xr:uid="{1804ED82-4FAD-4AE6-9AAC-5F866242188D}"/>
    <cellStyle name="Normal 9 2 2 5 3" xfId="5290" xr:uid="{00000000-0005-0000-0000-0000FD1E0000}"/>
    <cellStyle name="Normal 9 2 2 5 3 2" xfId="13732" xr:uid="{45FFFD64-7CC6-43C5-AC36-42045AA19825}"/>
    <cellStyle name="Normal 9 2 2 5 3 3" xfId="22167" xr:uid="{CC8CE9DC-D3AB-4AEF-994D-3CB22107312B}"/>
    <cellStyle name="Normal 9 2 2 5 4" xfId="9514" xr:uid="{363B5430-DFB4-4551-AE9F-4664CC5DCC3C}"/>
    <cellStyle name="Normal 9 2 2 5 5" xfId="17950" xr:uid="{CA38B6CD-DC9D-4D29-A1FB-64161FD05AFA}"/>
    <cellStyle name="Normal 9 2 2 6" xfId="1395" xr:uid="{00000000-0005-0000-0000-0000FE1E0000}"/>
    <cellStyle name="Normal 9 2 2 6 2" xfId="3625" xr:uid="{00000000-0005-0000-0000-0000FF1E0000}"/>
    <cellStyle name="Normal 9 2 2 6 2 2" xfId="7848" xr:uid="{00000000-0005-0000-0000-0000001F0000}"/>
    <cellStyle name="Normal 9 2 2 6 2 2 2" xfId="16290" xr:uid="{B30370F0-1949-40A4-B90C-4DC05E5D4723}"/>
    <cellStyle name="Normal 9 2 2 6 2 2 3" xfId="24725" xr:uid="{E6D5C790-E633-42FF-9BA1-09A958428204}"/>
    <cellStyle name="Normal 9 2 2 6 2 3" xfId="12072" xr:uid="{CEF41F45-9DF6-4316-ACC2-981AFE651E3B}"/>
    <cellStyle name="Normal 9 2 2 6 2 4" xfId="20508" xr:uid="{4989B337-E85C-419C-A0AC-AF41B28008EB}"/>
    <cellStyle name="Normal 9 2 2 6 3" xfId="5703" xr:uid="{00000000-0005-0000-0000-0000011F0000}"/>
    <cellStyle name="Normal 9 2 2 6 3 2" xfId="14145" xr:uid="{2F6D4106-BF86-4B1B-A9AE-378F187A65EB}"/>
    <cellStyle name="Normal 9 2 2 6 3 3" xfId="22580" xr:uid="{F822D83D-856C-4D9E-B417-10047FA6DF0E}"/>
    <cellStyle name="Normal 9 2 2 6 4" xfId="9927" xr:uid="{47A7782C-A681-4DF2-8B95-874282196E00}"/>
    <cellStyle name="Normal 9 2 2 6 5" xfId="18363" xr:uid="{6E7CEAC4-C73E-44BE-AF5D-BCCED2BEE58B}"/>
    <cellStyle name="Normal 9 2 2 7" xfId="1808" xr:uid="{00000000-0005-0000-0000-0000021F0000}"/>
    <cellStyle name="Normal 9 2 2 7 2" xfId="4038" xr:uid="{00000000-0005-0000-0000-0000031F0000}"/>
    <cellStyle name="Normal 9 2 2 7 2 2" xfId="8261" xr:uid="{00000000-0005-0000-0000-0000041F0000}"/>
    <cellStyle name="Normal 9 2 2 7 2 2 2" xfId="16703" xr:uid="{E20536AD-8BCB-4C33-8009-725C824ED593}"/>
    <cellStyle name="Normal 9 2 2 7 2 2 3" xfId="25138" xr:uid="{977B1183-EF3B-4FDF-9B50-A49DBB1C0303}"/>
    <cellStyle name="Normal 9 2 2 7 2 3" xfId="12485" xr:uid="{E2E39297-E1E6-4969-8A8F-C96CF1563574}"/>
    <cellStyle name="Normal 9 2 2 7 2 4" xfId="20921" xr:uid="{BA3E4B02-ED1D-4992-9E86-0C1E38A65923}"/>
    <cellStyle name="Normal 9 2 2 7 3" xfId="6116" xr:uid="{00000000-0005-0000-0000-0000051F0000}"/>
    <cellStyle name="Normal 9 2 2 7 3 2" xfId="14558" xr:uid="{0233E8F0-3A8F-4E48-AB65-C8CBA668EDB7}"/>
    <cellStyle name="Normal 9 2 2 7 3 3" xfId="22993" xr:uid="{BF9A76BD-26E9-4DAB-B1D5-ACD5F6A40439}"/>
    <cellStyle name="Normal 9 2 2 7 4" xfId="10340" xr:uid="{2BB49ED9-AEA3-49ED-8C97-E522C605869D}"/>
    <cellStyle name="Normal 9 2 2 7 5" xfId="18776" xr:uid="{C51F8C04-81E2-41B9-9B04-7E22640D128F}"/>
    <cellStyle name="Normal 9 2 2 8" xfId="2222" xr:uid="{00000000-0005-0000-0000-0000061F0000}"/>
    <cellStyle name="Normal 9 2 2 8 2" xfId="4451" xr:uid="{00000000-0005-0000-0000-0000071F0000}"/>
    <cellStyle name="Normal 9 2 2 8 2 2" xfId="8674" xr:uid="{00000000-0005-0000-0000-0000081F0000}"/>
    <cellStyle name="Normal 9 2 2 8 2 2 2" xfId="17116" xr:uid="{A8094032-0B7B-4587-9F6A-C89AAAFD2520}"/>
    <cellStyle name="Normal 9 2 2 8 2 2 3" xfId="25551" xr:uid="{8B78BB99-1695-454A-9B5F-5F8CD20089D0}"/>
    <cellStyle name="Normal 9 2 2 8 2 3" xfId="12898" xr:uid="{7115C257-F622-439C-9C87-0846E95F0E4C}"/>
    <cellStyle name="Normal 9 2 2 8 2 4" xfId="21334" xr:uid="{52480574-7C52-46BA-8FE7-BC986472DDDF}"/>
    <cellStyle name="Normal 9 2 2 8 3" xfId="6529" xr:uid="{00000000-0005-0000-0000-0000091F0000}"/>
    <cellStyle name="Normal 9 2 2 8 3 2" xfId="14971" xr:uid="{EAC36F68-FD60-48F8-8EC1-360531722608}"/>
    <cellStyle name="Normal 9 2 2 8 3 3" xfId="23406" xr:uid="{90E4FC76-2598-457E-BF79-37A7D3CD0C1F}"/>
    <cellStyle name="Normal 9 2 2 8 4" xfId="10753" xr:uid="{BAB4BD59-1161-4E07-B6CC-377305ECC4F0}"/>
    <cellStyle name="Normal 9 2 2 8 5" xfId="19189" xr:uid="{BBE032EC-218B-4589-8655-E5A262A7CBB4}"/>
    <cellStyle name="Normal 9 2 2 9" xfId="2658" xr:uid="{00000000-0005-0000-0000-00000A1F0000}"/>
    <cellStyle name="Normal 9 2 2 9 2" xfId="6942" xr:uid="{00000000-0005-0000-0000-00000B1F0000}"/>
    <cellStyle name="Normal 9 2 2 9 2 2" xfId="15384" xr:uid="{A78B6CF4-F559-4AD9-BCC4-48581D5D5EC8}"/>
    <cellStyle name="Normal 9 2 2 9 2 3" xfId="23819" xr:uid="{66587E32-027D-4366-B9FC-0830D21B9714}"/>
    <cellStyle name="Normal 9 2 2 9 3" xfId="11166" xr:uid="{71CC3B8E-94F8-4D9D-ADA3-E0A80765FBB7}"/>
    <cellStyle name="Normal 9 2 2 9 4" xfId="19602" xr:uid="{9CF3A91A-B57A-46BD-B041-2A76A98BB885}"/>
    <cellStyle name="Normal 9 2 3" xfId="520" xr:uid="{00000000-0005-0000-0000-00000C1F0000}"/>
    <cellStyle name="Normal 9 2 3 10" xfId="9109" xr:uid="{87605A8D-8EA6-42B0-9686-FCB5A242E44D}"/>
    <cellStyle name="Normal 9 2 3 11" xfId="17545" xr:uid="{DCD9763A-3463-4CF1-AC09-CBA24B87D0AE}"/>
    <cellStyle name="Normal 9 2 3 2" xfId="521" xr:uid="{00000000-0005-0000-0000-00000D1F0000}"/>
    <cellStyle name="Normal 9 2 3 2 10" xfId="17546" xr:uid="{E71B75CE-734D-49EA-9DB7-6D91B146CAA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2 2 2" xfId="15887" xr:uid="{8C844B10-E431-465E-A656-2DEDC4F2802E}"/>
    <cellStyle name="Normal 9 2 3 2 2 2 2 2 3" xfId="24322" xr:uid="{5A1A0FDA-263B-4100-904E-8AFB48756DF2}"/>
    <cellStyle name="Normal 9 2 3 2 2 2 2 3" xfId="11669" xr:uid="{1059E406-6943-488F-9BD7-83D56EB98AD1}"/>
    <cellStyle name="Normal 9 2 3 2 2 2 2 4" xfId="20105" xr:uid="{D69DAE5E-A6D3-4320-95C6-8729905D8317}"/>
    <cellStyle name="Normal 9 2 3 2 2 2 3" xfId="5300" xr:uid="{00000000-0005-0000-0000-0000121F0000}"/>
    <cellStyle name="Normal 9 2 3 2 2 2 3 2" xfId="13742" xr:uid="{74908D96-A613-4C8B-9EAA-AC12BC31CC5A}"/>
    <cellStyle name="Normal 9 2 3 2 2 2 3 3" xfId="22177" xr:uid="{5D14E7A8-8601-4203-88DC-B0245D32B0F9}"/>
    <cellStyle name="Normal 9 2 3 2 2 2 4" xfId="9524" xr:uid="{1E13A20B-DFAD-42C4-964D-6E602DC03D26}"/>
    <cellStyle name="Normal 9 2 3 2 2 2 5" xfId="17960" xr:uid="{41A20ED8-7DFA-4C70-89CF-A44CFB23B7E6}"/>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2 2 2" xfId="16300" xr:uid="{A59CA9E6-D352-4AE9-BFF6-545D2A9258C6}"/>
    <cellStyle name="Normal 9 2 3 2 2 3 2 2 3" xfId="24735" xr:uid="{14354758-3E1C-4689-A4C3-36306F562226}"/>
    <cellStyle name="Normal 9 2 3 2 2 3 2 3" xfId="12082" xr:uid="{45931ADA-20E7-4A16-841A-834E7E112F2F}"/>
    <cellStyle name="Normal 9 2 3 2 2 3 2 4" xfId="20518" xr:uid="{2AD0C3A4-17F7-4F9C-8B98-A4C7B77A7A48}"/>
    <cellStyle name="Normal 9 2 3 2 2 3 3" xfId="5713" xr:uid="{00000000-0005-0000-0000-0000161F0000}"/>
    <cellStyle name="Normal 9 2 3 2 2 3 3 2" xfId="14155" xr:uid="{A96ED28C-60B8-495B-9583-CD5BC169D439}"/>
    <cellStyle name="Normal 9 2 3 2 2 3 3 3" xfId="22590" xr:uid="{DD277811-3DA0-406E-A7FE-D046ABC6921E}"/>
    <cellStyle name="Normal 9 2 3 2 2 3 4" xfId="9937" xr:uid="{99A70865-FB73-433F-B178-E972A574C3E7}"/>
    <cellStyle name="Normal 9 2 3 2 2 3 5" xfId="18373" xr:uid="{8506F1D9-6F8F-4F26-9C80-EC45CDCD6107}"/>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2 2 2" xfId="16713" xr:uid="{B1BCA63E-2DB4-443C-A38C-F3C7EBC37B4C}"/>
    <cellStyle name="Normal 9 2 3 2 2 4 2 2 3" xfId="25148" xr:uid="{42E8455C-B6AB-4437-9654-11303698C7A1}"/>
    <cellStyle name="Normal 9 2 3 2 2 4 2 3" xfId="12495" xr:uid="{ABDCD521-875F-433C-AF9F-43506E8AB776}"/>
    <cellStyle name="Normal 9 2 3 2 2 4 2 4" xfId="20931" xr:uid="{72EA5C45-A883-433C-A1C0-CB5B77A370E8}"/>
    <cellStyle name="Normal 9 2 3 2 2 4 3" xfId="6126" xr:uid="{00000000-0005-0000-0000-00001A1F0000}"/>
    <cellStyle name="Normal 9 2 3 2 2 4 3 2" xfId="14568" xr:uid="{CD974EF1-6993-477E-9584-40D303B115D0}"/>
    <cellStyle name="Normal 9 2 3 2 2 4 3 3" xfId="23003" xr:uid="{C54EC72C-7CAF-44AD-8D8C-0E2E819A58DF}"/>
    <cellStyle name="Normal 9 2 3 2 2 4 4" xfId="10350" xr:uid="{5D3A5540-40AF-48E5-B4A2-612512EB1D25}"/>
    <cellStyle name="Normal 9 2 3 2 2 4 5" xfId="18786" xr:uid="{B788CCA5-7917-4C5E-9664-80910B7C6E29}"/>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2 2 2" xfId="17126" xr:uid="{C81809DE-4AF6-4803-89FA-200670A1D4C0}"/>
    <cellStyle name="Normal 9 2 3 2 2 5 2 2 3" xfId="25561" xr:uid="{B6B1ED9C-60DF-4C43-B476-64469053B739}"/>
    <cellStyle name="Normal 9 2 3 2 2 5 2 3" xfId="12908" xr:uid="{C0AC87F9-2C30-488E-9B80-3AA208A3D7F7}"/>
    <cellStyle name="Normal 9 2 3 2 2 5 2 4" xfId="21344" xr:uid="{EFC35BDF-36CE-4AF2-9514-F432062396E1}"/>
    <cellStyle name="Normal 9 2 3 2 2 5 3" xfId="6539" xr:uid="{00000000-0005-0000-0000-00001E1F0000}"/>
    <cellStyle name="Normal 9 2 3 2 2 5 3 2" xfId="14981" xr:uid="{177D1158-EB16-48D8-A638-039EABB5D5A6}"/>
    <cellStyle name="Normal 9 2 3 2 2 5 3 3" xfId="23416" xr:uid="{6708C8CD-4396-4BA5-AE87-97ED791FFEE7}"/>
    <cellStyle name="Normal 9 2 3 2 2 5 4" xfId="10763" xr:uid="{4D8D9B21-7F85-4715-84FA-F303DB3913EB}"/>
    <cellStyle name="Normal 9 2 3 2 2 5 5" xfId="19199" xr:uid="{CA4FA182-7313-4876-B7E9-345BDC33AFEB}"/>
    <cellStyle name="Normal 9 2 3 2 2 6" xfId="2668" xr:uid="{00000000-0005-0000-0000-00001F1F0000}"/>
    <cellStyle name="Normal 9 2 3 2 2 6 2" xfId="6952" xr:uid="{00000000-0005-0000-0000-0000201F0000}"/>
    <cellStyle name="Normal 9 2 3 2 2 6 2 2" xfId="15394" xr:uid="{DEBBA303-7645-428B-B0B7-866548A33C88}"/>
    <cellStyle name="Normal 9 2 3 2 2 6 2 3" xfId="23829" xr:uid="{5E6ADB3E-718E-492F-9588-9FD69D3EC353}"/>
    <cellStyle name="Normal 9 2 3 2 2 6 3" xfId="11176" xr:uid="{7DD5A59A-9DD2-4D95-B584-4364E69E3C13}"/>
    <cellStyle name="Normal 9 2 3 2 2 6 4" xfId="19612" xr:uid="{EBE2D454-22EF-4C5F-A27D-97677722F7BE}"/>
    <cellStyle name="Normal 9 2 3 2 2 7" xfId="4887" xr:uid="{00000000-0005-0000-0000-0000211F0000}"/>
    <cellStyle name="Normal 9 2 3 2 2 7 2" xfId="13329" xr:uid="{E36796D8-04A6-4D51-A02F-223C7A963D86}"/>
    <cellStyle name="Normal 9 2 3 2 2 7 3" xfId="21764" xr:uid="{1EFAAFD8-65AF-48DF-B6B6-C2833F6CBD14}"/>
    <cellStyle name="Normal 9 2 3 2 2 8" xfId="9111" xr:uid="{D01A9911-8361-4DD3-AFC3-0E4BC6469742}"/>
    <cellStyle name="Normal 9 2 3 2 2 9" xfId="17547" xr:uid="{12BD548D-9C89-4E3E-89FF-92C041F60F78}"/>
    <cellStyle name="Normal 9 2 3 2 3" xfId="988" xr:uid="{00000000-0005-0000-0000-0000221F0000}"/>
    <cellStyle name="Normal 9 2 3 2 3 2" xfId="3221" xr:uid="{00000000-0005-0000-0000-0000231F0000}"/>
    <cellStyle name="Normal 9 2 3 2 3 2 2" xfId="7444" xr:uid="{00000000-0005-0000-0000-0000241F0000}"/>
    <cellStyle name="Normal 9 2 3 2 3 2 2 2" xfId="15886" xr:uid="{43ECCAC0-0A9B-4FA5-8943-A3CD7AB077FE}"/>
    <cellStyle name="Normal 9 2 3 2 3 2 2 3" xfId="24321" xr:uid="{A1B41316-FC4F-4773-9F6F-774E6208813F}"/>
    <cellStyle name="Normal 9 2 3 2 3 2 3" xfId="11668" xr:uid="{90D3FB4A-849E-4623-8509-07258D4B2AEB}"/>
    <cellStyle name="Normal 9 2 3 2 3 2 4" xfId="20104" xr:uid="{AC9C44B2-9306-40B7-88E5-E43C4D63A045}"/>
    <cellStyle name="Normal 9 2 3 2 3 3" xfId="5299" xr:uid="{00000000-0005-0000-0000-0000251F0000}"/>
    <cellStyle name="Normal 9 2 3 2 3 3 2" xfId="13741" xr:uid="{35366231-A62C-434B-A9DC-BC194C2BA1A0}"/>
    <cellStyle name="Normal 9 2 3 2 3 3 3" xfId="22176" xr:uid="{A133C044-6F10-4156-951A-CAA2ED1222FA}"/>
    <cellStyle name="Normal 9 2 3 2 3 4" xfId="9523" xr:uid="{EEBFC177-473F-408B-8B36-C9BACCEE78EE}"/>
    <cellStyle name="Normal 9 2 3 2 3 5" xfId="17959" xr:uid="{DB445A2B-9414-470B-B1A2-7CD6E3CCDE97}"/>
    <cellStyle name="Normal 9 2 3 2 4" xfId="1404" xr:uid="{00000000-0005-0000-0000-0000261F0000}"/>
    <cellStyle name="Normal 9 2 3 2 4 2" xfId="3634" xr:uid="{00000000-0005-0000-0000-0000271F0000}"/>
    <cellStyle name="Normal 9 2 3 2 4 2 2" xfId="7857" xr:uid="{00000000-0005-0000-0000-0000281F0000}"/>
    <cellStyle name="Normal 9 2 3 2 4 2 2 2" xfId="16299" xr:uid="{7BC3A3E5-B4CF-40F9-9526-C01EBB264995}"/>
    <cellStyle name="Normal 9 2 3 2 4 2 2 3" xfId="24734" xr:uid="{588BDF83-155E-4DD5-8100-1A23504756E9}"/>
    <cellStyle name="Normal 9 2 3 2 4 2 3" xfId="12081" xr:uid="{78BD51D1-E945-47C2-8814-9F176C53749F}"/>
    <cellStyle name="Normal 9 2 3 2 4 2 4" xfId="20517" xr:uid="{79345D10-AD10-44F6-B552-409B5B69DC6B}"/>
    <cellStyle name="Normal 9 2 3 2 4 3" xfId="5712" xr:uid="{00000000-0005-0000-0000-0000291F0000}"/>
    <cellStyle name="Normal 9 2 3 2 4 3 2" xfId="14154" xr:uid="{0FBD7A49-6B1D-4DC4-8D00-747AA5DFD0AD}"/>
    <cellStyle name="Normal 9 2 3 2 4 3 3" xfId="22589" xr:uid="{3452032E-ED58-498D-89ED-0C163639B973}"/>
    <cellStyle name="Normal 9 2 3 2 4 4" xfId="9936" xr:uid="{FC265169-4B8C-4093-884E-9D158F2C6DCF}"/>
    <cellStyle name="Normal 9 2 3 2 4 5" xfId="18372" xr:uid="{D245A35C-6D3D-4B3C-983F-5110029172BB}"/>
    <cellStyle name="Normal 9 2 3 2 5" xfId="1817" xr:uid="{00000000-0005-0000-0000-00002A1F0000}"/>
    <cellStyle name="Normal 9 2 3 2 5 2" xfId="4047" xr:uid="{00000000-0005-0000-0000-00002B1F0000}"/>
    <cellStyle name="Normal 9 2 3 2 5 2 2" xfId="8270" xr:uid="{00000000-0005-0000-0000-00002C1F0000}"/>
    <cellStyle name="Normal 9 2 3 2 5 2 2 2" xfId="16712" xr:uid="{1192CA22-59D9-427D-8CB2-7CF843B089C9}"/>
    <cellStyle name="Normal 9 2 3 2 5 2 2 3" xfId="25147" xr:uid="{6D163F60-D9E4-4CD9-9658-B09B41EF0004}"/>
    <cellStyle name="Normal 9 2 3 2 5 2 3" xfId="12494" xr:uid="{167ED523-FC2A-4977-B80F-D14827836932}"/>
    <cellStyle name="Normal 9 2 3 2 5 2 4" xfId="20930" xr:uid="{A9A2A4BB-059B-4554-9A6C-076CAC0365A6}"/>
    <cellStyle name="Normal 9 2 3 2 5 3" xfId="6125" xr:uid="{00000000-0005-0000-0000-00002D1F0000}"/>
    <cellStyle name="Normal 9 2 3 2 5 3 2" xfId="14567" xr:uid="{0CEB16E0-3ECC-4E72-85C4-81E81E73EB31}"/>
    <cellStyle name="Normal 9 2 3 2 5 3 3" xfId="23002" xr:uid="{9B4A716E-E0C4-4028-BAC6-20EEEBD3E1CC}"/>
    <cellStyle name="Normal 9 2 3 2 5 4" xfId="10349" xr:uid="{E668F015-A8EB-408B-BD76-554B39467FF2}"/>
    <cellStyle name="Normal 9 2 3 2 5 5" xfId="18785" xr:uid="{ED351E70-4BF5-4059-9D7A-8A55CC9F7362}"/>
    <cellStyle name="Normal 9 2 3 2 6" xfId="2231" xr:uid="{00000000-0005-0000-0000-00002E1F0000}"/>
    <cellStyle name="Normal 9 2 3 2 6 2" xfId="4460" xr:uid="{00000000-0005-0000-0000-00002F1F0000}"/>
    <cellStyle name="Normal 9 2 3 2 6 2 2" xfId="8683" xr:uid="{00000000-0005-0000-0000-0000301F0000}"/>
    <cellStyle name="Normal 9 2 3 2 6 2 2 2" xfId="17125" xr:uid="{2DA7FC00-0805-433E-9027-42C18413389A}"/>
    <cellStyle name="Normal 9 2 3 2 6 2 2 3" xfId="25560" xr:uid="{B6829794-9788-4BAE-A3EB-B009CF93FDAE}"/>
    <cellStyle name="Normal 9 2 3 2 6 2 3" xfId="12907" xr:uid="{FFB5E5F1-4680-47EF-B7B9-A9499BEA8656}"/>
    <cellStyle name="Normal 9 2 3 2 6 2 4" xfId="21343" xr:uid="{2AFB61B8-08FB-43C0-A1CF-F55351DDA933}"/>
    <cellStyle name="Normal 9 2 3 2 6 3" xfId="6538" xr:uid="{00000000-0005-0000-0000-0000311F0000}"/>
    <cellStyle name="Normal 9 2 3 2 6 3 2" xfId="14980" xr:uid="{A249B03F-73D1-4B14-B1EC-2B7C5BE793AA}"/>
    <cellStyle name="Normal 9 2 3 2 6 3 3" xfId="23415" xr:uid="{29F2C34E-BF9F-4562-8663-6044EBBB57AC}"/>
    <cellStyle name="Normal 9 2 3 2 6 4" xfId="10762" xr:uid="{C9BF2CE5-9E5C-4645-A11E-1B871EE94807}"/>
    <cellStyle name="Normal 9 2 3 2 6 5" xfId="19198" xr:uid="{BCEEF599-E556-4912-B2C2-6D6BFC4FF539}"/>
    <cellStyle name="Normal 9 2 3 2 7" xfId="2667" xr:uid="{00000000-0005-0000-0000-0000321F0000}"/>
    <cellStyle name="Normal 9 2 3 2 7 2" xfId="6951" xr:uid="{00000000-0005-0000-0000-0000331F0000}"/>
    <cellStyle name="Normal 9 2 3 2 7 2 2" xfId="15393" xr:uid="{BACB3CD0-7CCF-4115-BAD6-7544096C7763}"/>
    <cellStyle name="Normal 9 2 3 2 7 2 3" xfId="23828" xr:uid="{49EFB1BE-43F5-40AC-8B9F-D0AF0755A8DE}"/>
    <cellStyle name="Normal 9 2 3 2 7 3" xfId="11175" xr:uid="{3A29C294-A3A7-41F4-8FA4-7883D6B8FF6D}"/>
    <cellStyle name="Normal 9 2 3 2 7 4" xfId="19611" xr:uid="{D0BF5959-50AC-476D-AC82-07516691A47C}"/>
    <cellStyle name="Normal 9 2 3 2 8" xfId="4886" xr:uid="{00000000-0005-0000-0000-0000341F0000}"/>
    <cellStyle name="Normal 9 2 3 2 8 2" xfId="13328" xr:uid="{6206F651-BA7E-4C70-8D58-D0711C1A1BDE}"/>
    <cellStyle name="Normal 9 2 3 2 8 3" xfId="21763" xr:uid="{8BF05E0A-01DC-43F4-838E-C669D37B3F5E}"/>
    <cellStyle name="Normal 9 2 3 2 9" xfId="9110" xr:uid="{C328D02D-5F21-49CC-A2D2-81AADB177A21}"/>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2 2 2" xfId="15888" xr:uid="{24FAD11A-7E80-491B-9343-CFA117A23C20}"/>
    <cellStyle name="Normal 9 2 3 3 2 2 2 3" xfId="24323" xr:uid="{8B67BB99-A859-4B4C-96CA-F3CCC98E37EF}"/>
    <cellStyle name="Normal 9 2 3 3 2 2 3" xfId="11670" xr:uid="{2F1F9EC4-81CD-434D-A4BE-EF2D5BE43196}"/>
    <cellStyle name="Normal 9 2 3 3 2 2 4" xfId="20106" xr:uid="{C54960D9-3274-412F-9BEE-DAF588AF0CB4}"/>
    <cellStyle name="Normal 9 2 3 3 2 3" xfId="5301" xr:uid="{00000000-0005-0000-0000-0000391F0000}"/>
    <cellStyle name="Normal 9 2 3 3 2 3 2" xfId="13743" xr:uid="{F14F1AE5-390E-4926-97BB-213AFDA1B74E}"/>
    <cellStyle name="Normal 9 2 3 3 2 3 3" xfId="22178" xr:uid="{01D3DC5D-B1DE-4649-9E6A-F7831CA22A39}"/>
    <cellStyle name="Normal 9 2 3 3 2 4" xfId="9525" xr:uid="{6CE285F7-C089-46B1-8D26-07B8C3E1F674}"/>
    <cellStyle name="Normal 9 2 3 3 2 5" xfId="17961" xr:uid="{B22BB206-02D9-4476-A2A8-4C0A85C486C9}"/>
    <cellStyle name="Normal 9 2 3 3 3" xfId="1406" xr:uid="{00000000-0005-0000-0000-00003A1F0000}"/>
    <cellStyle name="Normal 9 2 3 3 3 2" xfId="3636" xr:uid="{00000000-0005-0000-0000-00003B1F0000}"/>
    <cellStyle name="Normal 9 2 3 3 3 2 2" xfId="7859" xr:uid="{00000000-0005-0000-0000-00003C1F0000}"/>
    <cellStyle name="Normal 9 2 3 3 3 2 2 2" xfId="16301" xr:uid="{1DFCA178-7C86-4CD3-91C3-7BA95B7048C6}"/>
    <cellStyle name="Normal 9 2 3 3 3 2 2 3" xfId="24736" xr:uid="{17B544CC-CE99-46D5-98EA-010A09F4EAC5}"/>
    <cellStyle name="Normal 9 2 3 3 3 2 3" xfId="12083" xr:uid="{F28814E6-C241-4F78-A719-A1B233C0CD2F}"/>
    <cellStyle name="Normal 9 2 3 3 3 2 4" xfId="20519" xr:uid="{5C456346-F261-4294-B1F5-E0D6884FD205}"/>
    <cellStyle name="Normal 9 2 3 3 3 3" xfId="5714" xr:uid="{00000000-0005-0000-0000-00003D1F0000}"/>
    <cellStyle name="Normal 9 2 3 3 3 3 2" xfId="14156" xr:uid="{02B3F48B-BD1C-428D-B9B3-96B3AE2CB086}"/>
    <cellStyle name="Normal 9 2 3 3 3 3 3" xfId="22591" xr:uid="{0A6B4801-DD40-4685-B3BC-29753690E7CF}"/>
    <cellStyle name="Normal 9 2 3 3 3 4" xfId="9938" xr:uid="{F6A77DC5-480C-4268-98C1-A6B261395C78}"/>
    <cellStyle name="Normal 9 2 3 3 3 5" xfId="18374" xr:uid="{407796CB-B5B6-4C48-88DC-D5D8BCB4B096}"/>
    <cellStyle name="Normal 9 2 3 3 4" xfId="1819" xr:uid="{00000000-0005-0000-0000-00003E1F0000}"/>
    <cellStyle name="Normal 9 2 3 3 4 2" xfId="4049" xr:uid="{00000000-0005-0000-0000-00003F1F0000}"/>
    <cellStyle name="Normal 9 2 3 3 4 2 2" xfId="8272" xr:uid="{00000000-0005-0000-0000-0000401F0000}"/>
    <cellStyle name="Normal 9 2 3 3 4 2 2 2" xfId="16714" xr:uid="{D7BB396C-08BB-40AB-96C1-E03140837E8A}"/>
    <cellStyle name="Normal 9 2 3 3 4 2 2 3" xfId="25149" xr:uid="{296F94D9-50F0-4C72-8733-A209CF97C93A}"/>
    <cellStyle name="Normal 9 2 3 3 4 2 3" xfId="12496" xr:uid="{4F363509-A1E7-426B-81F3-8A7CDABD064F}"/>
    <cellStyle name="Normal 9 2 3 3 4 2 4" xfId="20932" xr:uid="{803C3723-5CA1-4B1E-B956-D0DF212118CC}"/>
    <cellStyle name="Normal 9 2 3 3 4 3" xfId="6127" xr:uid="{00000000-0005-0000-0000-0000411F0000}"/>
    <cellStyle name="Normal 9 2 3 3 4 3 2" xfId="14569" xr:uid="{2B8C0D79-5E02-47FD-8DB5-C59B9A4609A2}"/>
    <cellStyle name="Normal 9 2 3 3 4 3 3" xfId="23004" xr:uid="{6373E42A-C1D4-4CA7-8325-A816212B4317}"/>
    <cellStyle name="Normal 9 2 3 3 4 4" xfId="10351" xr:uid="{2BEE510F-6BBC-4AB4-BA26-26CD308502B0}"/>
    <cellStyle name="Normal 9 2 3 3 4 5" xfId="18787" xr:uid="{15720493-33CD-4681-9C21-6472FEF7615E}"/>
    <cellStyle name="Normal 9 2 3 3 5" xfId="2233" xr:uid="{00000000-0005-0000-0000-0000421F0000}"/>
    <cellStyle name="Normal 9 2 3 3 5 2" xfId="4462" xr:uid="{00000000-0005-0000-0000-0000431F0000}"/>
    <cellStyle name="Normal 9 2 3 3 5 2 2" xfId="8685" xr:uid="{00000000-0005-0000-0000-0000441F0000}"/>
    <cellStyle name="Normal 9 2 3 3 5 2 2 2" xfId="17127" xr:uid="{D2863A0E-2B42-4C26-B9E0-E93321549BFF}"/>
    <cellStyle name="Normal 9 2 3 3 5 2 2 3" xfId="25562" xr:uid="{87547588-005B-43DA-ABE7-1F2EDD73906F}"/>
    <cellStyle name="Normal 9 2 3 3 5 2 3" xfId="12909" xr:uid="{7F5AB90B-D972-40EE-BA85-5E0CFCCD7A50}"/>
    <cellStyle name="Normal 9 2 3 3 5 2 4" xfId="21345" xr:uid="{502CE2FC-4533-431B-B197-B439A7B2EEAF}"/>
    <cellStyle name="Normal 9 2 3 3 5 3" xfId="6540" xr:uid="{00000000-0005-0000-0000-0000451F0000}"/>
    <cellStyle name="Normal 9 2 3 3 5 3 2" xfId="14982" xr:uid="{35243BA6-4B67-4F28-BA03-5112C8BB4C23}"/>
    <cellStyle name="Normal 9 2 3 3 5 3 3" xfId="23417" xr:uid="{8690EEF3-1BB1-4B0A-AEB7-6C5A5F5C91DA}"/>
    <cellStyle name="Normal 9 2 3 3 5 4" xfId="10764" xr:uid="{7FE21572-3979-425D-992A-E2C81175FED7}"/>
    <cellStyle name="Normal 9 2 3 3 5 5" xfId="19200" xr:uid="{0A1AA371-7251-4E61-835E-7908F9E73183}"/>
    <cellStyle name="Normal 9 2 3 3 6" xfId="2669" xr:uid="{00000000-0005-0000-0000-0000461F0000}"/>
    <cellStyle name="Normal 9 2 3 3 6 2" xfId="6953" xr:uid="{00000000-0005-0000-0000-0000471F0000}"/>
    <cellStyle name="Normal 9 2 3 3 6 2 2" xfId="15395" xr:uid="{E68D4736-A210-47AF-BBCE-6D67492F0124}"/>
    <cellStyle name="Normal 9 2 3 3 6 2 3" xfId="23830" xr:uid="{70AFB612-1EED-405E-8ECD-FDB15FBDBFFF}"/>
    <cellStyle name="Normal 9 2 3 3 6 3" xfId="11177" xr:uid="{2BFA94E8-D375-44C4-87C0-E0676464E914}"/>
    <cellStyle name="Normal 9 2 3 3 6 4" xfId="19613" xr:uid="{46BA01AB-DF7A-4B65-8E3C-6653191461EA}"/>
    <cellStyle name="Normal 9 2 3 3 7" xfId="4888" xr:uid="{00000000-0005-0000-0000-0000481F0000}"/>
    <cellStyle name="Normal 9 2 3 3 7 2" xfId="13330" xr:uid="{FF70D6F6-AE49-4899-9F37-9BA8F74F6911}"/>
    <cellStyle name="Normal 9 2 3 3 7 3" xfId="21765" xr:uid="{3EF12C21-1F88-49F4-BC6B-AEA07C3E5791}"/>
    <cellStyle name="Normal 9 2 3 3 8" xfId="9112" xr:uid="{F222C549-A80D-4221-BED4-9C95609BD2C9}"/>
    <cellStyle name="Normal 9 2 3 3 9" xfId="17548" xr:uid="{77C78B43-950B-41F5-8849-0E055F28B33A}"/>
    <cellStyle name="Normal 9 2 3 4" xfId="987" xr:uid="{00000000-0005-0000-0000-0000491F0000}"/>
    <cellStyle name="Normal 9 2 3 4 2" xfId="3220" xr:uid="{00000000-0005-0000-0000-00004A1F0000}"/>
    <cellStyle name="Normal 9 2 3 4 2 2" xfId="7443" xr:uid="{00000000-0005-0000-0000-00004B1F0000}"/>
    <cellStyle name="Normal 9 2 3 4 2 2 2" xfId="15885" xr:uid="{F30CCD07-5F54-4A31-BC9D-12BDF8D2A7F6}"/>
    <cellStyle name="Normal 9 2 3 4 2 2 3" xfId="24320" xr:uid="{ECD6FDE4-7BFC-4E1A-B84C-214CEF4DBCEE}"/>
    <cellStyle name="Normal 9 2 3 4 2 3" xfId="11667" xr:uid="{A5874FD1-934C-4F0A-9BCE-B264EE8B0F25}"/>
    <cellStyle name="Normal 9 2 3 4 2 4" xfId="20103" xr:uid="{34F8CD24-8020-4778-81DB-C1150C34F12E}"/>
    <cellStyle name="Normal 9 2 3 4 3" xfId="5298" xr:uid="{00000000-0005-0000-0000-00004C1F0000}"/>
    <cellStyle name="Normal 9 2 3 4 3 2" xfId="13740" xr:uid="{EBE7D6FA-0AE6-4D22-B5B0-73B38749C53B}"/>
    <cellStyle name="Normal 9 2 3 4 3 3" xfId="22175" xr:uid="{F0C631E1-17FD-4290-B38F-E711CD9F0179}"/>
    <cellStyle name="Normal 9 2 3 4 4" xfId="9522" xr:uid="{F47EBAA8-45D8-4A2D-988E-080FCD8C4C23}"/>
    <cellStyle name="Normal 9 2 3 4 5" xfId="17958" xr:uid="{093FC139-8B4F-4465-9B7D-9781270B34A0}"/>
    <cellStyle name="Normal 9 2 3 5" xfId="1403" xr:uid="{00000000-0005-0000-0000-00004D1F0000}"/>
    <cellStyle name="Normal 9 2 3 5 2" xfId="3633" xr:uid="{00000000-0005-0000-0000-00004E1F0000}"/>
    <cellStyle name="Normal 9 2 3 5 2 2" xfId="7856" xr:uid="{00000000-0005-0000-0000-00004F1F0000}"/>
    <cellStyle name="Normal 9 2 3 5 2 2 2" xfId="16298" xr:uid="{D2C312B2-6EE2-48A6-882D-9E912F60B2EF}"/>
    <cellStyle name="Normal 9 2 3 5 2 2 3" xfId="24733" xr:uid="{8961B7C4-8893-40FA-9B37-2DC19503C97F}"/>
    <cellStyle name="Normal 9 2 3 5 2 3" xfId="12080" xr:uid="{26655826-CBF5-4EF9-89C9-FDA531A2018E}"/>
    <cellStyle name="Normal 9 2 3 5 2 4" xfId="20516" xr:uid="{A4A31CAE-9B3C-40FA-8CA6-0CFE0EF90FE1}"/>
    <cellStyle name="Normal 9 2 3 5 3" xfId="5711" xr:uid="{00000000-0005-0000-0000-0000501F0000}"/>
    <cellStyle name="Normal 9 2 3 5 3 2" xfId="14153" xr:uid="{5EFB7858-0264-444D-AF57-552EEDB77291}"/>
    <cellStyle name="Normal 9 2 3 5 3 3" xfId="22588" xr:uid="{88E848CB-139D-4955-AE27-E8FC96FBFD4C}"/>
    <cellStyle name="Normal 9 2 3 5 4" xfId="9935" xr:uid="{0030A399-7569-4281-8446-9D774BE3912D}"/>
    <cellStyle name="Normal 9 2 3 5 5" xfId="18371" xr:uid="{1F0958D4-3E0D-48AA-9BC3-F114E07AF74D}"/>
    <cellStyle name="Normal 9 2 3 6" xfId="1816" xr:uid="{00000000-0005-0000-0000-0000511F0000}"/>
    <cellStyle name="Normal 9 2 3 6 2" xfId="4046" xr:uid="{00000000-0005-0000-0000-0000521F0000}"/>
    <cellStyle name="Normal 9 2 3 6 2 2" xfId="8269" xr:uid="{00000000-0005-0000-0000-0000531F0000}"/>
    <cellStyle name="Normal 9 2 3 6 2 2 2" xfId="16711" xr:uid="{C002B14C-022F-4148-8644-6DCCCCBA4101}"/>
    <cellStyle name="Normal 9 2 3 6 2 2 3" xfId="25146" xr:uid="{567F136C-DE2D-4437-ACC9-6AC6DF1685AD}"/>
    <cellStyle name="Normal 9 2 3 6 2 3" xfId="12493" xr:uid="{6DC06E69-4306-43FC-914A-E43920E78D02}"/>
    <cellStyle name="Normal 9 2 3 6 2 4" xfId="20929" xr:uid="{C42DB639-C1D7-4658-BFF7-BA22DA29F135}"/>
    <cellStyle name="Normal 9 2 3 6 3" xfId="6124" xr:uid="{00000000-0005-0000-0000-0000541F0000}"/>
    <cellStyle name="Normal 9 2 3 6 3 2" xfId="14566" xr:uid="{AAE65206-0051-43F7-883B-ADC2CF6F5B2D}"/>
    <cellStyle name="Normal 9 2 3 6 3 3" xfId="23001" xr:uid="{474C9C8B-1CE4-481A-BE6E-E878D62C0A24}"/>
    <cellStyle name="Normal 9 2 3 6 4" xfId="10348" xr:uid="{1F49AC91-15EC-43F4-A207-3BAE528F60A3}"/>
    <cellStyle name="Normal 9 2 3 6 5" xfId="18784" xr:uid="{37644BFA-AC53-4B21-875D-0D4C2813957F}"/>
    <cellStyle name="Normal 9 2 3 7" xfId="2230" xr:uid="{00000000-0005-0000-0000-0000551F0000}"/>
    <cellStyle name="Normal 9 2 3 7 2" xfId="4459" xr:uid="{00000000-0005-0000-0000-0000561F0000}"/>
    <cellStyle name="Normal 9 2 3 7 2 2" xfId="8682" xr:uid="{00000000-0005-0000-0000-0000571F0000}"/>
    <cellStyle name="Normal 9 2 3 7 2 2 2" xfId="17124" xr:uid="{2BCCCDEE-6B5E-449E-B757-EB2727AB8C0F}"/>
    <cellStyle name="Normal 9 2 3 7 2 2 3" xfId="25559" xr:uid="{5CEE7FEA-0125-4B20-81AE-D4AD9AEF9313}"/>
    <cellStyle name="Normal 9 2 3 7 2 3" xfId="12906" xr:uid="{8735F5FB-C6F8-4121-9B2C-A001A6786343}"/>
    <cellStyle name="Normal 9 2 3 7 2 4" xfId="21342" xr:uid="{C4527ABD-9560-480D-AC31-06635DED3639}"/>
    <cellStyle name="Normal 9 2 3 7 3" xfId="6537" xr:uid="{00000000-0005-0000-0000-0000581F0000}"/>
    <cellStyle name="Normal 9 2 3 7 3 2" xfId="14979" xr:uid="{8E94235B-6A89-4FC4-8142-8A58CFCF806E}"/>
    <cellStyle name="Normal 9 2 3 7 3 3" xfId="23414" xr:uid="{7EA41BF6-5568-439F-BD57-3977457FC014}"/>
    <cellStyle name="Normal 9 2 3 7 4" xfId="10761" xr:uid="{A44318D7-1873-48D4-980C-C7696DA967BE}"/>
    <cellStyle name="Normal 9 2 3 7 5" xfId="19197" xr:uid="{A83E40FE-111D-4024-9BDD-A0C41CFB83EA}"/>
    <cellStyle name="Normal 9 2 3 8" xfId="2666" xr:uid="{00000000-0005-0000-0000-0000591F0000}"/>
    <cellStyle name="Normal 9 2 3 8 2" xfId="6950" xr:uid="{00000000-0005-0000-0000-00005A1F0000}"/>
    <cellStyle name="Normal 9 2 3 8 2 2" xfId="15392" xr:uid="{34A5E0EE-9DD9-4528-BDF1-527DDD651012}"/>
    <cellStyle name="Normal 9 2 3 8 2 3" xfId="23827" xr:uid="{A989246B-2396-446E-A69D-DF92D9000141}"/>
    <cellStyle name="Normal 9 2 3 8 3" xfId="11174" xr:uid="{53AEA116-B8EA-4F67-8B65-346E9916308C}"/>
    <cellStyle name="Normal 9 2 3 8 4" xfId="19610" xr:uid="{65BEAAF8-7171-4D69-8FFF-A077544FA9AB}"/>
    <cellStyle name="Normal 9 2 3 9" xfId="4885" xr:uid="{00000000-0005-0000-0000-00005B1F0000}"/>
    <cellStyle name="Normal 9 2 3 9 2" xfId="13327" xr:uid="{0E4B82F4-52C6-4DAE-8B46-AECC9E5D74A1}"/>
    <cellStyle name="Normal 9 2 3 9 3" xfId="21762" xr:uid="{E7F9CD59-F21B-44DD-AB39-B6819F402AF9}"/>
    <cellStyle name="Normal 9 2 4" xfId="524" xr:uid="{00000000-0005-0000-0000-00005C1F0000}"/>
    <cellStyle name="Normal 9 2 4 10" xfId="17549" xr:uid="{A37C46A4-F400-4ACB-8F89-55E3F1AFFA2E}"/>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2 2 2" xfId="15890" xr:uid="{7063D243-CCEE-4560-B503-BC1C4D804B7F}"/>
    <cellStyle name="Normal 9 2 4 2 2 2 2 3" xfId="24325" xr:uid="{CB99BC9F-0106-41BC-B976-BB9E5DA1AAE3}"/>
    <cellStyle name="Normal 9 2 4 2 2 2 3" xfId="11672" xr:uid="{62BFBE0C-3DA3-4660-8F86-450E40F2EF9D}"/>
    <cellStyle name="Normal 9 2 4 2 2 2 4" xfId="20108" xr:uid="{FD6A9024-344E-476A-9D34-6D0F32C2C7A9}"/>
    <cellStyle name="Normal 9 2 4 2 2 3" xfId="5303" xr:uid="{00000000-0005-0000-0000-0000611F0000}"/>
    <cellStyle name="Normal 9 2 4 2 2 3 2" xfId="13745" xr:uid="{BF0452B9-B8E7-4F91-899F-FA22009481EC}"/>
    <cellStyle name="Normal 9 2 4 2 2 3 3" xfId="22180" xr:uid="{1166D8EF-B633-41A6-9F4C-99FE9506DACD}"/>
    <cellStyle name="Normal 9 2 4 2 2 4" xfId="9527" xr:uid="{62D37925-C7C2-49EF-A847-525D606BDE96}"/>
    <cellStyle name="Normal 9 2 4 2 2 5" xfId="17963" xr:uid="{5794CAF2-C7D1-4FD2-BFF3-A806908B46C6}"/>
    <cellStyle name="Normal 9 2 4 2 3" xfId="1408" xr:uid="{00000000-0005-0000-0000-0000621F0000}"/>
    <cellStyle name="Normal 9 2 4 2 3 2" xfId="3638" xr:uid="{00000000-0005-0000-0000-0000631F0000}"/>
    <cellStyle name="Normal 9 2 4 2 3 2 2" xfId="7861" xr:uid="{00000000-0005-0000-0000-0000641F0000}"/>
    <cellStyle name="Normal 9 2 4 2 3 2 2 2" xfId="16303" xr:uid="{A5A8816F-5760-4897-8C59-9DC1B36D7CC5}"/>
    <cellStyle name="Normal 9 2 4 2 3 2 2 3" xfId="24738" xr:uid="{892546E2-368E-40D7-8893-3CB80C1A034C}"/>
    <cellStyle name="Normal 9 2 4 2 3 2 3" xfId="12085" xr:uid="{B331E90B-23EA-46A1-B680-57BD98E594BB}"/>
    <cellStyle name="Normal 9 2 4 2 3 2 4" xfId="20521" xr:uid="{08DE9687-393D-4530-9D25-D1266D0D8B28}"/>
    <cellStyle name="Normal 9 2 4 2 3 3" xfId="5716" xr:uid="{00000000-0005-0000-0000-0000651F0000}"/>
    <cellStyle name="Normal 9 2 4 2 3 3 2" xfId="14158" xr:uid="{4E1E8E4C-FD0C-443D-BBE9-5647C8C833A5}"/>
    <cellStyle name="Normal 9 2 4 2 3 3 3" xfId="22593" xr:uid="{53565644-24F1-4BFE-B2F1-0E6083EB04AD}"/>
    <cellStyle name="Normal 9 2 4 2 3 4" xfId="9940" xr:uid="{80842F04-03EF-4E95-BBA6-F46D7ACC28DA}"/>
    <cellStyle name="Normal 9 2 4 2 3 5" xfId="18376" xr:uid="{AC94E5A0-5BAA-4F97-AB8C-D733FECFCF6E}"/>
    <cellStyle name="Normal 9 2 4 2 4" xfId="1821" xr:uid="{00000000-0005-0000-0000-0000661F0000}"/>
    <cellStyle name="Normal 9 2 4 2 4 2" xfId="4051" xr:uid="{00000000-0005-0000-0000-0000671F0000}"/>
    <cellStyle name="Normal 9 2 4 2 4 2 2" xfId="8274" xr:uid="{00000000-0005-0000-0000-0000681F0000}"/>
    <cellStyle name="Normal 9 2 4 2 4 2 2 2" xfId="16716" xr:uid="{1C00B35E-AFD8-4DD1-BAEE-26E7C7B4100A}"/>
    <cellStyle name="Normal 9 2 4 2 4 2 2 3" xfId="25151" xr:uid="{5AC76B75-B817-4D46-B036-3DBB157D4627}"/>
    <cellStyle name="Normal 9 2 4 2 4 2 3" xfId="12498" xr:uid="{9D092B8D-A730-4F86-BB46-165F8E8AAC93}"/>
    <cellStyle name="Normal 9 2 4 2 4 2 4" xfId="20934" xr:uid="{3E07F0CE-4A0A-4A91-BE01-B405AC3E4E75}"/>
    <cellStyle name="Normal 9 2 4 2 4 3" xfId="6129" xr:uid="{00000000-0005-0000-0000-0000691F0000}"/>
    <cellStyle name="Normal 9 2 4 2 4 3 2" xfId="14571" xr:uid="{9306E1CD-168E-4819-A259-BA67CB48B769}"/>
    <cellStyle name="Normal 9 2 4 2 4 3 3" xfId="23006" xr:uid="{FE5CCDFB-E658-4159-8684-89CA01C81C80}"/>
    <cellStyle name="Normal 9 2 4 2 4 4" xfId="10353" xr:uid="{F51EC67D-D530-4348-AE09-3C4152460723}"/>
    <cellStyle name="Normal 9 2 4 2 4 5" xfId="18789" xr:uid="{4E7A4E76-C73A-4658-9F88-702377BA4554}"/>
    <cellStyle name="Normal 9 2 4 2 5" xfId="2235" xr:uid="{00000000-0005-0000-0000-00006A1F0000}"/>
    <cellStyle name="Normal 9 2 4 2 5 2" xfId="4464" xr:uid="{00000000-0005-0000-0000-00006B1F0000}"/>
    <cellStyle name="Normal 9 2 4 2 5 2 2" xfId="8687" xr:uid="{00000000-0005-0000-0000-00006C1F0000}"/>
    <cellStyle name="Normal 9 2 4 2 5 2 2 2" xfId="17129" xr:uid="{F8915D13-2F1D-4452-818A-FEC95FD9E54D}"/>
    <cellStyle name="Normal 9 2 4 2 5 2 2 3" xfId="25564" xr:uid="{ED97F736-22BB-4FC3-B484-56FB850A182D}"/>
    <cellStyle name="Normal 9 2 4 2 5 2 3" xfId="12911" xr:uid="{F34A79CC-DAD6-4F05-9CC7-53971318A7C9}"/>
    <cellStyle name="Normal 9 2 4 2 5 2 4" xfId="21347" xr:uid="{5662F949-05F9-4451-8AC7-15DCB6B8A65F}"/>
    <cellStyle name="Normal 9 2 4 2 5 3" xfId="6542" xr:uid="{00000000-0005-0000-0000-00006D1F0000}"/>
    <cellStyle name="Normal 9 2 4 2 5 3 2" xfId="14984" xr:uid="{95915910-EF7F-42A8-8FF9-6E2CD0700D66}"/>
    <cellStyle name="Normal 9 2 4 2 5 3 3" xfId="23419" xr:uid="{655414CF-B507-4254-A1C5-322AAE9CB856}"/>
    <cellStyle name="Normal 9 2 4 2 5 4" xfId="10766" xr:uid="{59E5A1C0-62DB-4FB8-AFF9-0E8BAC87B498}"/>
    <cellStyle name="Normal 9 2 4 2 5 5" xfId="19202" xr:uid="{E4DE95AE-F976-4ED9-8536-2FB87558FAAA}"/>
    <cellStyle name="Normal 9 2 4 2 6" xfId="2671" xr:uid="{00000000-0005-0000-0000-00006E1F0000}"/>
    <cellStyle name="Normal 9 2 4 2 6 2" xfId="6955" xr:uid="{00000000-0005-0000-0000-00006F1F0000}"/>
    <cellStyle name="Normal 9 2 4 2 6 2 2" xfId="15397" xr:uid="{EA388E10-940A-4CF5-96E0-3E829333333D}"/>
    <cellStyle name="Normal 9 2 4 2 6 2 3" xfId="23832" xr:uid="{361D3C01-E829-4127-A8E3-E6A6C4EE158F}"/>
    <cellStyle name="Normal 9 2 4 2 6 3" xfId="11179" xr:uid="{E56F3A39-B751-4FCA-A87C-9A5165D503C4}"/>
    <cellStyle name="Normal 9 2 4 2 6 4" xfId="19615" xr:uid="{625E2DC5-3318-4F56-A71E-A7F7CB425B1F}"/>
    <cellStyle name="Normal 9 2 4 2 7" xfId="4890" xr:uid="{00000000-0005-0000-0000-0000701F0000}"/>
    <cellStyle name="Normal 9 2 4 2 7 2" xfId="13332" xr:uid="{7985912B-A40A-47E8-ABD9-9035C81AEBA4}"/>
    <cellStyle name="Normal 9 2 4 2 7 3" xfId="21767" xr:uid="{137079EE-8BDD-4571-873F-E3C69369F2C8}"/>
    <cellStyle name="Normal 9 2 4 2 8" xfId="9114" xr:uid="{A187F728-2332-4E12-AF2C-CC6A649E9D9E}"/>
    <cellStyle name="Normal 9 2 4 2 9" xfId="17550" xr:uid="{B91379B2-C8CC-4FFE-BC1B-5E8B060ECAF0}"/>
    <cellStyle name="Normal 9 2 4 3" xfId="991" xr:uid="{00000000-0005-0000-0000-0000711F0000}"/>
    <cellStyle name="Normal 9 2 4 3 2" xfId="3224" xr:uid="{00000000-0005-0000-0000-0000721F0000}"/>
    <cellStyle name="Normal 9 2 4 3 2 2" xfId="7447" xr:uid="{00000000-0005-0000-0000-0000731F0000}"/>
    <cellStyle name="Normal 9 2 4 3 2 2 2" xfId="15889" xr:uid="{D4FA5AD6-E1E1-4C1F-8544-620230FAC0E1}"/>
    <cellStyle name="Normal 9 2 4 3 2 2 3" xfId="24324" xr:uid="{66FDBD92-5C59-429C-AA75-5155A969D6B3}"/>
    <cellStyle name="Normal 9 2 4 3 2 3" xfId="11671" xr:uid="{709A9770-BC08-4BEE-971A-004F99942312}"/>
    <cellStyle name="Normal 9 2 4 3 2 4" xfId="20107" xr:uid="{3D8B6BD7-9672-413E-A8CE-5E20004F44EF}"/>
    <cellStyle name="Normal 9 2 4 3 3" xfId="5302" xr:uid="{00000000-0005-0000-0000-0000741F0000}"/>
    <cellStyle name="Normal 9 2 4 3 3 2" xfId="13744" xr:uid="{15C6B58E-7A28-4465-9FDC-1448A79430AD}"/>
    <cellStyle name="Normal 9 2 4 3 3 3" xfId="22179" xr:uid="{2CC8114F-A4FD-42C4-A2A9-3B8373EF1E77}"/>
    <cellStyle name="Normal 9 2 4 3 4" xfId="9526" xr:uid="{ED9F3F7F-5553-4AA3-86B5-490F2530AF2B}"/>
    <cellStyle name="Normal 9 2 4 3 5" xfId="17962" xr:uid="{7A6BDB38-7776-41E5-95C9-31640B02DC59}"/>
    <cellStyle name="Normal 9 2 4 4" xfId="1407" xr:uid="{00000000-0005-0000-0000-0000751F0000}"/>
    <cellStyle name="Normal 9 2 4 4 2" xfId="3637" xr:uid="{00000000-0005-0000-0000-0000761F0000}"/>
    <cellStyle name="Normal 9 2 4 4 2 2" xfId="7860" xr:uid="{00000000-0005-0000-0000-0000771F0000}"/>
    <cellStyle name="Normal 9 2 4 4 2 2 2" xfId="16302" xr:uid="{71FF8D97-9237-4281-A5EA-4097492DD54B}"/>
    <cellStyle name="Normal 9 2 4 4 2 2 3" xfId="24737" xr:uid="{2D98036F-C091-46BB-96D7-92C827BB7FD1}"/>
    <cellStyle name="Normal 9 2 4 4 2 3" xfId="12084" xr:uid="{0A7380A4-E5C0-43A6-9695-9A4CDB00EB1B}"/>
    <cellStyle name="Normal 9 2 4 4 2 4" xfId="20520" xr:uid="{01129447-3B79-4E0A-BEE2-E4E1FAB90E97}"/>
    <cellStyle name="Normal 9 2 4 4 3" xfId="5715" xr:uid="{00000000-0005-0000-0000-0000781F0000}"/>
    <cellStyle name="Normal 9 2 4 4 3 2" xfId="14157" xr:uid="{64FC127D-310F-4A77-BBB4-20C8774CB0B8}"/>
    <cellStyle name="Normal 9 2 4 4 3 3" xfId="22592" xr:uid="{62F70502-9223-43C3-8383-FDFE8F52E7A7}"/>
    <cellStyle name="Normal 9 2 4 4 4" xfId="9939" xr:uid="{2E92FD94-DBDF-4BE2-9A77-CC8F6BA0EF47}"/>
    <cellStyle name="Normal 9 2 4 4 5" xfId="18375" xr:uid="{6C76820A-EBBD-4010-BBA9-8D2442869D02}"/>
    <cellStyle name="Normal 9 2 4 5" xfId="1820" xr:uid="{00000000-0005-0000-0000-0000791F0000}"/>
    <cellStyle name="Normal 9 2 4 5 2" xfId="4050" xr:uid="{00000000-0005-0000-0000-00007A1F0000}"/>
    <cellStyle name="Normal 9 2 4 5 2 2" xfId="8273" xr:uid="{00000000-0005-0000-0000-00007B1F0000}"/>
    <cellStyle name="Normal 9 2 4 5 2 2 2" xfId="16715" xr:uid="{E608A95F-107B-41F8-AED9-2C7C97F05450}"/>
    <cellStyle name="Normal 9 2 4 5 2 2 3" xfId="25150" xr:uid="{75ECE4CC-7558-47FC-A99F-3D4CE66ADC87}"/>
    <cellStyle name="Normal 9 2 4 5 2 3" xfId="12497" xr:uid="{344679A2-1958-47B0-A92E-1AEC2F3ECF8D}"/>
    <cellStyle name="Normal 9 2 4 5 2 4" xfId="20933" xr:uid="{BBD537C6-A63E-4712-AE5B-6499C0FE917D}"/>
    <cellStyle name="Normal 9 2 4 5 3" xfId="6128" xr:uid="{00000000-0005-0000-0000-00007C1F0000}"/>
    <cellStyle name="Normal 9 2 4 5 3 2" xfId="14570" xr:uid="{FDE55D4E-CC94-4EF6-9886-D4172B4A3D45}"/>
    <cellStyle name="Normal 9 2 4 5 3 3" xfId="23005" xr:uid="{61D8CC8C-4954-4CA3-8309-9103527029B7}"/>
    <cellStyle name="Normal 9 2 4 5 4" xfId="10352" xr:uid="{0D436451-5C79-41E1-9008-B3AC46D04BB9}"/>
    <cellStyle name="Normal 9 2 4 5 5" xfId="18788" xr:uid="{0D36418A-E1E5-4337-B351-74E94800E7A2}"/>
    <cellStyle name="Normal 9 2 4 6" xfId="2234" xr:uid="{00000000-0005-0000-0000-00007D1F0000}"/>
    <cellStyle name="Normal 9 2 4 6 2" xfId="4463" xr:uid="{00000000-0005-0000-0000-00007E1F0000}"/>
    <cellStyle name="Normal 9 2 4 6 2 2" xfId="8686" xr:uid="{00000000-0005-0000-0000-00007F1F0000}"/>
    <cellStyle name="Normal 9 2 4 6 2 2 2" xfId="17128" xr:uid="{F7895BB7-C7A6-4BFD-BC36-95361C8C84D0}"/>
    <cellStyle name="Normal 9 2 4 6 2 2 3" xfId="25563" xr:uid="{CEF34F13-0183-4275-AAAB-D36E4A158F55}"/>
    <cellStyle name="Normal 9 2 4 6 2 3" xfId="12910" xr:uid="{7FD4EBC3-1A9A-4656-A98C-B85737726A53}"/>
    <cellStyle name="Normal 9 2 4 6 2 4" xfId="21346" xr:uid="{27BE21FB-6378-4A72-8A6F-B50CACC9BD4B}"/>
    <cellStyle name="Normal 9 2 4 6 3" xfId="6541" xr:uid="{00000000-0005-0000-0000-0000801F0000}"/>
    <cellStyle name="Normal 9 2 4 6 3 2" xfId="14983" xr:uid="{625D448A-4AC9-4D69-811B-F53784417076}"/>
    <cellStyle name="Normal 9 2 4 6 3 3" xfId="23418" xr:uid="{8DA4EAD5-DABD-487F-93B7-0AEC728834DC}"/>
    <cellStyle name="Normal 9 2 4 6 4" xfId="10765" xr:uid="{35984449-40F7-4A0F-963B-D757042FDBA9}"/>
    <cellStyle name="Normal 9 2 4 6 5" xfId="19201" xr:uid="{EC29A5C6-2A43-44FA-95E8-9E2564C4F31A}"/>
    <cellStyle name="Normal 9 2 4 7" xfId="2670" xr:uid="{00000000-0005-0000-0000-0000811F0000}"/>
    <cellStyle name="Normal 9 2 4 7 2" xfId="6954" xr:uid="{00000000-0005-0000-0000-0000821F0000}"/>
    <cellStyle name="Normal 9 2 4 7 2 2" xfId="15396" xr:uid="{DCA36CB7-5164-4F93-AC67-809009067DA1}"/>
    <cellStyle name="Normal 9 2 4 7 2 3" xfId="23831" xr:uid="{0DD935E1-DA62-4088-A05E-62EB7AF0D613}"/>
    <cellStyle name="Normal 9 2 4 7 3" xfId="11178" xr:uid="{BC968F8E-81C0-4D82-A66E-753579213B04}"/>
    <cellStyle name="Normal 9 2 4 7 4" xfId="19614" xr:uid="{DE9B4D79-239C-4CCE-A356-1CE7264474E4}"/>
    <cellStyle name="Normal 9 2 4 8" xfId="4889" xr:uid="{00000000-0005-0000-0000-0000831F0000}"/>
    <cellStyle name="Normal 9 2 4 8 2" xfId="13331" xr:uid="{9F620328-84C4-425F-92E5-F82639931765}"/>
    <cellStyle name="Normal 9 2 4 8 3" xfId="21766" xr:uid="{B562635A-FF61-40A2-897B-F120C3588F32}"/>
    <cellStyle name="Normal 9 2 4 9" xfId="9113" xr:uid="{ECE02DE2-A09A-441B-A176-F5804FD6C129}"/>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2 2 2" xfId="15891" xr:uid="{ECA64B5E-54D0-4825-A3FE-B0A1DF35AE87}"/>
    <cellStyle name="Normal 9 2 5 2 2 2 3" xfId="24326" xr:uid="{057C83DB-1FA5-4530-AC76-FC2E75CDD0C6}"/>
    <cellStyle name="Normal 9 2 5 2 2 3" xfId="11673" xr:uid="{C540DECA-10DE-42DC-B1A7-FBE8DBC6EA75}"/>
    <cellStyle name="Normal 9 2 5 2 2 4" xfId="20109" xr:uid="{BCC3087B-9898-43E9-B54B-AE86C4DD05E2}"/>
    <cellStyle name="Normal 9 2 5 2 3" xfId="5304" xr:uid="{00000000-0005-0000-0000-0000881F0000}"/>
    <cellStyle name="Normal 9 2 5 2 3 2" xfId="13746" xr:uid="{98C68AB9-824C-4BAB-B9BF-3FB22642BAA0}"/>
    <cellStyle name="Normal 9 2 5 2 3 3" xfId="22181" xr:uid="{3B91C339-BA00-47F5-BE7E-A6A0336FFB5D}"/>
    <cellStyle name="Normal 9 2 5 2 4" xfId="9528" xr:uid="{0D7BE92D-C65C-4EBD-883B-ABC3FD33B0BD}"/>
    <cellStyle name="Normal 9 2 5 2 5" xfId="17964" xr:uid="{57BB482A-F1DB-408C-9323-2AD104C64E18}"/>
    <cellStyle name="Normal 9 2 5 3" xfId="1409" xr:uid="{00000000-0005-0000-0000-0000891F0000}"/>
    <cellStyle name="Normal 9 2 5 3 2" xfId="3639" xr:uid="{00000000-0005-0000-0000-00008A1F0000}"/>
    <cellStyle name="Normal 9 2 5 3 2 2" xfId="7862" xr:uid="{00000000-0005-0000-0000-00008B1F0000}"/>
    <cellStyle name="Normal 9 2 5 3 2 2 2" xfId="16304" xr:uid="{C293BEE4-36A8-46A9-AC08-5A2B3417DDB8}"/>
    <cellStyle name="Normal 9 2 5 3 2 2 3" xfId="24739" xr:uid="{6535E149-4ED8-4267-A789-3A798CCF6D5C}"/>
    <cellStyle name="Normal 9 2 5 3 2 3" xfId="12086" xr:uid="{4E174968-075C-4223-9201-86F2697C7F81}"/>
    <cellStyle name="Normal 9 2 5 3 2 4" xfId="20522" xr:uid="{82B7742F-A562-453A-BA3E-172098CF2A60}"/>
    <cellStyle name="Normal 9 2 5 3 3" xfId="5717" xr:uid="{00000000-0005-0000-0000-00008C1F0000}"/>
    <cellStyle name="Normal 9 2 5 3 3 2" xfId="14159" xr:uid="{BD5DBB46-CB91-475A-BB5B-497299791B61}"/>
    <cellStyle name="Normal 9 2 5 3 3 3" xfId="22594" xr:uid="{7F891A57-2760-4ED9-B0B2-F687E451B2A8}"/>
    <cellStyle name="Normal 9 2 5 3 4" xfId="9941" xr:uid="{071036BC-AD78-4E3F-9934-F0171CBA0B33}"/>
    <cellStyle name="Normal 9 2 5 3 5" xfId="18377" xr:uid="{1D797CED-3957-4280-84A5-FD2570A13DDA}"/>
    <cellStyle name="Normal 9 2 5 4" xfId="1822" xr:uid="{00000000-0005-0000-0000-00008D1F0000}"/>
    <cellStyle name="Normal 9 2 5 4 2" xfId="4052" xr:uid="{00000000-0005-0000-0000-00008E1F0000}"/>
    <cellStyle name="Normal 9 2 5 4 2 2" xfId="8275" xr:uid="{00000000-0005-0000-0000-00008F1F0000}"/>
    <cellStyle name="Normal 9 2 5 4 2 2 2" xfId="16717" xr:uid="{15791F51-E4D4-47FD-9781-3BD4EFFE055B}"/>
    <cellStyle name="Normal 9 2 5 4 2 2 3" xfId="25152" xr:uid="{708FE56B-2AC9-4003-8BA4-5BEF595CA061}"/>
    <cellStyle name="Normal 9 2 5 4 2 3" xfId="12499" xr:uid="{3D36D49D-8120-43C1-A849-715BB7E9C538}"/>
    <cellStyle name="Normal 9 2 5 4 2 4" xfId="20935" xr:uid="{AD689C2E-F7BD-49AF-B5F3-ADA9473D8D37}"/>
    <cellStyle name="Normal 9 2 5 4 3" xfId="6130" xr:uid="{00000000-0005-0000-0000-0000901F0000}"/>
    <cellStyle name="Normal 9 2 5 4 3 2" xfId="14572" xr:uid="{DF65CF38-CB43-4952-B319-A9C1649972CA}"/>
    <cellStyle name="Normal 9 2 5 4 3 3" xfId="23007" xr:uid="{16158C43-FE9B-45DB-AC12-E2F1EDDDB0AF}"/>
    <cellStyle name="Normal 9 2 5 4 4" xfId="10354" xr:uid="{13B43F2D-94C5-4F48-8ABF-3AC8304FC4EE}"/>
    <cellStyle name="Normal 9 2 5 4 5" xfId="18790" xr:uid="{F08AF990-D9FF-467E-8D93-EB03E6B4E411}"/>
    <cellStyle name="Normal 9 2 5 5" xfId="2236" xr:uid="{00000000-0005-0000-0000-0000911F0000}"/>
    <cellStyle name="Normal 9 2 5 5 2" xfId="4465" xr:uid="{00000000-0005-0000-0000-0000921F0000}"/>
    <cellStyle name="Normal 9 2 5 5 2 2" xfId="8688" xr:uid="{00000000-0005-0000-0000-0000931F0000}"/>
    <cellStyle name="Normal 9 2 5 5 2 2 2" xfId="17130" xr:uid="{0BA6E24B-5D1C-427B-AB70-3C22BAD3871D}"/>
    <cellStyle name="Normal 9 2 5 5 2 2 3" xfId="25565" xr:uid="{3E93AEF8-85D4-4106-AFB5-EDCDF6E73CE8}"/>
    <cellStyle name="Normal 9 2 5 5 2 3" xfId="12912" xr:uid="{A37D9FC5-46EB-4CA5-B850-609C842B0E81}"/>
    <cellStyle name="Normal 9 2 5 5 2 4" xfId="21348" xr:uid="{F80EBAFD-49BC-488C-B219-46BD4B615B35}"/>
    <cellStyle name="Normal 9 2 5 5 3" xfId="6543" xr:uid="{00000000-0005-0000-0000-0000941F0000}"/>
    <cellStyle name="Normal 9 2 5 5 3 2" xfId="14985" xr:uid="{9AAE3EC5-907D-4DF4-9134-708E2D1D6F60}"/>
    <cellStyle name="Normal 9 2 5 5 3 3" xfId="23420" xr:uid="{9A3130FC-8020-4041-9A44-C3CE9052FFCE}"/>
    <cellStyle name="Normal 9 2 5 5 4" xfId="10767" xr:uid="{FE06FF65-E2E4-49DA-9BE0-2705AA2727D0}"/>
    <cellStyle name="Normal 9 2 5 5 5" xfId="19203" xr:uid="{8416E28E-1198-4E6A-BC66-A040F02D3C23}"/>
    <cellStyle name="Normal 9 2 5 6" xfId="2672" xr:uid="{00000000-0005-0000-0000-0000951F0000}"/>
    <cellStyle name="Normal 9 2 5 6 2" xfId="6956" xr:uid="{00000000-0005-0000-0000-0000961F0000}"/>
    <cellStyle name="Normal 9 2 5 6 2 2" xfId="15398" xr:uid="{13078D04-72DC-408A-A91E-0E80C1CAA0A5}"/>
    <cellStyle name="Normal 9 2 5 6 2 3" xfId="23833" xr:uid="{BACE1E83-88FB-4EE0-B472-4FDBFFE81ED6}"/>
    <cellStyle name="Normal 9 2 5 6 3" xfId="11180" xr:uid="{D9651722-6483-42F7-8688-788CE141FABC}"/>
    <cellStyle name="Normal 9 2 5 6 4" xfId="19616" xr:uid="{9623F68F-7B08-4D83-9BF3-5520A759EB58}"/>
    <cellStyle name="Normal 9 2 5 7" xfId="4891" xr:uid="{00000000-0005-0000-0000-0000971F0000}"/>
    <cellStyle name="Normal 9 2 5 7 2" xfId="13333" xr:uid="{C2A043C8-B151-4EB8-9848-5F571530B911}"/>
    <cellStyle name="Normal 9 2 5 7 3" xfId="21768" xr:uid="{CD0018D1-1CD0-4F69-B81B-FFFF7FF97F2B}"/>
    <cellStyle name="Normal 9 2 5 8" xfId="9115" xr:uid="{6F9F9509-2EDC-465D-A144-905C698F18D8}"/>
    <cellStyle name="Normal 9 2 5 9" xfId="17551" xr:uid="{0F419E52-E084-4F4E-81F9-3226983C0BEF}"/>
    <cellStyle name="Normal 9 2 6" xfId="978" xr:uid="{00000000-0005-0000-0000-0000981F0000}"/>
    <cellStyle name="Normal 9 2 6 2" xfId="3211" xr:uid="{00000000-0005-0000-0000-0000991F0000}"/>
    <cellStyle name="Normal 9 2 6 2 2" xfId="7434" xr:uid="{00000000-0005-0000-0000-00009A1F0000}"/>
    <cellStyle name="Normal 9 2 6 2 2 2" xfId="15876" xr:uid="{EC2A5F61-FCF8-4B2F-AB06-3FA4685A484C}"/>
    <cellStyle name="Normal 9 2 6 2 2 3" xfId="24311" xr:uid="{E9D57C60-CDC0-41B4-BEB9-0FF32458309D}"/>
    <cellStyle name="Normal 9 2 6 2 3" xfId="11658" xr:uid="{28335475-2827-4A30-9270-42D7457A79AD}"/>
    <cellStyle name="Normal 9 2 6 2 4" xfId="20094" xr:uid="{398C3452-0134-4493-B907-F2388AECAB13}"/>
    <cellStyle name="Normal 9 2 6 3" xfId="5289" xr:uid="{00000000-0005-0000-0000-00009B1F0000}"/>
    <cellStyle name="Normal 9 2 6 3 2" xfId="13731" xr:uid="{13DB7BB9-643E-43AA-AD4A-103C2019420C}"/>
    <cellStyle name="Normal 9 2 6 3 3" xfId="22166" xr:uid="{E93F5F50-FE83-4120-9CD7-9E86662251E4}"/>
    <cellStyle name="Normal 9 2 6 4" xfId="9513" xr:uid="{0A972C25-6E59-4551-BD32-AE57882BCC26}"/>
    <cellStyle name="Normal 9 2 6 5" xfId="17949" xr:uid="{2D5B8B0B-48CA-407B-8B0F-A9A0E5C48A89}"/>
    <cellStyle name="Normal 9 2 7" xfId="1394" xr:uid="{00000000-0005-0000-0000-00009C1F0000}"/>
    <cellStyle name="Normal 9 2 7 2" xfId="3624" xr:uid="{00000000-0005-0000-0000-00009D1F0000}"/>
    <cellStyle name="Normal 9 2 7 2 2" xfId="7847" xr:uid="{00000000-0005-0000-0000-00009E1F0000}"/>
    <cellStyle name="Normal 9 2 7 2 2 2" xfId="16289" xr:uid="{D3EB0788-39DD-43E9-817B-DCB19224509A}"/>
    <cellStyle name="Normal 9 2 7 2 2 3" xfId="24724" xr:uid="{FCB23FC4-E256-499E-9F3E-033C8889449E}"/>
    <cellStyle name="Normal 9 2 7 2 3" xfId="12071" xr:uid="{B23C7AA7-FD24-4B4C-A323-1C72930197CD}"/>
    <cellStyle name="Normal 9 2 7 2 4" xfId="20507" xr:uid="{4A71C947-164B-43D2-B0F4-659AB4AC492A}"/>
    <cellStyle name="Normal 9 2 7 3" xfId="5702" xr:uid="{00000000-0005-0000-0000-00009F1F0000}"/>
    <cellStyle name="Normal 9 2 7 3 2" xfId="14144" xr:uid="{B148CF4F-40E3-4B1F-9A6B-679E60ACD981}"/>
    <cellStyle name="Normal 9 2 7 3 3" xfId="22579" xr:uid="{3509470B-4C28-4B37-A418-D80EDD0F9E67}"/>
    <cellStyle name="Normal 9 2 7 4" xfId="9926" xr:uid="{8532F258-4749-46AE-ADBE-9EA35C5278F5}"/>
    <cellStyle name="Normal 9 2 7 5" xfId="18362" xr:uid="{D135DBD4-D001-425F-8389-47766DB981D7}"/>
    <cellStyle name="Normal 9 2 8" xfId="1807" xr:uid="{00000000-0005-0000-0000-0000A01F0000}"/>
    <cellStyle name="Normal 9 2 8 2" xfId="4037" xr:uid="{00000000-0005-0000-0000-0000A11F0000}"/>
    <cellStyle name="Normal 9 2 8 2 2" xfId="8260" xr:uid="{00000000-0005-0000-0000-0000A21F0000}"/>
    <cellStyle name="Normal 9 2 8 2 2 2" xfId="16702" xr:uid="{572AB01A-9C99-4B07-831F-F3BE948BA118}"/>
    <cellStyle name="Normal 9 2 8 2 2 3" xfId="25137" xr:uid="{FC99E802-2743-4DAD-822F-7AF0DF445BA3}"/>
    <cellStyle name="Normal 9 2 8 2 3" xfId="12484" xr:uid="{759A1C25-A27C-4CCB-A793-8ED0B015D85B}"/>
    <cellStyle name="Normal 9 2 8 2 4" xfId="20920" xr:uid="{CB215B29-EB00-45E8-8E6A-1C400090F568}"/>
    <cellStyle name="Normal 9 2 8 3" xfId="6115" xr:uid="{00000000-0005-0000-0000-0000A31F0000}"/>
    <cellStyle name="Normal 9 2 8 3 2" xfId="14557" xr:uid="{2F0647B5-3657-46C6-9E92-7D23F436560F}"/>
    <cellStyle name="Normal 9 2 8 3 3" xfId="22992" xr:uid="{757C9F59-ECDF-482C-BC6C-2AC1B6F02298}"/>
    <cellStyle name="Normal 9 2 8 4" xfId="10339" xr:uid="{7D4A65E3-2673-47E0-A0CE-E8D948E17F03}"/>
    <cellStyle name="Normal 9 2 8 5" xfId="18775" xr:uid="{2CEF8B76-49BA-4381-AA9A-22E6A80E414C}"/>
    <cellStyle name="Normal 9 2 9" xfId="2221" xr:uid="{00000000-0005-0000-0000-0000A41F0000}"/>
    <cellStyle name="Normal 9 2 9 2" xfId="4450" xr:uid="{00000000-0005-0000-0000-0000A51F0000}"/>
    <cellStyle name="Normal 9 2 9 2 2" xfId="8673" xr:uid="{00000000-0005-0000-0000-0000A61F0000}"/>
    <cellStyle name="Normal 9 2 9 2 2 2" xfId="17115" xr:uid="{9B3F50E2-41B6-4EC7-8E22-AE9407DF1B5B}"/>
    <cellStyle name="Normal 9 2 9 2 2 3" xfId="25550" xr:uid="{A546272B-3F46-4519-BDD4-DFFDFB272D0F}"/>
    <cellStyle name="Normal 9 2 9 2 3" xfId="12897" xr:uid="{A2EF58DA-DB9F-46AD-842B-05BF3C91A0AB}"/>
    <cellStyle name="Normal 9 2 9 2 4" xfId="21333" xr:uid="{B88AD549-8AE2-4535-A384-B581D71C2784}"/>
    <cellStyle name="Normal 9 2 9 3" xfId="6528" xr:uid="{00000000-0005-0000-0000-0000A71F0000}"/>
    <cellStyle name="Normal 9 2 9 3 2" xfId="14970" xr:uid="{2F15DFC6-BFC9-4F25-A5F0-B9375B17C127}"/>
    <cellStyle name="Normal 9 2 9 3 3" xfId="23405" xr:uid="{74AE9D97-F40D-444B-848F-523497AB9012}"/>
    <cellStyle name="Normal 9 2 9 4" xfId="10752" xr:uid="{B5BFE304-2ECF-4322-90BA-62DC778B7DE8}"/>
    <cellStyle name="Normal 9 2 9 5" xfId="19188" xr:uid="{010AB941-8D72-4E34-9325-0632F1585261}"/>
    <cellStyle name="Normal 9 3" xfId="527" xr:uid="{00000000-0005-0000-0000-0000A81F0000}"/>
    <cellStyle name="Normal 9 3 10" xfId="4892" xr:uid="{00000000-0005-0000-0000-0000A91F0000}"/>
    <cellStyle name="Normal 9 3 10 2" xfId="13334" xr:uid="{C17BF228-C878-4536-A3AD-A173360080C9}"/>
    <cellStyle name="Normal 9 3 10 3" xfId="21769" xr:uid="{A58B5213-7C68-43D8-86F6-DCCE4CD4368D}"/>
    <cellStyle name="Normal 9 3 11" xfId="9116" xr:uid="{6A3AF00D-B221-4A83-88F6-8E7AC73C21D4}"/>
    <cellStyle name="Normal 9 3 12" xfId="17552" xr:uid="{3742F85A-0EEA-4BDE-8B1E-A4AD8FFD0AAC}"/>
    <cellStyle name="Normal 9 3 2" xfId="528" xr:uid="{00000000-0005-0000-0000-0000AA1F0000}"/>
    <cellStyle name="Normal 9 3 2 10" xfId="9117" xr:uid="{80F6355F-0ACF-4A55-8AC4-4647E4F5B2A0}"/>
    <cellStyle name="Normal 9 3 2 11" xfId="17553" xr:uid="{122C2632-7E2C-474C-8062-652CD544C1F5}"/>
    <cellStyle name="Normal 9 3 2 2" xfId="529" xr:uid="{00000000-0005-0000-0000-0000AB1F0000}"/>
    <cellStyle name="Normal 9 3 2 2 10" xfId="17554" xr:uid="{F2D6124D-B96C-43A7-B06C-2958213FCC9F}"/>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2 2 2" xfId="15895" xr:uid="{376E188A-8972-46BD-BE71-A941DC4FD751}"/>
    <cellStyle name="Normal 9 3 2 2 2 2 2 2 3" xfId="24330" xr:uid="{3A6BAA07-43D1-479E-9355-AFDD249C65D0}"/>
    <cellStyle name="Normal 9 3 2 2 2 2 2 3" xfId="11677" xr:uid="{64BCBC48-23B7-443D-8442-64EBC880F3E3}"/>
    <cellStyle name="Normal 9 3 2 2 2 2 2 4" xfId="20113" xr:uid="{73024DA3-5148-4FD0-963A-EB6F807A73DC}"/>
    <cellStyle name="Normal 9 3 2 2 2 2 3" xfId="5308" xr:uid="{00000000-0005-0000-0000-0000B01F0000}"/>
    <cellStyle name="Normal 9 3 2 2 2 2 3 2" xfId="13750" xr:uid="{5E1970AF-960A-4575-9A4E-29A12A2B5420}"/>
    <cellStyle name="Normal 9 3 2 2 2 2 3 3" xfId="22185" xr:uid="{4909F85E-A571-449D-B445-5127A4120934}"/>
    <cellStyle name="Normal 9 3 2 2 2 2 4" xfId="9532" xr:uid="{3C4C860C-5020-405D-B89F-E99FA31DFB86}"/>
    <cellStyle name="Normal 9 3 2 2 2 2 5" xfId="17968" xr:uid="{F8B53D56-9278-4E80-92CB-085D6A6C49F4}"/>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2 2 2" xfId="16308" xr:uid="{12614E16-4411-4E48-AB60-5B292C9251AA}"/>
    <cellStyle name="Normal 9 3 2 2 2 3 2 2 3" xfId="24743" xr:uid="{45B65808-B873-47A0-98CB-3A856FC58C99}"/>
    <cellStyle name="Normal 9 3 2 2 2 3 2 3" xfId="12090" xr:uid="{0681D131-2474-414A-977A-10DCAEED1560}"/>
    <cellStyle name="Normal 9 3 2 2 2 3 2 4" xfId="20526" xr:uid="{0B328907-CB1A-4A26-90B2-75AF4B23C609}"/>
    <cellStyle name="Normal 9 3 2 2 2 3 3" xfId="5721" xr:uid="{00000000-0005-0000-0000-0000B41F0000}"/>
    <cellStyle name="Normal 9 3 2 2 2 3 3 2" xfId="14163" xr:uid="{71B0A17D-05CC-47FB-BDE2-D970D935AB93}"/>
    <cellStyle name="Normal 9 3 2 2 2 3 3 3" xfId="22598" xr:uid="{4BBD7972-C764-478E-8069-BCDC9743830E}"/>
    <cellStyle name="Normal 9 3 2 2 2 3 4" xfId="9945" xr:uid="{0116E4F3-9113-42CD-8AFA-B9CA92E9E217}"/>
    <cellStyle name="Normal 9 3 2 2 2 3 5" xfId="18381" xr:uid="{E0829461-4AE4-4422-ADD4-781A24845A33}"/>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2 2 2" xfId="16721" xr:uid="{EE0C058D-CBED-41B0-AEFE-3870478F6632}"/>
    <cellStyle name="Normal 9 3 2 2 2 4 2 2 3" xfId="25156" xr:uid="{32E672AF-8C89-46DE-8226-37A1A05C61E1}"/>
    <cellStyle name="Normal 9 3 2 2 2 4 2 3" xfId="12503" xr:uid="{DA0CE192-251B-4610-B7FF-9747F94CD89B}"/>
    <cellStyle name="Normal 9 3 2 2 2 4 2 4" xfId="20939" xr:uid="{1329487B-2211-4A46-9E5E-3DA4AB760F40}"/>
    <cellStyle name="Normal 9 3 2 2 2 4 3" xfId="6134" xr:uid="{00000000-0005-0000-0000-0000B81F0000}"/>
    <cellStyle name="Normal 9 3 2 2 2 4 3 2" xfId="14576" xr:uid="{6AD48510-91DA-416D-B727-2AAA2959318F}"/>
    <cellStyle name="Normal 9 3 2 2 2 4 3 3" xfId="23011" xr:uid="{D66D5726-17FA-4040-AEEF-E7DB24C8336D}"/>
    <cellStyle name="Normal 9 3 2 2 2 4 4" xfId="10358" xr:uid="{8E8FA4D2-DA87-4EF8-A301-339BE6C0952D}"/>
    <cellStyle name="Normal 9 3 2 2 2 4 5" xfId="18794" xr:uid="{E98092AA-3CFE-4348-B61B-F7D26F412F48}"/>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2 2 2" xfId="17134" xr:uid="{71E64D53-465F-471B-923C-216BBF0FD6A4}"/>
    <cellStyle name="Normal 9 3 2 2 2 5 2 2 3" xfId="25569" xr:uid="{5385B078-7119-4A06-AA8C-D472D9D11890}"/>
    <cellStyle name="Normal 9 3 2 2 2 5 2 3" xfId="12916" xr:uid="{7AE701EE-8F7B-4446-AF5F-A3A20D2EAA73}"/>
    <cellStyle name="Normal 9 3 2 2 2 5 2 4" xfId="21352" xr:uid="{0D7CFDF8-6ED0-4E2F-B87C-ED5034EEAC61}"/>
    <cellStyle name="Normal 9 3 2 2 2 5 3" xfId="6547" xr:uid="{00000000-0005-0000-0000-0000BC1F0000}"/>
    <cellStyle name="Normal 9 3 2 2 2 5 3 2" xfId="14989" xr:uid="{0EC53FCC-7B5C-4BAC-A8A5-933CFEB3EF18}"/>
    <cellStyle name="Normal 9 3 2 2 2 5 3 3" xfId="23424" xr:uid="{11E4FB0F-976E-4DFB-8F04-18F96EA697F9}"/>
    <cellStyle name="Normal 9 3 2 2 2 5 4" xfId="10771" xr:uid="{CBFF58D3-D73B-4678-86DA-861BC80DC658}"/>
    <cellStyle name="Normal 9 3 2 2 2 5 5" xfId="19207" xr:uid="{50663CD4-5EE6-4D3E-A732-FD86E5080BD4}"/>
    <cellStyle name="Normal 9 3 2 2 2 6" xfId="2676" xr:uid="{00000000-0005-0000-0000-0000BD1F0000}"/>
    <cellStyle name="Normal 9 3 2 2 2 6 2" xfId="6960" xr:uid="{00000000-0005-0000-0000-0000BE1F0000}"/>
    <cellStyle name="Normal 9 3 2 2 2 6 2 2" xfId="15402" xr:uid="{7A72D15C-EEB5-4497-BD75-DEE8E30A569C}"/>
    <cellStyle name="Normal 9 3 2 2 2 6 2 3" xfId="23837" xr:uid="{01FAC8B0-5566-4784-8F1F-38F283280FCC}"/>
    <cellStyle name="Normal 9 3 2 2 2 6 3" xfId="11184" xr:uid="{3DD65192-258E-49A5-B7FD-A49C1E2B59AB}"/>
    <cellStyle name="Normal 9 3 2 2 2 6 4" xfId="19620" xr:uid="{7B9AEBD8-F20B-4C64-B4EF-7C11425DE21E}"/>
    <cellStyle name="Normal 9 3 2 2 2 7" xfId="4895" xr:uid="{00000000-0005-0000-0000-0000BF1F0000}"/>
    <cellStyle name="Normal 9 3 2 2 2 7 2" xfId="13337" xr:uid="{7684C8A4-A184-4559-B52B-C8D32328282B}"/>
    <cellStyle name="Normal 9 3 2 2 2 7 3" xfId="21772" xr:uid="{3046718F-99AD-466C-9430-7466F22AE10C}"/>
    <cellStyle name="Normal 9 3 2 2 2 8" xfId="9119" xr:uid="{59FBF29F-3C1B-4DBB-BFF2-8066081FAA6B}"/>
    <cellStyle name="Normal 9 3 2 2 2 9" xfId="17555" xr:uid="{556F8D08-FCEC-4DC9-94B3-6E88CF6A599F}"/>
    <cellStyle name="Normal 9 3 2 2 3" xfId="996" xr:uid="{00000000-0005-0000-0000-0000C01F0000}"/>
    <cellStyle name="Normal 9 3 2 2 3 2" xfId="3229" xr:uid="{00000000-0005-0000-0000-0000C11F0000}"/>
    <cellStyle name="Normal 9 3 2 2 3 2 2" xfId="7452" xr:uid="{00000000-0005-0000-0000-0000C21F0000}"/>
    <cellStyle name="Normal 9 3 2 2 3 2 2 2" xfId="15894" xr:uid="{67442537-ECFB-438D-8210-68F0A05FB8C5}"/>
    <cellStyle name="Normal 9 3 2 2 3 2 2 3" xfId="24329" xr:uid="{CDFEEF39-9F45-4898-A217-13101AB49819}"/>
    <cellStyle name="Normal 9 3 2 2 3 2 3" xfId="11676" xr:uid="{953F31BD-D192-40D5-ADE8-22E737928736}"/>
    <cellStyle name="Normal 9 3 2 2 3 2 4" xfId="20112" xr:uid="{21B0068B-FC8E-418C-B9E8-F54CC4AAC1C2}"/>
    <cellStyle name="Normal 9 3 2 2 3 3" xfId="5307" xr:uid="{00000000-0005-0000-0000-0000C31F0000}"/>
    <cellStyle name="Normal 9 3 2 2 3 3 2" xfId="13749" xr:uid="{35BAB221-0F2F-4E36-8215-DD19CE08D25F}"/>
    <cellStyle name="Normal 9 3 2 2 3 3 3" xfId="22184" xr:uid="{A08A8457-6FA7-4558-95DF-267748BFA010}"/>
    <cellStyle name="Normal 9 3 2 2 3 4" xfId="9531" xr:uid="{C98189EC-32E0-4EED-A03B-1891772C2E0C}"/>
    <cellStyle name="Normal 9 3 2 2 3 5" xfId="17967" xr:uid="{0BEFEA59-4D0B-4704-96FD-F020793D13D5}"/>
    <cellStyle name="Normal 9 3 2 2 4" xfId="1412" xr:uid="{00000000-0005-0000-0000-0000C41F0000}"/>
    <cellStyle name="Normal 9 3 2 2 4 2" xfId="3642" xr:uid="{00000000-0005-0000-0000-0000C51F0000}"/>
    <cellStyle name="Normal 9 3 2 2 4 2 2" xfId="7865" xr:uid="{00000000-0005-0000-0000-0000C61F0000}"/>
    <cellStyle name="Normal 9 3 2 2 4 2 2 2" xfId="16307" xr:uid="{3B17297A-073C-4584-93E2-267EB8AB9D49}"/>
    <cellStyle name="Normal 9 3 2 2 4 2 2 3" xfId="24742" xr:uid="{A301A449-B2AC-46ED-88C5-BDA017D4D0CB}"/>
    <cellStyle name="Normal 9 3 2 2 4 2 3" xfId="12089" xr:uid="{C905C557-0EB3-4278-B4E7-9CFE985BDAEE}"/>
    <cellStyle name="Normal 9 3 2 2 4 2 4" xfId="20525" xr:uid="{A34F12E7-D4BD-422F-95C4-9D703B13B772}"/>
    <cellStyle name="Normal 9 3 2 2 4 3" xfId="5720" xr:uid="{00000000-0005-0000-0000-0000C71F0000}"/>
    <cellStyle name="Normal 9 3 2 2 4 3 2" xfId="14162" xr:uid="{D5BECCC8-2F05-4ECC-956E-ED75C79518E5}"/>
    <cellStyle name="Normal 9 3 2 2 4 3 3" xfId="22597" xr:uid="{43B785D7-55B3-48FD-91A3-0C113231F479}"/>
    <cellStyle name="Normal 9 3 2 2 4 4" xfId="9944" xr:uid="{B09FF587-57A2-4E41-AB0C-67155C6E8271}"/>
    <cellStyle name="Normal 9 3 2 2 4 5" xfId="18380" xr:uid="{72D42948-0F36-4F68-B3E1-1BD8E7FC5F5A}"/>
    <cellStyle name="Normal 9 3 2 2 5" xfId="1825" xr:uid="{00000000-0005-0000-0000-0000C81F0000}"/>
    <cellStyle name="Normal 9 3 2 2 5 2" xfId="4055" xr:uid="{00000000-0005-0000-0000-0000C91F0000}"/>
    <cellStyle name="Normal 9 3 2 2 5 2 2" xfId="8278" xr:uid="{00000000-0005-0000-0000-0000CA1F0000}"/>
    <cellStyle name="Normal 9 3 2 2 5 2 2 2" xfId="16720" xr:uid="{FE18404E-43BE-4E71-8FF3-31AC97164171}"/>
    <cellStyle name="Normal 9 3 2 2 5 2 2 3" xfId="25155" xr:uid="{25D59F29-3547-47AB-9748-BA5D9AD68964}"/>
    <cellStyle name="Normal 9 3 2 2 5 2 3" xfId="12502" xr:uid="{67A35F6D-7D5D-4BAE-8D58-48168D36DCF8}"/>
    <cellStyle name="Normal 9 3 2 2 5 2 4" xfId="20938" xr:uid="{49463E92-9106-4341-A420-2DF8E421F031}"/>
    <cellStyle name="Normal 9 3 2 2 5 3" xfId="6133" xr:uid="{00000000-0005-0000-0000-0000CB1F0000}"/>
    <cellStyle name="Normal 9 3 2 2 5 3 2" xfId="14575" xr:uid="{E3EB0452-9221-4E18-B03F-5D64039B99C5}"/>
    <cellStyle name="Normal 9 3 2 2 5 3 3" xfId="23010" xr:uid="{9D159513-2D31-4FA2-8531-732B9CF4F7A4}"/>
    <cellStyle name="Normal 9 3 2 2 5 4" xfId="10357" xr:uid="{B60247BE-BD88-468E-9EAD-42DD31E3958F}"/>
    <cellStyle name="Normal 9 3 2 2 5 5" xfId="18793" xr:uid="{B14AE706-AF16-45CD-B88D-27E7B493D316}"/>
    <cellStyle name="Normal 9 3 2 2 6" xfId="2239" xr:uid="{00000000-0005-0000-0000-0000CC1F0000}"/>
    <cellStyle name="Normal 9 3 2 2 6 2" xfId="4468" xr:uid="{00000000-0005-0000-0000-0000CD1F0000}"/>
    <cellStyle name="Normal 9 3 2 2 6 2 2" xfId="8691" xr:uid="{00000000-0005-0000-0000-0000CE1F0000}"/>
    <cellStyle name="Normal 9 3 2 2 6 2 2 2" xfId="17133" xr:uid="{BBEECC8A-CECA-4D01-9F22-E7F34D1EE9BE}"/>
    <cellStyle name="Normal 9 3 2 2 6 2 2 3" xfId="25568" xr:uid="{362B6DE7-9BA9-4F80-856B-AAD72F82FC81}"/>
    <cellStyle name="Normal 9 3 2 2 6 2 3" xfId="12915" xr:uid="{77A0B457-C0CC-4003-BC03-59814073147C}"/>
    <cellStyle name="Normal 9 3 2 2 6 2 4" xfId="21351" xr:uid="{BA3A54EC-F789-48A6-96EB-F2291EAE487E}"/>
    <cellStyle name="Normal 9 3 2 2 6 3" xfId="6546" xr:uid="{00000000-0005-0000-0000-0000CF1F0000}"/>
    <cellStyle name="Normal 9 3 2 2 6 3 2" xfId="14988" xr:uid="{50D758C6-D2A3-4000-BE8E-C192AB709DB7}"/>
    <cellStyle name="Normal 9 3 2 2 6 3 3" xfId="23423" xr:uid="{88D1A7F7-5191-4613-AF09-C2EA1D8C3ED3}"/>
    <cellStyle name="Normal 9 3 2 2 6 4" xfId="10770" xr:uid="{D91A25D9-57CE-4B47-AD75-86D5EF0E3778}"/>
    <cellStyle name="Normal 9 3 2 2 6 5" xfId="19206" xr:uid="{2D1FB82F-A920-43B6-AE18-F2A6CFBB4355}"/>
    <cellStyle name="Normal 9 3 2 2 7" xfId="2675" xr:uid="{00000000-0005-0000-0000-0000D01F0000}"/>
    <cellStyle name="Normal 9 3 2 2 7 2" xfId="6959" xr:uid="{00000000-0005-0000-0000-0000D11F0000}"/>
    <cellStyle name="Normal 9 3 2 2 7 2 2" xfId="15401" xr:uid="{ACC06CA3-6CB9-4515-9994-0F350141588F}"/>
    <cellStyle name="Normal 9 3 2 2 7 2 3" xfId="23836" xr:uid="{727BF1AE-3715-49E4-B311-0EA1250445BD}"/>
    <cellStyle name="Normal 9 3 2 2 7 3" xfId="11183" xr:uid="{25CE3C38-9394-4343-85F6-F1B91B384E83}"/>
    <cellStyle name="Normal 9 3 2 2 7 4" xfId="19619" xr:uid="{821FABC2-F771-4380-80B1-E73B3B742879}"/>
    <cellStyle name="Normal 9 3 2 2 8" xfId="4894" xr:uid="{00000000-0005-0000-0000-0000D21F0000}"/>
    <cellStyle name="Normal 9 3 2 2 8 2" xfId="13336" xr:uid="{52CA3A69-EA93-4542-9076-9695F2F9AA5C}"/>
    <cellStyle name="Normal 9 3 2 2 8 3" xfId="21771" xr:uid="{FA6F3D13-7F9D-4319-B16D-BF8C0390B4E3}"/>
    <cellStyle name="Normal 9 3 2 2 9" xfId="9118" xr:uid="{2015F94A-2CAB-4E25-AE4E-08CE197A4FFB}"/>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2 2 2" xfId="15896" xr:uid="{353EBC1E-D336-4249-9593-CB9F345B9192}"/>
    <cellStyle name="Normal 9 3 2 3 2 2 2 3" xfId="24331" xr:uid="{9668FFA8-E20B-4D6D-9DDD-9EB294676471}"/>
    <cellStyle name="Normal 9 3 2 3 2 2 3" xfId="11678" xr:uid="{0F96E56C-C11F-461E-A3E3-B5CCBF004E6A}"/>
    <cellStyle name="Normal 9 3 2 3 2 2 4" xfId="20114" xr:uid="{24B51CCD-2564-4F0E-814B-7A8FEE6910A5}"/>
    <cellStyle name="Normal 9 3 2 3 2 3" xfId="5309" xr:uid="{00000000-0005-0000-0000-0000D71F0000}"/>
    <cellStyle name="Normal 9 3 2 3 2 3 2" xfId="13751" xr:uid="{0CE67AD3-0138-4B3C-9712-344A615D9874}"/>
    <cellStyle name="Normal 9 3 2 3 2 3 3" xfId="22186" xr:uid="{EA449AD6-8D58-4279-B4D0-1F1E2957E58F}"/>
    <cellStyle name="Normal 9 3 2 3 2 4" xfId="9533" xr:uid="{C152B5C4-339E-4313-80AF-55AF91D60AE0}"/>
    <cellStyle name="Normal 9 3 2 3 2 5" xfId="17969" xr:uid="{28A77567-B18D-4CBE-8EA5-E3CDAFF8F8BD}"/>
    <cellStyle name="Normal 9 3 2 3 3" xfId="1414" xr:uid="{00000000-0005-0000-0000-0000D81F0000}"/>
    <cellStyle name="Normal 9 3 2 3 3 2" xfId="3644" xr:uid="{00000000-0005-0000-0000-0000D91F0000}"/>
    <cellStyle name="Normal 9 3 2 3 3 2 2" xfId="7867" xr:uid="{00000000-0005-0000-0000-0000DA1F0000}"/>
    <cellStyle name="Normal 9 3 2 3 3 2 2 2" xfId="16309" xr:uid="{095C8AD7-2D26-49D6-9696-14EAC2227F62}"/>
    <cellStyle name="Normal 9 3 2 3 3 2 2 3" xfId="24744" xr:uid="{E39C17A2-160A-47D6-B494-9C8F7B8ACA73}"/>
    <cellStyle name="Normal 9 3 2 3 3 2 3" xfId="12091" xr:uid="{A532A691-1DEA-488B-AE32-035C979621AA}"/>
    <cellStyle name="Normal 9 3 2 3 3 2 4" xfId="20527" xr:uid="{982342BE-FB3A-4BD3-BE5E-CC8C867605D8}"/>
    <cellStyle name="Normal 9 3 2 3 3 3" xfId="5722" xr:uid="{00000000-0005-0000-0000-0000DB1F0000}"/>
    <cellStyle name="Normal 9 3 2 3 3 3 2" xfId="14164" xr:uid="{8842DD5C-5B62-432A-A4E0-ADC7659C38F6}"/>
    <cellStyle name="Normal 9 3 2 3 3 3 3" xfId="22599" xr:uid="{2C9BCED2-5791-4C37-9FBF-6424EFB1867A}"/>
    <cellStyle name="Normal 9 3 2 3 3 4" xfId="9946" xr:uid="{E86E6273-F176-4065-A1BE-BC08576E633B}"/>
    <cellStyle name="Normal 9 3 2 3 3 5" xfId="18382" xr:uid="{3CF6FAE7-FC94-48B3-8828-A0F69825ABD1}"/>
    <cellStyle name="Normal 9 3 2 3 4" xfId="1827" xr:uid="{00000000-0005-0000-0000-0000DC1F0000}"/>
    <cellStyle name="Normal 9 3 2 3 4 2" xfId="4057" xr:uid="{00000000-0005-0000-0000-0000DD1F0000}"/>
    <cellStyle name="Normal 9 3 2 3 4 2 2" xfId="8280" xr:uid="{00000000-0005-0000-0000-0000DE1F0000}"/>
    <cellStyle name="Normal 9 3 2 3 4 2 2 2" xfId="16722" xr:uid="{2B79CAAE-5D33-441E-8836-55ECA0B0A6A1}"/>
    <cellStyle name="Normal 9 3 2 3 4 2 2 3" xfId="25157" xr:uid="{0EB786CD-4409-44B2-B753-5A2B3ED2D749}"/>
    <cellStyle name="Normal 9 3 2 3 4 2 3" xfId="12504" xr:uid="{B2EAC75D-7D4B-4908-AD7D-E9D512C50FE4}"/>
    <cellStyle name="Normal 9 3 2 3 4 2 4" xfId="20940" xr:uid="{51A61271-ABE0-4B6B-B622-7603E7364C9B}"/>
    <cellStyle name="Normal 9 3 2 3 4 3" xfId="6135" xr:uid="{00000000-0005-0000-0000-0000DF1F0000}"/>
    <cellStyle name="Normal 9 3 2 3 4 3 2" xfId="14577" xr:uid="{9469C3FB-F97D-4FB1-AB74-A002CD5040E7}"/>
    <cellStyle name="Normal 9 3 2 3 4 3 3" xfId="23012" xr:uid="{6330A9F5-23EE-4016-9F21-D32C682B2BE6}"/>
    <cellStyle name="Normal 9 3 2 3 4 4" xfId="10359" xr:uid="{DC52261F-CD03-462C-982D-C5AE2196DBC3}"/>
    <cellStyle name="Normal 9 3 2 3 4 5" xfId="18795" xr:uid="{D43AF6DA-0DE8-4059-9AEF-7C4FC7140520}"/>
    <cellStyle name="Normal 9 3 2 3 5" xfId="2241" xr:uid="{00000000-0005-0000-0000-0000E01F0000}"/>
    <cellStyle name="Normal 9 3 2 3 5 2" xfId="4470" xr:uid="{00000000-0005-0000-0000-0000E11F0000}"/>
    <cellStyle name="Normal 9 3 2 3 5 2 2" xfId="8693" xr:uid="{00000000-0005-0000-0000-0000E21F0000}"/>
    <cellStyle name="Normal 9 3 2 3 5 2 2 2" xfId="17135" xr:uid="{836CCB2B-E3A3-440C-A466-953955845FFD}"/>
    <cellStyle name="Normal 9 3 2 3 5 2 2 3" xfId="25570" xr:uid="{03265A6B-55DA-4C13-9CED-EC12FF489F4A}"/>
    <cellStyle name="Normal 9 3 2 3 5 2 3" xfId="12917" xr:uid="{5B66B272-978D-4E80-B0B6-1731D9EB7808}"/>
    <cellStyle name="Normal 9 3 2 3 5 2 4" xfId="21353" xr:uid="{3C58DDB2-4E2B-4B48-B1A0-39CFE1DD3CCE}"/>
    <cellStyle name="Normal 9 3 2 3 5 3" xfId="6548" xr:uid="{00000000-0005-0000-0000-0000E31F0000}"/>
    <cellStyle name="Normal 9 3 2 3 5 3 2" xfId="14990" xr:uid="{762E226F-B7F6-46B8-A846-A436918A5970}"/>
    <cellStyle name="Normal 9 3 2 3 5 3 3" xfId="23425" xr:uid="{784B8E9E-C18F-4E44-A0BF-FF0104EACD3F}"/>
    <cellStyle name="Normal 9 3 2 3 5 4" xfId="10772" xr:uid="{F85FFBFD-805C-41C3-BBEB-125D44E4E1AB}"/>
    <cellStyle name="Normal 9 3 2 3 5 5" xfId="19208" xr:uid="{6DA2850D-E71D-42FB-A3D2-FC26869A87BD}"/>
    <cellStyle name="Normal 9 3 2 3 6" xfId="2677" xr:uid="{00000000-0005-0000-0000-0000E41F0000}"/>
    <cellStyle name="Normal 9 3 2 3 6 2" xfId="6961" xr:uid="{00000000-0005-0000-0000-0000E51F0000}"/>
    <cellStyle name="Normal 9 3 2 3 6 2 2" xfId="15403" xr:uid="{E1935476-DD79-4D71-B29B-E35CE34C7D48}"/>
    <cellStyle name="Normal 9 3 2 3 6 2 3" xfId="23838" xr:uid="{C2D6FB9E-808F-4188-8946-80594C3BC6B7}"/>
    <cellStyle name="Normal 9 3 2 3 6 3" xfId="11185" xr:uid="{0A78AD7E-7635-4666-B962-0B07429F2E4F}"/>
    <cellStyle name="Normal 9 3 2 3 6 4" xfId="19621" xr:uid="{2382D3A1-F9FA-4ABE-80E5-48CE0982E149}"/>
    <cellStyle name="Normal 9 3 2 3 7" xfId="4896" xr:uid="{00000000-0005-0000-0000-0000E61F0000}"/>
    <cellStyle name="Normal 9 3 2 3 7 2" xfId="13338" xr:uid="{DDCF9266-987A-4C52-AC2B-13522275EF68}"/>
    <cellStyle name="Normal 9 3 2 3 7 3" xfId="21773" xr:uid="{CDC0ED2E-376B-4C5C-86AC-0B1A67540B4C}"/>
    <cellStyle name="Normal 9 3 2 3 8" xfId="9120" xr:uid="{985383C2-1109-4B00-A7C1-25A1309B27F6}"/>
    <cellStyle name="Normal 9 3 2 3 9" xfId="17556" xr:uid="{6F1055A8-A8B1-4D25-8E1B-FE2AC6B2C4DE}"/>
    <cellStyle name="Normal 9 3 2 4" xfId="995" xr:uid="{00000000-0005-0000-0000-0000E71F0000}"/>
    <cellStyle name="Normal 9 3 2 4 2" xfId="3228" xr:uid="{00000000-0005-0000-0000-0000E81F0000}"/>
    <cellStyle name="Normal 9 3 2 4 2 2" xfId="7451" xr:uid="{00000000-0005-0000-0000-0000E91F0000}"/>
    <cellStyle name="Normal 9 3 2 4 2 2 2" xfId="15893" xr:uid="{A74AB972-6BAF-4279-B4F0-15BF5F5F91C3}"/>
    <cellStyle name="Normal 9 3 2 4 2 2 3" xfId="24328" xr:uid="{507A8963-F450-41E2-86D9-21A167DDAAEA}"/>
    <cellStyle name="Normal 9 3 2 4 2 3" xfId="11675" xr:uid="{022F3F7D-39FC-406D-9097-0610F6E865DA}"/>
    <cellStyle name="Normal 9 3 2 4 2 4" xfId="20111" xr:uid="{F6966C03-8AB7-4191-A6B6-CC79B676EF18}"/>
    <cellStyle name="Normal 9 3 2 4 3" xfId="5306" xr:uid="{00000000-0005-0000-0000-0000EA1F0000}"/>
    <cellStyle name="Normal 9 3 2 4 3 2" xfId="13748" xr:uid="{4CFD9A60-646C-4AFC-9511-F708A158F919}"/>
    <cellStyle name="Normal 9 3 2 4 3 3" xfId="22183" xr:uid="{1567DCAA-A9E7-4816-9775-6ABA48EDCC73}"/>
    <cellStyle name="Normal 9 3 2 4 4" xfId="9530" xr:uid="{9F57C6EF-DE1D-4F77-8B74-67EA70B1374F}"/>
    <cellStyle name="Normal 9 3 2 4 5" xfId="17966" xr:uid="{4C03F9D8-6861-42CA-A12F-EEA29E82C822}"/>
    <cellStyle name="Normal 9 3 2 5" xfId="1411" xr:uid="{00000000-0005-0000-0000-0000EB1F0000}"/>
    <cellStyle name="Normal 9 3 2 5 2" xfId="3641" xr:uid="{00000000-0005-0000-0000-0000EC1F0000}"/>
    <cellStyle name="Normal 9 3 2 5 2 2" xfId="7864" xr:uid="{00000000-0005-0000-0000-0000ED1F0000}"/>
    <cellStyle name="Normal 9 3 2 5 2 2 2" xfId="16306" xr:uid="{A7EE3607-379E-4EAE-8764-2AF6FEBF5D67}"/>
    <cellStyle name="Normal 9 3 2 5 2 2 3" xfId="24741" xr:uid="{06663310-6882-4FD4-9F48-49B4B43DB1B8}"/>
    <cellStyle name="Normal 9 3 2 5 2 3" xfId="12088" xr:uid="{62FFEA06-7872-4391-98D8-5783DD02672A}"/>
    <cellStyle name="Normal 9 3 2 5 2 4" xfId="20524" xr:uid="{00B960A6-83D6-48FF-980C-08E82100C932}"/>
    <cellStyle name="Normal 9 3 2 5 3" xfId="5719" xr:uid="{00000000-0005-0000-0000-0000EE1F0000}"/>
    <cellStyle name="Normal 9 3 2 5 3 2" xfId="14161" xr:uid="{6CD3CC43-85DB-45D7-8E09-B4DA4667C998}"/>
    <cellStyle name="Normal 9 3 2 5 3 3" xfId="22596" xr:uid="{DBEE0287-7DFA-42F6-A031-44F6CB93F28C}"/>
    <cellStyle name="Normal 9 3 2 5 4" xfId="9943" xr:uid="{365FEAD7-B0B9-4181-A086-71E8E34D53F8}"/>
    <cellStyle name="Normal 9 3 2 5 5" xfId="18379" xr:uid="{0C613C66-D434-47B5-A103-794FC0C1CA79}"/>
    <cellStyle name="Normal 9 3 2 6" xfId="1824" xr:uid="{00000000-0005-0000-0000-0000EF1F0000}"/>
    <cellStyle name="Normal 9 3 2 6 2" xfId="4054" xr:uid="{00000000-0005-0000-0000-0000F01F0000}"/>
    <cellStyle name="Normal 9 3 2 6 2 2" xfId="8277" xr:uid="{00000000-0005-0000-0000-0000F11F0000}"/>
    <cellStyle name="Normal 9 3 2 6 2 2 2" xfId="16719" xr:uid="{0BFD05CA-11E6-4F0E-81F4-681E7EA8F12B}"/>
    <cellStyle name="Normal 9 3 2 6 2 2 3" xfId="25154" xr:uid="{C2AE5178-4CAF-4886-87CA-409D658E4B77}"/>
    <cellStyle name="Normal 9 3 2 6 2 3" xfId="12501" xr:uid="{B9BF3B5B-521A-47F7-8C47-3DBC69BAC5E0}"/>
    <cellStyle name="Normal 9 3 2 6 2 4" xfId="20937" xr:uid="{C0932A0E-28DB-4A4F-B8DA-499F7F57EB83}"/>
    <cellStyle name="Normal 9 3 2 6 3" xfId="6132" xr:uid="{00000000-0005-0000-0000-0000F21F0000}"/>
    <cellStyle name="Normal 9 3 2 6 3 2" xfId="14574" xr:uid="{6209ED6D-9E51-472B-BBD0-47757E58FC6F}"/>
    <cellStyle name="Normal 9 3 2 6 3 3" xfId="23009" xr:uid="{8B13BB11-5FD2-47DF-9166-4A9026D315BE}"/>
    <cellStyle name="Normal 9 3 2 6 4" xfId="10356" xr:uid="{35896919-7356-42C7-A691-22DC78AB3666}"/>
    <cellStyle name="Normal 9 3 2 6 5" xfId="18792" xr:uid="{ECF17B37-3B42-486C-AB2A-B768ED5EA4BE}"/>
    <cellStyle name="Normal 9 3 2 7" xfId="2238" xr:uid="{00000000-0005-0000-0000-0000F31F0000}"/>
    <cellStyle name="Normal 9 3 2 7 2" xfId="4467" xr:uid="{00000000-0005-0000-0000-0000F41F0000}"/>
    <cellStyle name="Normal 9 3 2 7 2 2" xfId="8690" xr:uid="{00000000-0005-0000-0000-0000F51F0000}"/>
    <cellStyle name="Normal 9 3 2 7 2 2 2" xfId="17132" xr:uid="{383B307D-4B53-4F8D-847D-6E2B8CD8B373}"/>
    <cellStyle name="Normal 9 3 2 7 2 2 3" xfId="25567" xr:uid="{469273F5-5F94-4F5F-A6C4-18905D4DBB54}"/>
    <cellStyle name="Normal 9 3 2 7 2 3" xfId="12914" xr:uid="{C6A3B36C-4CEE-4FB0-880F-02C1DC4E3384}"/>
    <cellStyle name="Normal 9 3 2 7 2 4" xfId="21350" xr:uid="{CE9DF54D-80BA-4447-B250-3D9348D22927}"/>
    <cellStyle name="Normal 9 3 2 7 3" xfId="6545" xr:uid="{00000000-0005-0000-0000-0000F61F0000}"/>
    <cellStyle name="Normal 9 3 2 7 3 2" xfId="14987" xr:uid="{444D6CE8-6810-4285-B32F-692712383149}"/>
    <cellStyle name="Normal 9 3 2 7 3 3" xfId="23422" xr:uid="{39407625-5AD1-45F4-A001-F73F18889622}"/>
    <cellStyle name="Normal 9 3 2 7 4" xfId="10769" xr:uid="{078DD154-9F2E-4888-9637-F60629086A65}"/>
    <cellStyle name="Normal 9 3 2 7 5" xfId="19205" xr:uid="{AA06FF2D-A61E-4CF3-808A-DDDC26F2FFFB}"/>
    <cellStyle name="Normal 9 3 2 8" xfId="2674" xr:uid="{00000000-0005-0000-0000-0000F71F0000}"/>
    <cellStyle name="Normal 9 3 2 8 2" xfId="6958" xr:uid="{00000000-0005-0000-0000-0000F81F0000}"/>
    <cellStyle name="Normal 9 3 2 8 2 2" xfId="15400" xr:uid="{3021153E-3117-433B-9BD1-D58A0A8D6D3C}"/>
    <cellStyle name="Normal 9 3 2 8 2 3" xfId="23835" xr:uid="{3E5A48A1-7E97-4C5C-9859-55E645294C68}"/>
    <cellStyle name="Normal 9 3 2 8 3" xfId="11182" xr:uid="{FBA8E953-C39C-4CB7-BCD3-6BD45AA3D4AB}"/>
    <cellStyle name="Normal 9 3 2 8 4" xfId="19618" xr:uid="{9C308BD4-C13D-434A-8862-9BF822228C46}"/>
    <cellStyle name="Normal 9 3 2 9" xfId="4893" xr:uid="{00000000-0005-0000-0000-0000F91F0000}"/>
    <cellStyle name="Normal 9 3 2 9 2" xfId="13335" xr:uid="{A72D6DDE-A5D4-43D8-AE26-912308A5797F}"/>
    <cellStyle name="Normal 9 3 2 9 3" xfId="21770" xr:uid="{378EF6A0-CBF5-4398-8E8B-A4700EF04561}"/>
    <cellStyle name="Normal 9 3 3" xfId="532" xr:uid="{00000000-0005-0000-0000-0000FA1F0000}"/>
    <cellStyle name="Normal 9 3 3 10" xfId="17557" xr:uid="{68ED49CA-4C03-4F7B-BCC9-2852E6AEB88E}"/>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2 2 2" xfId="15898" xr:uid="{5A6AE1B4-09DE-4A10-90F9-69E604F63CAA}"/>
    <cellStyle name="Normal 9 3 3 2 2 2 2 3" xfId="24333" xr:uid="{7161547D-4A50-46F3-8E59-66B09EF87E08}"/>
    <cellStyle name="Normal 9 3 3 2 2 2 3" xfId="11680" xr:uid="{61134DDF-F259-4625-AAB9-99A7D883657E}"/>
    <cellStyle name="Normal 9 3 3 2 2 2 4" xfId="20116" xr:uid="{D40CF31C-A014-4BDE-9CD1-36094152C16A}"/>
    <cellStyle name="Normal 9 3 3 2 2 3" xfId="5311" xr:uid="{00000000-0005-0000-0000-0000FF1F0000}"/>
    <cellStyle name="Normal 9 3 3 2 2 3 2" xfId="13753" xr:uid="{2AA6F4B7-9612-4A2A-AFB4-EA9D6CF53B05}"/>
    <cellStyle name="Normal 9 3 3 2 2 3 3" xfId="22188" xr:uid="{FC51A5A3-E762-4D81-A451-D37B355F8A7B}"/>
    <cellStyle name="Normal 9 3 3 2 2 4" xfId="9535" xr:uid="{0F8C8F45-D537-481E-B8E2-A998D47DCA84}"/>
    <cellStyle name="Normal 9 3 3 2 2 5" xfId="17971" xr:uid="{9896345F-4DED-46AF-88B6-0817FC9336A3}"/>
    <cellStyle name="Normal 9 3 3 2 3" xfId="1416" xr:uid="{00000000-0005-0000-0000-000000200000}"/>
    <cellStyle name="Normal 9 3 3 2 3 2" xfId="3646" xr:uid="{00000000-0005-0000-0000-000001200000}"/>
    <cellStyle name="Normal 9 3 3 2 3 2 2" xfId="7869" xr:uid="{00000000-0005-0000-0000-000002200000}"/>
    <cellStyle name="Normal 9 3 3 2 3 2 2 2" xfId="16311" xr:uid="{1D674083-2185-4964-BC19-3D534D9337AD}"/>
    <cellStyle name="Normal 9 3 3 2 3 2 2 3" xfId="24746" xr:uid="{FC886983-E56B-4AC8-8C10-910E70E3D355}"/>
    <cellStyle name="Normal 9 3 3 2 3 2 3" xfId="12093" xr:uid="{866D0AC9-69CF-40FA-A422-58B069627248}"/>
    <cellStyle name="Normal 9 3 3 2 3 2 4" xfId="20529" xr:uid="{CA092155-BC1C-4978-AFEA-885CFDD54F34}"/>
    <cellStyle name="Normal 9 3 3 2 3 3" xfId="5724" xr:uid="{00000000-0005-0000-0000-000003200000}"/>
    <cellStyle name="Normal 9 3 3 2 3 3 2" xfId="14166" xr:uid="{954ACD2E-7C87-4D33-B34A-0CEC4CB4A310}"/>
    <cellStyle name="Normal 9 3 3 2 3 3 3" xfId="22601" xr:uid="{B98ACFB1-6BBB-46EF-B3D4-A0BDFBB69E3A}"/>
    <cellStyle name="Normal 9 3 3 2 3 4" xfId="9948" xr:uid="{F3A4E9AA-7076-4B47-A9AB-3E2C7B17F277}"/>
    <cellStyle name="Normal 9 3 3 2 3 5" xfId="18384" xr:uid="{68898391-2D93-46B7-8EBF-02B0E2F1B654}"/>
    <cellStyle name="Normal 9 3 3 2 4" xfId="1829" xr:uid="{00000000-0005-0000-0000-000004200000}"/>
    <cellStyle name="Normal 9 3 3 2 4 2" xfId="4059" xr:uid="{00000000-0005-0000-0000-000005200000}"/>
    <cellStyle name="Normal 9 3 3 2 4 2 2" xfId="8282" xr:uid="{00000000-0005-0000-0000-000006200000}"/>
    <cellStyle name="Normal 9 3 3 2 4 2 2 2" xfId="16724" xr:uid="{37751AB9-FC58-4C0D-8FEB-015E5B9BFD22}"/>
    <cellStyle name="Normal 9 3 3 2 4 2 2 3" xfId="25159" xr:uid="{F7863FC5-99FF-4EB2-82FE-D3A8FE33BA12}"/>
    <cellStyle name="Normal 9 3 3 2 4 2 3" xfId="12506" xr:uid="{26847CE0-B68C-4790-A169-A76FEAE38247}"/>
    <cellStyle name="Normal 9 3 3 2 4 2 4" xfId="20942" xr:uid="{A4ED594F-F97B-4755-BDDF-4F57C7E2A0EB}"/>
    <cellStyle name="Normal 9 3 3 2 4 3" xfId="6137" xr:uid="{00000000-0005-0000-0000-000007200000}"/>
    <cellStyle name="Normal 9 3 3 2 4 3 2" xfId="14579" xr:uid="{1AE276EB-704B-4E4D-AD1C-FC81DB5CA338}"/>
    <cellStyle name="Normal 9 3 3 2 4 3 3" xfId="23014" xr:uid="{2CA1D5B1-89DE-418F-A992-0DD756D64347}"/>
    <cellStyle name="Normal 9 3 3 2 4 4" xfId="10361" xr:uid="{49B6C78C-A99B-4937-A4B3-F0A2212A2F50}"/>
    <cellStyle name="Normal 9 3 3 2 4 5" xfId="18797" xr:uid="{D042E27E-DEDE-4EEB-9F40-0582DE5E8C19}"/>
    <cellStyle name="Normal 9 3 3 2 5" xfId="2243" xr:uid="{00000000-0005-0000-0000-000008200000}"/>
    <cellStyle name="Normal 9 3 3 2 5 2" xfId="4472" xr:uid="{00000000-0005-0000-0000-000009200000}"/>
    <cellStyle name="Normal 9 3 3 2 5 2 2" xfId="8695" xr:uid="{00000000-0005-0000-0000-00000A200000}"/>
    <cellStyle name="Normal 9 3 3 2 5 2 2 2" xfId="17137" xr:uid="{E571974B-D037-4C08-A7B8-5CC53B49800D}"/>
    <cellStyle name="Normal 9 3 3 2 5 2 2 3" xfId="25572" xr:uid="{1DACFED6-ACAF-4C24-A2E0-589E7C035AE9}"/>
    <cellStyle name="Normal 9 3 3 2 5 2 3" xfId="12919" xr:uid="{88332E73-CDDB-43C4-86C5-80607795FE45}"/>
    <cellStyle name="Normal 9 3 3 2 5 2 4" xfId="21355" xr:uid="{53888169-EDE9-4009-BF3A-C75B65A6DA27}"/>
    <cellStyle name="Normal 9 3 3 2 5 3" xfId="6550" xr:uid="{00000000-0005-0000-0000-00000B200000}"/>
    <cellStyle name="Normal 9 3 3 2 5 3 2" xfId="14992" xr:uid="{9DB7DD2A-181D-45C9-BB00-E2B18471DB25}"/>
    <cellStyle name="Normal 9 3 3 2 5 3 3" xfId="23427" xr:uid="{18D7308F-2ED8-407F-843B-BE3AAD032ECF}"/>
    <cellStyle name="Normal 9 3 3 2 5 4" xfId="10774" xr:uid="{668F4677-2B50-4D74-A570-EDD2B817E5CF}"/>
    <cellStyle name="Normal 9 3 3 2 5 5" xfId="19210" xr:uid="{433A6181-62A5-4D42-9189-FA39DEC75A73}"/>
    <cellStyle name="Normal 9 3 3 2 6" xfId="2679" xr:uid="{00000000-0005-0000-0000-00000C200000}"/>
    <cellStyle name="Normal 9 3 3 2 6 2" xfId="6963" xr:uid="{00000000-0005-0000-0000-00000D200000}"/>
    <cellStyle name="Normal 9 3 3 2 6 2 2" xfId="15405" xr:uid="{B4C4E0D6-3180-4C6D-A96F-E24AE2E2031F}"/>
    <cellStyle name="Normal 9 3 3 2 6 2 3" xfId="23840" xr:uid="{89CE2F3E-7D0C-46AF-A35A-73663C5B6092}"/>
    <cellStyle name="Normal 9 3 3 2 6 3" xfId="11187" xr:uid="{2C553E0F-9954-49DE-BA60-354AE12467C4}"/>
    <cellStyle name="Normal 9 3 3 2 6 4" xfId="19623" xr:uid="{56BB399E-729D-4A49-933C-59F0E7E58AB8}"/>
    <cellStyle name="Normal 9 3 3 2 7" xfId="4898" xr:uid="{00000000-0005-0000-0000-00000E200000}"/>
    <cellStyle name="Normal 9 3 3 2 7 2" xfId="13340" xr:uid="{BB03A4DC-C980-49FF-AA25-4EE56B37A02C}"/>
    <cellStyle name="Normal 9 3 3 2 7 3" xfId="21775" xr:uid="{D5C31CFA-43D3-4552-8FC6-1C64C5C9C920}"/>
    <cellStyle name="Normal 9 3 3 2 8" xfId="9122" xr:uid="{232EB795-70C7-45B5-9CE7-E9D8B33A583A}"/>
    <cellStyle name="Normal 9 3 3 2 9" xfId="17558" xr:uid="{E0886B84-7CF1-4317-BBA9-D3AE3DD076D5}"/>
    <cellStyle name="Normal 9 3 3 3" xfId="999" xr:uid="{00000000-0005-0000-0000-00000F200000}"/>
    <cellStyle name="Normal 9 3 3 3 2" xfId="3232" xr:uid="{00000000-0005-0000-0000-000010200000}"/>
    <cellStyle name="Normal 9 3 3 3 2 2" xfId="7455" xr:uid="{00000000-0005-0000-0000-000011200000}"/>
    <cellStyle name="Normal 9 3 3 3 2 2 2" xfId="15897" xr:uid="{D2A6EA54-8EFB-420E-8541-ADA21D343580}"/>
    <cellStyle name="Normal 9 3 3 3 2 2 3" xfId="24332" xr:uid="{D2FA82D9-AFB5-4B05-9680-31F991A252C3}"/>
    <cellStyle name="Normal 9 3 3 3 2 3" xfId="11679" xr:uid="{1803E11D-36CC-41E2-871C-DDCF333EBF98}"/>
    <cellStyle name="Normal 9 3 3 3 2 4" xfId="20115" xr:uid="{230C8429-4D8F-43A8-97FC-B9C1939ADA02}"/>
    <cellStyle name="Normal 9 3 3 3 3" xfId="5310" xr:uid="{00000000-0005-0000-0000-000012200000}"/>
    <cellStyle name="Normal 9 3 3 3 3 2" xfId="13752" xr:uid="{094641DA-3B90-4625-BB9F-2243D956502F}"/>
    <cellStyle name="Normal 9 3 3 3 3 3" xfId="22187" xr:uid="{4878E510-C1DE-4D08-9A28-CD90AA525319}"/>
    <cellStyle name="Normal 9 3 3 3 4" xfId="9534" xr:uid="{F2A5AA8F-3A38-4CFF-9C83-F8B45920CB60}"/>
    <cellStyle name="Normal 9 3 3 3 5" xfId="17970" xr:uid="{A7C5BA96-A2A2-41CE-8F77-CDB0FD1DB011}"/>
    <cellStyle name="Normal 9 3 3 4" xfId="1415" xr:uid="{00000000-0005-0000-0000-000013200000}"/>
    <cellStyle name="Normal 9 3 3 4 2" xfId="3645" xr:uid="{00000000-0005-0000-0000-000014200000}"/>
    <cellStyle name="Normal 9 3 3 4 2 2" xfId="7868" xr:uid="{00000000-0005-0000-0000-000015200000}"/>
    <cellStyle name="Normal 9 3 3 4 2 2 2" xfId="16310" xr:uid="{AF2287FE-0504-4243-B8A4-7B1AD2CBD612}"/>
    <cellStyle name="Normal 9 3 3 4 2 2 3" xfId="24745" xr:uid="{2C272B46-C115-45A5-93CD-0D7AC4A93FE4}"/>
    <cellStyle name="Normal 9 3 3 4 2 3" xfId="12092" xr:uid="{DA86AFD7-6C87-46E0-99CD-10518C476DE8}"/>
    <cellStyle name="Normal 9 3 3 4 2 4" xfId="20528" xr:uid="{A224F768-102F-4883-9489-CDC503F2DA5D}"/>
    <cellStyle name="Normal 9 3 3 4 3" xfId="5723" xr:uid="{00000000-0005-0000-0000-000016200000}"/>
    <cellStyle name="Normal 9 3 3 4 3 2" xfId="14165" xr:uid="{136EFB0E-2B9F-4287-ACF0-9596F045B7C8}"/>
    <cellStyle name="Normal 9 3 3 4 3 3" xfId="22600" xr:uid="{A88522C9-2987-45F4-85F5-98DE52F4A6A2}"/>
    <cellStyle name="Normal 9 3 3 4 4" xfId="9947" xr:uid="{548DC4C2-6759-42FB-BDE4-FD5CB3860BEF}"/>
    <cellStyle name="Normal 9 3 3 4 5" xfId="18383" xr:uid="{221E73D8-8D72-4040-B4C1-C11980B7B41A}"/>
    <cellStyle name="Normal 9 3 3 5" xfId="1828" xr:uid="{00000000-0005-0000-0000-000017200000}"/>
    <cellStyle name="Normal 9 3 3 5 2" xfId="4058" xr:uid="{00000000-0005-0000-0000-000018200000}"/>
    <cellStyle name="Normal 9 3 3 5 2 2" xfId="8281" xr:uid="{00000000-0005-0000-0000-000019200000}"/>
    <cellStyle name="Normal 9 3 3 5 2 2 2" xfId="16723" xr:uid="{A298AC60-81DF-49FB-9F63-87699EFBA405}"/>
    <cellStyle name="Normal 9 3 3 5 2 2 3" xfId="25158" xr:uid="{979E8BD2-65F8-4D99-92F3-052E9B6F2355}"/>
    <cellStyle name="Normal 9 3 3 5 2 3" xfId="12505" xr:uid="{5E8CC920-BB03-40A3-ACAC-CD487A195614}"/>
    <cellStyle name="Normal 9 3 3 5 2 4" xfId="20941" xr:uid="{E43708C1-0BFC-4175-895D-917B6FCC2F27}"/>
    <cellStyle name="Normal 9 3 3 5 3" xfId="6136" xr:uid="{00000000-0005-0000-0000-00001A200000}"/>
    <cellStyle name="Normal 9 3 3 5 3 2" xfId="14578" xr:uid="{24C2EEB8-5EC1-4A08-B000-17A5FFD9F330}"/>
    <cellStyle name="Normal 9 3 3 5 3 3" xfId="23013" xr:uid="{3D3B64CB-C476-429B-AD58-17121B0102E5}"/>
    <cellStyle name="Normal 9 3 3 5 4" xfId="10360" xr:uid="{D6459549-37F2-4A63-A6CC-D64427548C2C}"/>
    <cellStyle name="Normal 9 3 3 5 5" xfId="18796" xr:uid="{5EA30E46-AF7D-4283-82A5-791673AF1EE2}"/>
    <cellStyle name="Normal 9 3 3 6" xfId="2242" xr:uid="{00000000-0005-0000-0000-00001B200000}"/>
    <cellStyle name="Normal 9 3 3 6 2" xfId="4471" xr:uid="{00000000-0005-0000-0000-00001C200000}"/>
    <cellStyle name="Normal 9 3 3 6 2 2" xfId="8694" xr:uid="{00000000-0005-0000-0000-00001D200000}"/>
    <cellStyle name="Normal 9 3 3 6 2 2 2" xfId="17136" xr:uid="{C03AB830-035A-4FEF-AB05-8D181C1D8236}"/>
    <cellStyle name="Normal 9 3 3 6 2 2 3" xfId="25571" xr:uid="{066A0B0D-FF8E-44F5-840A-B554EA6B1F3C}"/>
    <cellStyle name="Normal 9 3 3 6 2 3" xfId="12918" xr:uid="{DF94EFEF-C839-4131-93F1-71C60A241D67}"/>
    <cellStyle name="Normal 9 3 3 6 2 4" xfId="21354" xr:uid="{406B6A3F-3A67-4520-8DB9-71D28CA57796}"/>
    <cellStyle name="Normal 9 3 3 6 3" xfId="6549" xr:uid="{00000000-0005-0000-0000-00001E200000}"/>
    <cellStyle name="Normal 9 3 3 6 3 2" xfId="14991" xr:uid="{92449535-B8D7-4696-A484-A666E860375E}"/>
    <cellStyle name="Normal 9 3 3 6 3 3" xfId="23426" xr:uid="{AD94CBFB-3103-4A98-8791-37167CE28EB7}"/>
    <cellStyle name="Normal 9 3 3 6 4" xfId="10773" xr:uid="{8008C90A-6CDB-44F4-8CB2-FC4D808253E9}"/>
    <cellStyle name="Normal 9 3 3 6 5" xfId="19209" xr:uid="{427EBBFA-7003-48C5-A40F-8E8A598463C4}"/>
    <cellStyle name="Normal 9 3 3 7" xfId="2678" xr:uid="{00000000-0005-0000-0000-00001F200000}"/>
    <cellStyle name="Normal 9 3 3 7 2" xfId="6962" xr:uid="{00000000-0005-0000-0000-000020200000}"/>
    <cellStyle name="Normal 9 3 3 7 2 2" xfId="15404" xr:uid="{57738236-98EA-4851-968B-8E3E316BD265}"/>
    <cellStyle name="Normal 9 3 3 7 2 3" xfId="23839" xr:uid="{9BBC9BDA-C4BA-47BE-BE98-36F4D3911481}"/>
    <cellStyle name="Normal 9 3 3 7 3" xfId="11186" xr:uid="{AB16290A-1BB6-4147-834D-D7FA75658EBB}"/>
    <cellStyle name="Normal 9 3 3 7 4" xfId="19622" xr:uid="{E0F6732E-EA35-451C-9059-56AEF3FDDA6B}"/>
    <cellStyle name="Normal 9 3 3 8" xfId="4897" xr:uid="{00000000-0005-0000-0000-000021200000}"/>
    <cellStyle name="Normal 9 3 3 8 2" xfId="13339" xr:uid="{12550AD5-9310-4427-8547-B260FD69E9D6}"/>
    <cellStyle name="Normal 9 3 3 8 3" xfId="21774" xr:uid="{D7972616-4369-4399-BCFA-293061ACD841}"/>
    <cellStyle name="Normal 9 3 3 9" xfId="9121" xr:uid="{6E34B566-B030-4381-9E0D-5E16933B00EE}"/>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2 2 2" xfId="15899" xr:uid="{7B1D5814-578E-44BB-862D-6D80ABB9C682}"/>
    <cellStyle name="Normal 9 3 4 2 2 2 3" xfId="24334" xr:uid="{0A2BB737-749D-4548-BDC3-7195B159F63F}"/>
    <cellStyle name="Normal 9 3 4 2 2 3" xfId="11681" xr:uid="{9FB0B1A1-2CF1-4AA4-8848-52F5BD423185}"/>
    <cellStyle name="Normal 9 3 4 2 2 4" xfId="20117" xr:uid="{D8C44585-06EF-439C-B54F-584A1F24012C}"/>
    <cellStyle name="Normal 9 3 4 2 3" xfId="5312" xr:uid="{00000000-0005-0000-0000-000026200000}"/>
    <cellStyle name="Normal 9 3 4 2 3 2" xfId="13754" xr:uid="{5FC6DF81-97E9-4505-9CF9-634A155994E7}"/>
    <cellStyle name="Normal 9 3 4 2 3 3" xfId="22189" xr:uid="{4108C7E6-8CC6-43A6-B574-AD84588AECAE}"/>
    <cellStyle name="Normal 9 3 4 2 4" xfId="9536" xr:uid="{5F9F79BC-9709-46B1-8032-95963BDB738C}"/>
    <cellStyle name="Normal 9 3 4 2 5" xfId="17972" xr:uid="{38DF43C1-5502-4ACF-A92A-9A01353C4152}"/>
    <cellStyle name="Normal 9 3 4 3" xfId="1417" xr:uid="{00000000-0005-0000-0000-000027200000}"/>
    <cellStyle name="Normal 9 3 4 3 2" xfId="3647" xr:uid="{00000000-0005-0000-0000-000028200000}"/>
    <cellStyle name="Normal 9 3 4 3 2 2" xfId="7870" xr:uid="{00000000-0005-0000-0000-000029200000}"/>
    <cellStyle name="Normal 9 3 4 3 2 2 2" xfId="16312" xr:uid="{CEC65019-2583-467A-8F1A-70BD29631799}"/>
    <cellStyle name="Normal 9 3 4 3 2 2 3" xfId="24747" xr:uid="{4CE448AA-7D11-42C6-9C09-883E5CA83B98}"/>
    <cellStyle name="Normal 9 3 4 3 2 3" xfId="12094" xr:uid="{24AD7ECA-2E50-4356-A5F0-6CAA33A90574}"/>
    <cellStyle name="Normal 9 3 4 3 2 4" xfId="20530" xr:uid="{18976AFC-99DB-42D9-BFC0-6B8155B990D8}"/>
    <cellStyle name="Normal 9 3 4 3 3" xfId="5725" xr:uid="{00000000-0005-0000-0000-00002A200000}"/>
    <cellStyle name="Normal 9 3 4 3 3 2" xfId="14167" xr:uid="{A4134B8E-F213-4DF9-A22E-98A8BC2EBEF6}"/>
    <cellStyle name="Normal 9 3 4 3 3 3" xfId="22602" xr:uid="{A500B1B5-7A41-4D99-891D-9C9CBA1F9CD2}"/>
    <cellStyle name="Normal 9 3 4 3 4" xfId="9949" xr:uid="{E2FB9478-D9F3-41FF-9182-0EB9F2C3B604}"/>
    <cellStyle name="Normal 9 3 4 3 5" xfId="18385" xr:uid="{064F4E2E-CC00-4EDF-9264-0551BAA8DB90}"/>
    <cellStyle name="Normal 9 3 4 4" xfId="1830" xr:uid="{00000000-0005-0000-0000-00002B200000}"/>
    <cellStyle name="Normal 9 3 4 4 2" xfId="4060" xr:uid="{00000000-0005-0000-0000-00002C200000}"/>
    <cellStyle name="Normal 9 3 4 4 2 2" xfId="8283" xr:uid="{00000000-0005-0000-0000-00002D200000}"/>
    <cellStyle name="Normal 9 3 4 4 2 2 2" xfId="16725" xr:uid="{584D7E75-647A-4F91-8BDA-C4B64B96CACB}"/>
    <cellStyle name="Normal 9 3 4 4 2 2 3" xfId="25160" xr:uid="{A78332BA-5483-449A-B80E-A244ACEFFDDF}"/>
    <cellStyle name="Normal 9 3 4 4 2 3" xfId="12507" xr:uid="{74097E17-11CA-4A8C-8461-CAB2869C2D31}"/>
    <cellStyle name="Normal 9 3 4 4 2 4" xfId="20943" xr:uid="{317B5ECD-D9B1-4B0F-AFAD-47BED3ADB6AC}"/>
    <cellStyle name="Normal 9 3 4 4 3" xfId="6138" xr:uid="{00000000-0005-0000-0000-00002E200000}"/>
    <cellStyle name="Normal 9 3 4 4 3 2" xfId="14580" xr:uid="{14D902E6-3816-4F7E-AD81-49CEC0816851}"/>
    <cellStyle name="Normal 9 3 4 4 3 3" xfId="23015" xr:uid="{21F7319A-13BE-498A-9F16-3D6148045780}"/>
    <cellStyle name="Normal 9 3 4 4 4" xfId="10362" xr:uid="{ED75D245-1C41-4F59-A02F-3FA57DC9414A}"/>
    <cellStyle name="Normal 9 3 4 4 5" xfId="18798" xr:uid="{0AC0FEFD-FFA9-48A5-AEEB-402DBABE7C9A}"/>
    <cellStyle name="Normal 9 3 4 5" xfId="2244" xr:uid="{00000000-0005-0000-0000-00002F200000}"/>
    <cellStyle name="Normal 9 3 4 5 2" xfId="4473" xr:uid="{00000000-0005-0000-0000-000030200000}"/>
    <cellStyle name="Normal 9 3 4 5 2 2" xfId="8696" xr:uid="{00000000-0005-0000-0000-000031200000}"/>
    <cellStyle name="Normal 9 3 4 5 2 2 2" xfId="17138" xr:uid="{BAA84798-9427-43BF-904C-D5B25DB6C35E}"/>
    <cellStyle name="Normal 9 3 4 5 2 2 3" xfId="25573" xr:uid="{AC6238F2-0F74-42CD-9402-C3D2123E8819}"/>
    <cellStyle name="Normal 9 3 4 5 2 3" xfId="12920" xr:uid="{3229F800-BB6C-49D0-B947-693A9AC7EF9F}"/>
    <cellStyle name="Normal 9 3 4 5 2 4" xfId="21356" xr:uid="{47267C11-D26B-481D-935E-75F109DDFA50}"/>
    <cellStyle name="Normal 9 3 4 5 3" xfId="6551" xr:uid="{00000000-0005-0000-0000-000032200000}"/>
    <cellStyle name="Normal 9 3 4 5 3 2" xfId="14993" xr:uid="{FF54AAD7-95DD-4679-A584-9C946D1E942C}"/>
    <cellStyle name="Normal 9 3 4 5 3 3" xfId="23428" xr:uid="{411EE74D-877B-47C2-A4BC-E0D87BFAA294}"/>
    <cellStyle name="Normal 9 3 4 5 4" xfId="10775" xr:uid="{110F4739-833E-45E3-95F7-E1F786C67636}"/>
    <cellStyle name="Normal 9 3 4 5 5" xfId="19211" xr:uid="{BD924469-56A8-4FED-AB55-5AB160B81AAB}"/>
    <cellStyle name="Normal 9 3 4 6" xfId="2680" xr:uid="{00000000-0005-0000-0000-000033200000}"/>
    <cellStyle name="Normal 9 3 4 6 2" xfId="6964" xr:uid="{00000000-0005-0000-0000-000034200000}"/>
    <cellStyle name="Normal 9 3 4 6 2 2" xfId="15406" xr:uid="{27E5090A-24D6-4255-BEA4-C3CBB4435444}"/>
    <cellStyle name="Normal 9 3 4 6 2 3" xfId="23841" xr:uid="{7AE1E375-882A-4E26-8B14-7D0AA064B427}"/>
    <cellStyle name="Normal 9 3 4 6 3" xfId="11188" xr:uid="{C1A37449-E15C-4566-9594-7E6EEAF661F4}"/>
    <cellStyle name="Normal 9 3 4 6 4" xfId="19624" xr:uid="{6C3011B1-DFE2-4096-8D96-39EA8E639F9D}"/>
    <cellStyle name="Normal 9 3 4 7" xfId="4899" xr:uid="{00000000-0005-0000-0000-000035200000}"/>
    <cellStyle name="Normal 9 3 4 7 2" xfId="13341" xr:uid="{53063C5E-71CD-4604-8BD1-DF5F2CE968E3}"/>
    <cellStyle name="Normal 9 3 4 7 3" xfId="21776" xr:uid="{6C234BEF-53EC-4C81-8DA7-9A5BFAFC48FC}"/>
    <cellStyle name="Normal 9 3 4 8" xfId="9123" xr:uid="{2A35A7C8-B0FB-44D2-9424-E805E0BBE104}"/>
    <cellStyle name="Normal 9 3 4 9" xfId="17559" xr:uid="{41BC26F4-E3C5-4384-A4C0-8EA461476C56}"/>
    <cellStyle name="Normal 9 3 5" xfId="994" xr:uid="{00000000-0005-0000-0000-000036200000}"/>
    <cellStyle name="Normal 9 3 5 2" xfId="3227" xr:uid="{00000000-0005-0000-0000-000037200000}"/>
    <cellStyle name="Normal 9 3 5 2 2" xfId="7450" xr:uid="{00000000-0005-0000-0000-000038200000}"/>
    <cellStyle name="Normal 9 3 5 2 2 2" xfId="15892" xr:uid="{6A07A39D-0E1B-4556-B808-77CEA94006E5}"/>
    <cellStyle name="Normal 9 3 5 2 2 3" xfId="24327" xr:uid="{F1B2B303-0E8B-461F-8213-176A2E24AF15}"/>
    <cellStyle name="Normal 9 3 5 2 3" xfId="11674" xr:uid="{5C52A9EA-838B-4615-89DE-044C0AC977A6}"/>
    <cellStyle name="Normal 9 3 5 2 4" xfId="20110" xr:uid="{3B8F486B-AC9E-4307-B0A2-C6A79EDA1F9A}"/>
    <cellStyle name="Normal 9 3 5 3" xfId="5305" xr:uid="{00000000-0005-0000-0000-000039200000}"/>
    <cellStyle name="Normal 9 3 5 3 2" xfId="13747" xr:uid="{5AEE924C-92A6-4854-9CCA-9011096FEF61}"/>
    <cellStyle name="Normal 9 3 5 3 3" xfId="22182" xr:uid="{D6B86E0C-00C1-4C7A-9360-A6C875210D05}"/>
    <cellStyle name="Normal 9 3 5 4" xfId="9529" xr:uid="{F3C10C5F-BFA8-490D-8405-0A2968A55E2A}"/>
    <cellStyle name="Normal 9 3 5 5" xfId="17965" xr:uid="{2B3BFC75-86C8-4B43-9618-6900CEB581B5}"/>
    <cellStyle name="Normal 9 3 6" xfId="1410" xr:uid="{00000000-0005-0000-0000-00003A200000}"/>
    <cellStyle name="Normal 9 3 6 2" xfId="3640" xr:uid="{00000000-0005-0000-0000-00003B200000}"/>
    <cellStyle name="Normal 9 3 6 2 2" xfId="7863" xr:uid="{00000000-0005-0000-0000-00003C200000}"/>
    <cellStyle name="Normal 9 3 6 2 2 2" xfId="16305" xr:uid="{33EBBFA6-881B-4C21-8FA7-C36644D1EBC1}"/>
    <cellStyle name="Normal 9 3 6 2 2 3" xfId="24740" xr:uid="{F5D328B3-553B-4DC0-A9BD-3CF367916BC3}"/>
    <cellStyle name="Normal 9 3 6 2 3" xfId="12087" xr:uid="{3C9CB2B4-896A-4489-B02F-4A17435EB70A}"/>
    <cellStyle name="Normal 9 3 6 2 4" xfId="20523" xr:uid="{B26DF4B0-6E21-4394-91A9-5F9E40962169}"/>
    <cellStyle name="Normal 9 3 6 3" xfId="5718" xr:uid="{00000000-0005-0000-0000-00003D200000}"/>
    <cellStyle name="Normal 9 3 6 3 2" xfId="14160" xr:uid="{C9804930-EE8B-4223-9741-A92CCB165B9C}"/>
    <cellStyle name="Normal 9 3 6 3 3" xfId="22595" xr:uid="{B75469F2-D6CB-46EA-B7B4-CCE54CBCB449}"/>
    <cellStyle name="Normal 9 3 6 4" xfId="9942" xr:uid="{4D05D6C5-DD09-483B-90F8-6EE3CA238AB0}"/>
    <cellStyle name="Normal 9 3 6 5" xfId="18378" xr:uid="{010D87C3-30A4-4487-B643-4E88EFE6F1F5}"/>
    <cellStyle name="Normal 9 3 7" xfId="1823" xr:uid="{00000000-0005-0000-0000-00003E200000}"/>
    <cellStyle name="Normal 9 3 7 2" xfId="4053" xr:uid="{00000000-0005-0000-0000-00003F200000}"/>
    <cellStyle name="Normal 9 3 7 2 2" xfId="8276" xr:uid="{00000000-0005-0000-0000-000040200000}"/>
    <cellStyle name="Normal 9 3 7 2 2 2" xfId="16718" xr:uid="{DAD73EA3-65B4-40E8-8610-9FD45FE6B12B}"/>
    <cellStyle name="Normal 9 3 7 2 2 3" xfId="25153" xr:uid="{EA38C86C-D756-469F-9D64-0DD17215742B}"/>
    <cellStyle name="Normal 9 3 7 2 3" xfId="12500" xr:uid="{8752AE9C-DC6D-40A2-862B-637061904526}"/>
    <cellStyle name="Normal 9 3 7 2 4" xfId="20936" xr:uid="{1AB6857A-C1B8-40D2-AC3D-71596F822A47}"/>
    <cellStyle name="Normal 9 3 7 3" xfId="6131" xr:uid="{00000000-0005-0000-0000-000041200000}"/>
    <cellStyle name="Normal 9 3 7 3 2" xfId="14573" xr:uid="{8DE23DB9-70DF-403D-936D-E6554F07CBD7}"/>
    <cellStyle name="Normal 9 3 7 3 3" xfId="23008" xr:uid="{B47A2455-3F99-4C68-A108-0784C18B6D38}"/>
    <cellStyle name="Normal 9 3 7 4" xfId="10355" xr:uid="{01B74B99-6037-4834-8432-248CAF555FD7}"/>
    <cellStyle name="Normal 9 3 7 5" xfId="18791" xr:uid="{5F612A16-A9C1-490D-8ACE-4401DD72680D}"/>
    <cellStyle name="Normal 9 3 8" xfId="2237" xr:uid="{00000000-0005-0000-0000-000042200000}"/>
    <cellStyle name="Normal 9 3 8 2" xfId="4466" xr:uid="{00000000-0005-0000-0000-000043200000}"/>
    <cellStyle name="Normal 9 3 8 2 2" xfId="8689" xr:uid="{00000000-0005-0000-0000-000044200000}"/>
    <cellStyle name="Normal 9 3 8 2 2 2" xfId="17131" xr:uid="{B3D06016-B3F5-4A84-819D-083A46412435}"/>
    <cellStyle name="Normal 9 3 8 2 2 3" xfId="25566" xr:uid="{57F76778-65F0-4030-B182-B7713F467A77}"/>
    <cellStyle name="Normal 9 3 8 2 3" xfId="12913" xr:uid="{976C3FC0-02E9-457F-B0C5-347C58D1E874}"/>
    <cellStyle name="Normal 9 3 8 2 4" xfId="21349" xr:uid="{42DCE2AD-A2CC-428E-BDC7-058C13EEB9D5}"/>
    <cellStyle name="Normal 9 3 8 3" xfId="6544" xr:uid="{00000000-0005-0000-0000-000045200000}"/>
    <cellStyle name="Normal 9 3 8 3 2" xfId="14986" xr:uid="{4B0D5530-5F77-4497-B697-76E1AC56B645}"/>
    <cellStyle name="Normal 9 3 8 3 3" xfId="23421" xr:uid="{C9407F26-B2BA-40BB-B4B5-2D7BF5EA9D8D}"/>
    <cellStyle name="Normal 9 3 8 4" xfId="10768" xr:uid="{3863E472-88D0-43C7-9FDD-72DD61ACA114}"/>
    <cellStyle name="Normal 9 3 8 5" xfId="19204" xr:uid="{B722C648-2F6C-4854-9631-1AEE9EB2A51E}"/>
    <cellStyle name="Normal 9 3 9" xfId="2673" xr:uid="{00000000-0005-0000-0000-000046200000}"/>
    <cellStyle name="Normal 9 3 9 2" xfId="6957" xr:uid="{00000000-0005-0000-0000-000047200000}"/>
    <cellStyle name="Normal 9 3 9 2 2" xfId="15399" xr:uid="{953F9CA9-BC1D-408F-AA7B-8EAEFD4F6A3D}"/>
    <cellStyle name="Normal 9 3 9 2 3" xfId="23834" xr:uid="{A6B703D1-6453-4EAD-8503-B13EC1EA95FE}"/>
    <cellStyle name="Normal 9 3 9 3" xfId="11181" xr:uid="{A5715927-8C19-4562-ABF1-951BADB241DA}"/>
    <cellStyle name="Normal 9 3 9 4" xfId="19617" xr:uid="{973B7965-9433-467E-984C-E17186FB6327}"/>
    <cellStyle name="Normal 9 4" xfId="535" xr:uid="{00000000-0005-0000-0000-000048200000}"/>
    <cellStyle name="Normal 9 4 2" xfId="1002" xr:uid="{00000000-0005-0000-0000-000049200000}"/>
    <cellStyle name="Normal 9 5" xfId="536" xr:uid="{00000000-0005-0000-0000-00004A200000}"/>
    <cellStyle name="Normal 9 5 10" xfId="17560" xr:uid="{1558BB49-DB6F-48DD-92CC-A2344CBF9331}"/>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2 2 2" xfId="15901" xr:uid="{FBEA7C2C-71FA-4957-A37F-F05F9FCE1D79}"/>
    <cellStyle name="Normal 9 5 2 2 2 2 3" xfId="24336" xr:uid="{E4669AC2-D688-43A2-BEFB-FB5D5B62EB44}"/>
    <cellStyle name="Normal 9 5 2 2 2 3" xfId="11683" xr:uid="{26FFF70E-8919-4C2C-881C-94A201FFFC18}"/>
    <cellStyle name="Normal 9 5 2 2 2 4" xfId="20119" xr:uid="{9E8D8492-16C6-4A85-B5A5-D71C581E61DE}"/>
    <cellStyle name="Normal 9 5 2 2 3" xfId="5314" xr:uid="{00000000-0005-0000-0000-00004F200000}"/>
    <cellStyle name="Normal 9 5 2 2 3 2" xfId="13756" xr:uid="{05236057-67AC-40A0-A068-85193E3D8E88}"/>
    <cellStyle name="Normal 9 5 2 2 3 3" xfId="22191" xr:uid="{4BC02847-A41E-4C36-9C19-E34DAF5E2F84}"/>
    <cellStyle name="Normal 9 5 2 2 4" xfId="9538" xr:uid="{6B685E2A-2F83-4884-BD85-162A5277EFE1}"/>
    <cellStyle name="Normal 9 5 2 2 5" xfId="17974" xr:uid="{979F9D84-E01A-4A70-B914-C1D6FAAD1AD4}"/>
    <cellStyle name="Normal 9 5 2 3" xfId="1419" xr:uid="{00000000-0005-0000-0000-000050200000}"/>
    <cellStyle name="Normal 9 5 2 3 2" xfId="3649" xr:uid="{00000000-0005-0000-0000-000051200000}"/>
    <cellStyle name="Normal 9 5 2 3 2 2" xfId="7872" xr:uid="{00000000-0005-0000-0000-000052200000}"/>
    <cellStyle name="Normal 9 5 2 3 2 2 2" xfId="16314" xr:uid="{F9504405-B94C-40B8-A4C7-428681C0336C}"/>
    <cellStyle name="Normal 9 5 2 3 2 2 3" xfId="24749" xr:uid="{3387DC57-5296-4A0B-B33A-AF69E1994BDF}"/>
    <cellStyle name="Normal 9 5 2 3 2 3" xfId="12096" xr:uid="{345110F5-0E7B-420B-AE07-7E88FF07DF78}"/>
    <cellStyle name="Normal 9 5 2 3 2 4" xfId="20532" xr:uid="{54D9E8A5-44AC-4D3A-839E-6BD5DF100046}"/>
    <cellStyle name="Normal 9 5 2 3 3" xfId="5727" xr:uid="{00000000-0005-0000-0000-000053200000}"/>
    <cellStyle name="Normal 9 5 2 3 3 2" xfId="14169" xr:uid="{33CC6B5D-F4CC-49E9-9778-A66977D793C2}"/>
    <cellStyle name="Normal 9 5 2 3 3 3" xfId="22604" xr:uid="{BEA748FC-74BF-4B72-82FF-CD20B687D704}"/>
    <cellStyle name="Normal 9 5 2 3 4" xfId="9951" xr:uid="{E38BEEE1-E1B0-4B64-8C50-DC464E7BF189}"/>
    <cellStyle name="Normal 9 5 2 3 5" xfId="18387" xr:uid="{4BD996A3-D70B-400F-ADA2-0C246FF57AFE}"/>
    <cellStyle name="Normal 9 5 2 4" xfId="1832" xr:uid="{00000000-0005-0000-0000-000054200000}"/>
    <cellStyle name="Normal 9 5 2 4 2" xfId="4062" xr:uid="{00000000-0005-0000-0000-000055200000}"/>
    <cellStyle name="Normal 9 5 2 4 2 2" xfId="8285" xr:uid="{00000000-0005-0000-0000-000056200000}"/>
    <cellStyle name="Normal 9 5 2 4 2 2 2" xfId="16727" xr:uid="{4CA3D070-1C88-433E-A081-64C347762B84}"/>
    <cellStyle name="Normal 9 5 2 4 2 2 3" xfId="25162" xr:uid="{4502034A-DA5E-465C-BCA4-13D9DC07A609}"/>
    <cellStyle name="Normal 9 5 2 4 2 3" xfId="12509" xr:uid="{68306BB4-C6D0-475F-A77C-B44F7694E0F6}"/>
    <cellStyle name="Normal 9 5 2 4 2 4" xfId="20945" xr:uid="{91746621-A559-40D7-A756-DD2A91F6814A}"/>
    <cellStyle name="Normal 9 5 2 4 3" xfId="6140" xr:uid="{00000000-0005-0000-0000-000057200000}"/>
    <cellStyle name="Normal 9 5 2 4 3 2" xfId="14582" xr:uid="{AC53AB8D-108E-42B3-80DC-C3945E0AD11E}"/>
    <cellStyle name="Normal 9 5 2 4 3 3" xfId="23017" xr:uid="{2F316591-A86E-4B43-B7C1-F05051A95AB6}"/>
    <cellStyle name="Normal 9 5 2 4 4" xfId="10364" xr:uid="{DA7C54FE-E31B-459E-A1D8-E2B3047EBD74}"/>
    <cellStyle name="Normal 9 5 2 4 5" xfId="18800" xr:uid="{E665A51A-C4FB-4E7E-A363-29FEEFEBFE3B}"/>
    <cellStyle name="Normal 9 5 2 5" xfId="2246" xr:uid="{00000000-0005-0000-0000-000058200000}"/>
    <cellStyle name="Normal 9 5 2 5 2" xfId="4475" xr:uid="{00000000-0005-0000-0000-000059200000}"/>
    <cellStyle name="Normal 9 5 2 5 2 2" xfId="8698" xr:uid="{00000000-0005-0000-0000-00005A200000}"/>
    <cellStyle name="Normal 9 5 2 5 2 2 2" xfId="17140" xr:uid="{2FE97E3F-4C8B-4E29-A9CF-0033945BE892}"/>
    <cellStyle name="Normal 9 5 2 5 2 2 3" xfId="25575" xr:uid="{BFCA5248-213B-42C8-BA94-2D8A3820FE00}"/>
    <cellStyle name="Normal 9 5 2 5 2 3" xfId="12922" xr:uid="{75B9D82C-DA04-44AA-8CA6-6C3F34921D72}"/>
    <cellStyle name="Normal 9 5 2 5 2 4" xfId="21358" xr:uid="{6F4CE5CB-3E8F-40CE-9B0B-DEE21656D127}"/>
    <cellStyle name="Normal 9 5 2 5 3" xfId="6553" xr:uid="{00000000-0005-0000-0000-00005B200000}"/>
    <cellStyle name="Normal 9 5 2 5 3 2" xfId="14995" xr:uid="{4F4ED2E3-E415-4554-91A5-9DD2D4FCD514}"/>
    <cellStyle name="Normal 9 5 2 5 3 3" xfId="23430" xr:uid="{E05739F4-D187-4D6C-A547-DF5D9DFD17E3}"/>
    <cellStyle name="Normal 9 5 2 5 4" xfId="10777" xr:uid="{E3D54A6A-45F9-4D9D-A1AA-247565B1FF07}"/>
    <cellStyle name="Normal 9 5 2 5 5" xfId="19213" xr:uid="{2A8E5EB5-5EF1-4546-BEF5-5C6DF288FD71}"/>
    <cellStyle name="Normal 9 5 2 6" xfId="2682" xr:uid="{00000000-0005-0000-0000-00005C200000}"/>
    <cellStyle name="Normal 9 5 2 6 2" xfId="6966" xr:uid="{00000000-0005-0000-0000-00005D200000}"/>
    <cellStyle name="Normal 9 5 2 6 2 2" xfId="15408" xr:uid="{DBD9A613-B711-4BF7-BBA9-A8D2C73EF240}"/>
    <cellStyle name="Normal 9 5 2 6 2 3" xfId="23843" xr:uid="{40B389E2-4510-4D39-80E0-D2DAB28D0AC7}"/>
    <cellStyle name="Normal 9 5 2 6 3" xfId="11190" xr:uid="{85F79E5D-35B8-4D2D-9B5B-9D79753B1FAB}"/>
    <cellStyle name="Normal 9 5 2 6 4" xfId="19626" xr:uid="{4C82ED8B-B536-4644-B8B7-BC1275B4CB63}"/>
    <cellStyle name="Normal 9 5 2 7" xfId="4901" xr:uid="{00000000-0005-0000-0000-00005E200000}"/>
    <cellStyle name="Normal 9 5 2 7 2" xfId="13343" xr:uid="{206810FB-4B74-4E0A-83D4-1F38A371D7F1}"/>
    <cellStyle name="Normal 9 5 2 7 3" xfId="21778" xr:uid="{00889564-0F7A-43D9-833E-EC1DB433848D}"/>
    <cellStyle name="Normal 9 5 2 8" xfId="9125" xr:uid="{F31FDE44-69D8-49D6-A8B4-B1900A3A7036}"/>
    <cellStyle name="Normal 9 5 2 9" xfId="17561" xr:uid="{8409220F-02A3-43AB-BD59-8461B4357E58}"/>
    <cellStyle name="Normal 9 5 3" xfId="1003" xr:uid="{00000000-0005-0000-0000-00005F200000}"/>
    <cellStyle name="Normal 9 5 3 2" xfId="3235" xr:uid="{00000000-0005-0000-0000-000060200000}"/>
    <cellStyle name="Normal 9 5 3 2 2" xfId="7458" xr:uid="{00000000-0005-0000-0000-000061200000}"/>
    <cellStyle name="Normal 9 5 3 2 2 2" xfId="15900" xr:uid="{E349A3A1-EAD2-417B-B19A-80BAD87D0B89}"/>
    <cellStyle name="Normal 9 5 3 2 2 3" xfId="24335" xr:uid="{30337F3E-288A-4B88-ADCA-56B8C1C39E98}"/>
    <cellStyle name="Normal 9 5 3 2 3" xfId="11682" xr:uid="{68AFA650-B2C8-4AB3-A503-490884BF4650}"/>
    <cellStyle name="Normal 9 5 3 2 4" xfId="20118" xr:uid="{5C40C900-81E1-4FC1-95E4-0FACF62E2F86}"/>
    <cellStyle name="Normal 9 5 3 3" xfId="5313" xr:uid="{00000000-0005-0000-0000-000062200000}"/>
    <cellStyle name="Normal 9 5 3 3 2" xfId="13755" xr:uid="{E294638E-7311-4855-A6BA-30E01FBC4DF9}"/>
    <cellStyle name="Normal 9 5 3 3 3" xfId="22190" xr:uid="{7CA70CDC-BFED-4467-8B7C-A11D62055B7C}"/>
    <cellStyle name="Normal 9 5 3 4" xfId="9537" xr:uid="{CE4ADD41-6AF6-4AFE-A8C2-22443B280A78}"/>
    <cellStyle name="Normal 9 5 3 5" xfId="17973" xr:uid="{9BE84567-E650-4870-9489-6115FF73683F}"/>
    <cellStyle name="Normal 9 5 4" xfId="1418" xr:uid="{00000000-0005-0000-0000-000063200000}"/>
    <cellStyle name="Normal 9 5 4 2" xfId="3648" xr:uid="{00000000-0005-0000-0000-000064200000}"/>
    <cellStyle name="Normal 9 5 4 2 2" xfId="7871" xr:uid="{00000000-0005-0000-0000-000065200000}"/>
    <cellStyle name="Normal 9 5 4 2 2 2" xfId="16313" xr:uid="{78E053B8-7FFC-448A-B657-93188E7BB55C}"/>
    <cellStyle name="Normal 9 5 4 2 2 3" xfId="24748" xr:uid="{72A6D8FE-D2C5-4B8A-B1C2-028A4E51ED1A}"/>
    <cellStyle name="Normal 9 5 4 2 3" xfId="12095" xr:uid="{D3A990EB-EDC0-436E-AE90-6514A542FCC9}"/>
    <cellStyle name="Normal 9 5 4 2 4" xfId="20531" xr:uid="{CEB5757B-74E4-48AD-852F-2CBE2802A685}"/>
    <cellStyle name="Normal 9 5 4 3" xfId="5726" xr:uid="{00000000-0005-0000-0000-000066200000}"/>
    <cellStyle name="Normal 9 5 4 3 2" xfId="14168" xr:uid="{C52DCB27-7F41-45A5-A6F7-D2427FDC29A4}"/>
    <cellStyle name="Normal 9 5 4 3 3" xfId="22603" xr:uid="{DC03E630-47CD-48DC-B07B-A9DFD1AA462B}"/>
    <cellStyle name="Normal 9 5 4 4" xfId="9950" xr:uid="{4D6F10F9-4556-4AE0-B0E9-B3631B11660F}"/>
    <cellStyle name="Normal 9 5 4 5" xfId="18386" xr:uid="{90B05CAF-F246-40ED-95D6-C07620E356DA}"/>
    <cellStyle name="Normal 9 5 5" xfId="1831" xr:uid="{00000000-0005-0000-0000-000067200000}"/>
    <cellStyle name="Normal 9 5 5 2" xfId="4061" xr:uid="{00000000-0005-0000-0000-000068200000}"/>
    <cellStyle name="Normal 9 5 5 2 2" xfId="8284" xr:uid="{00000000-0005-0000-0000-000069200000}"/>
    <cellStyle name="Normal 9 5 5 2 2 2" xfId="16726" xr:uid="{AF759863-8661-4EE0-9321-092F4EE70BD2}"/>
    <cellStyle name="Normal 9 5 5 2 2 3" xfId="25161" xr:uid="{DC616CF6-BC8E-42CE-BE73-29AFF25B96B3}"/>
    <cellStyle name="Normal 9 5 5 2 3" xfId="12508" xr:uid="{90A729D2-FC03-419B-8B45-19682FBEC885}"/>
    <cellStyle name="Normal 9 5 5 2 4" xfId="20944" xr:uid="{55F287A2-71C9-4CA2-BF64-DC45754ADBD1}"/>
    <cellStyle name="Normal 9 5 5 3" xfId="6139" xr:uid="{00000000-0005-0000-0000-00006A200000}"/>
    <cellStyle name="Normal 9 5 5 3 2" xfId="14581" xr:uid="{4DF3D876-284E-482C-AE66-9B33C3252168}"/>
    <cellStyle name="Normal 9 5 5 3 3" xfId="23016" xr:uid="{811BA091-72DA-416D-94A7-AD52870E1FFB}"/>
    <cellStyle name="Normal 9 5 5 4" xfId="10363" xr:uid="{4FB5AD5E-3B42-45F2-8E8D-0243A9E337DC}"/>
    <cellStyle name="Normal 9 5 5 5" xfId="18799" xr:uid="{BE8F1D31-555A-491C-89D2-98846DBF520C}"/>
    <cellStyle name="Normal 9 5 6" xfId="2245" xr:uid="{00000000-0005-0000-0000-00006B200000}"/>
    <cellStyle name="Normal 9 5 6 2" xfId="4474" xr:uid="{00000000-0005-0000-0000-00006C200000}"/>
    <cellStyle name="Normal 9 5 6 2 2" xfId="8697" xr:uid="{00000000-0005-0000-0000-00006D200000}"/>
    <cellStyle name="Normal 9 5 6 2 2 2" xfId="17139" xr:uid="{4B5D7D19-D5EC-471F-9B33-864A3DC9B693}"/>
    <cellStyle name="Normal 9 5 6 2 2 3" xfId="25574" xr:uid="{27F9728F-AEEE-491A-8C6D-48C78E8A0BA5}"/>
    <cellStyle name="Normal 9 5 6 2 3" xfId="12921" xr:uid="{17C42DDE-32BA-41B3-A5DC-B46CF05A6030}"/>
    <cellStyle name="Normal 9 5 6 2 4" xfId="21357" xr:uid="{FC8EA78C-DFC3-4E92-AB87-8062BD1D4700}"/>
    <cellStyle name="Normal 9 5 6 3" xfId="6552" xr:uid="{00000000-0005-0000-0000-00006E200000}"/>
    <cellStyle name="Normal 9 5 6 3 2" xfId="14994" xr:uid="{D550C094-47B1-4A1E-BB73-2747A19EBB73}"/>
    <cellStyle name="Normal 9 5 6 3 3" xfId="23429" xr:uid="{D404407C-5807-4755-B430-79225124EA4F}"/>
    <cellStyle name="Normal 9 5 6 4" xfId="10776" xr:uid="{2B902138-1361-4CC6-8B32-BE6053359DF1}"/>
    <cellStyle name="Normal 9 5 6 5" xfId="19212" xr:uid="{5E9428F9-ECD2-47F1-A9A5-FA00B2AFF3F1}"/>
    <cellStyle name="Normal 9 5 7" xfId="2681" xr:uid="{00000000-0005-0000-0000-00006F200000}"/>
    <cellStyle name="Normal 9 5 7 2" xfId="6965" xr:uid="{00000000-0005-0000-0000-000070200000}"/>
    <cellStyle name="Normal 9 5 7 2 2" xfId="15407" xr:uid="{A1B8C559-2E7D-4470-B5E9-A89EB6E72F02}"/>
    <cellStyle name="Normal 9 5 7 2 3" xfId="23842" xr:uid="{D91B411B-E8E4-46E5-A48D-85F9C861F84E}"/>
    <cellStyle name="Normal 9 5 7 3" xfId="11189" xr:uid="{9597AB13-263B-4D65-86F0-91265C45F2D9}"/>
    <cellStyle name="Normal 9 5 7 4" xfId="19625" xr:uid="{EB3E3E31-711C-4788-9C71-40B5129F8FB4}"/>
    <cellStyle name="Normal 9 5 8" xfId="4900" xr:uid="{00000000-0005-0000-0000-000071200000}"/>
    <cellStyle name="Normal 9 5 8 2" xfId="13342" xr:uid="{5CA7F74A-4307-4D64-86AE-A7D757BBDD1A}"/>
    <cellStyle name="Normal 9 5 8 3" xfId="21777" xr:uid="{8A8D9EB9-AF21-4946-AD9D-44622CB8CCA2}"/>
    <cellStyle name="Normal 9 5 9" xfId="9124" xr:uid="{2A0083A4-617F-45BE-97F5-F14EF5CE59A8}"/>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2 2 2" xfId="15902" xr:uid="{9EB9740B-D732-47EB-81B6-CE5800557281}"/>
    <cellStyle name="Normal 9 6 2 2 2 3" xfId="24337" xr:uid="{30E9F37F-766A-4A65-8DE0-CE89C604ED62}"/>
    <cellStyle name="Normal 9 6 2 2 3" xfId="11684" xr:uid="{4955CA2D-E855-44B0-ACB9-6A3D4875DF9D}"/>
    <cellStyle name="Normal 9 6 2 2 4" xfId="20120" xr:uid="{30EE8BCD-504E-49E0-BF8C-6CA406342CAD}"/>
    <cellStyle name="Normal 9 6 2 3" xfId="5315" xr:uid="{00000000-0005-0000-0000-000076200000}"/>
    <cellStyle name="Normal 9 6 2 3 2" xfId="13757" xr:uid="{62B49BC4-4C6F-42AB-8407-5E32957C5483}"/>
    <cellStyle name="Normal 9 6 2 3 3" xfId="22192" xr:uid="{E4765F1E-EED9-4596-8229-5EC0204DAE02}"/>
    <cellStyle name="Normal 9 6 2 4" xfId="9539" xr:uid="{7F9B7549-28EF-4FCE-B6B5-DEC9243938B0}"/>
    <cellStyle name="Normal 9 6 2 5" xfId="17975" xr:uid="{C21E2A6B-BB8A-492D-8FCB-D13B9CC5A171}"/>
    <cellStyle name="Normal 9 6 3" xfId="1420" xr:uid="{00000000-0005-0000-0000-000077200000}"/>
    <cellStyle name="Normal 9 6 3 2" xfId="3650" xr:uid="{00000000-0005-0000-0000-000078200000}"/>
    <cellStyle name="Normal 9 6 3 2 2" xfId="7873" xr:uid="{00000000-0005-0000-0000-000079200000}"/>
    <cellStyle name="Normal 9 6 3 2 2 2" xfId="16315" xr:uid="{92880627-7084-456A-8949-ACDD671EEAF0}"/>
    <cellStyle name="Normal 9 6 3 2 2 3" xfId="24750" xr:uid="{0F02DD3E-B1F6-4322-95B3-0611D073C37E}"/>
    <cellStyle name="Normal 9 6 3 2 3" xfId="12097" xr:uid="{7C5FF603-41F2-4425-8BDE-CC7685EA4800}"/>
    <cellStyle name="Normal 9 6 3 2 4" xfId="20533" xr:uid="{85FD3E40-2EA4-44FB-8865-E17F94A4B21F}"/>
    <cellStyle name="Normal 9 6 3 3" xfId="5728" xr:uid="{00000000-0005-0000-0000-00007A200000}"/>
    <cellStyle name="Normal 9 6 3 3 2" xfId="14170" xr:uid="{6E4EFA7D-B9EC-46B4-8752-B47AA9B13EC4}"/>
    <cellStyle name="Normal 9 6 3 3 3" xfId="22605" xr:uid="{18D26B77-C247-44B3-9C91-54D33F012370}"/>
    <cellStyle name="Normal 9 6 3 4" xfId="9952" xr:uid="{59BD32F4-0C96-4512-ADCE-A311E452CE9F}"/>
    <cellStyle name="Normal 9 6 3 5" xfId="18388" xr:uid="{CC1AEF12-3460-4CC4-B2C3-C07CECB688FE}"/>
    <cellStyle name="Normal 9 6 4" xfId="1833" xr:uid="{00000000-0005-0000-0000-00007B200000}"/>
    <cellStyle name="Normal 9 6 4 2" xfId="4063" xr:uid="{00000000-0005-0000-0000-00007C200000}"/>
    <cellStyle name="Normal 9 6 4 2 2" xfId="8286" xr:uid="{00000000-0005-0000-0000-00007D200000}"/>
    <cellStyle name="Normal 9 6 4 2 2 2" xfId="16728" xr:uid="{79777492-7898-4E84-A010-EE4AE5A8013E}"/>
    <cellStyle name="Normal 9 6 4 2 2 3" xfId="25163" xr:uid="{40E82421-2E07-4C4B-8D03-8EE277ACA24F}"/>
    <cellStyle name="Normal 9 6 4 2 3" xfId="12510" xr:uid="{18708F26-EB95-4304-9F5B-6777D7CD290F}"/>
    <cellStyle name="Normal 9 6 4 2 4" xfId="20946" xr:uid="{99149AD6-A291-4732-9CA8-D78537DC312C}"/>
    <cellStyle name="Normal 9 6 4 3" xfId="6141" xr:uid="{00000000-0005-0000-0000-00007E200000}"/>
    <cellStyle name="Normal 9 6 4 3 2" xfId="14583" xr:uid="{F257578E-075E-4C45-A7DF-4150BAA85A99}"/>
    <cellStyle name="Normal 9 6 4 3 3" xfId="23018" xr:uid="{FA0BA92D-B8A0-46DD-9EAB-3A788BE981FB}"/>
    <cellStyle name="Normal 9 6 4 4" xfId="10365" xr:uid="{FA5ED208-05B2-43D2-80DC-0E48115B2EED}"/>
    <cellStyle name="Normal 9 6 4 5" xfId="18801" xr:uid="{F460E6CC-68DF-4AB2-A696-0A303777E823}"/>
    <cellStyle name="Normal 9 6 5" xfId="2247" xr:uid="{00000000-0005-0000-0000-00007F200000}"/>
    <cellStyle name="Normal 9 6 5 2" xfId="4476" xr:uid="{00000000-0005-0000-0000-000080200000}"/>
    <cellStyle name="Normal 9 6 5 2 2" xfId="8699" xr:uid="{00000000-0005-0000-0000-000081200000}"/>
    <cellStyle name="Normal 9 6 5 2 2 2" xfId="17141" xr:uid="{9DDC2F19-53F2-402A-8998-659431DE5648}"/>
    <cellStyle name="Normal 9 6 5 2 2 3" xfId="25576" xr:uid="{8BA255B7-7900-4101-948D-2725D3716260}"/>
    <cellStyle name="Normal 9 6 5 2 3" xfId="12923" xr:uid="{80E7B8E2-329D-458F-8AE6-3E91CFC6D71F}"/>
    <cellStyle name="Normal 9 6 5 2 4" xfId="21359" xr:uid="{5A6DA56C-67D5-46C8-84C2-7061E4C7E372}"/>
    <cellStyle name="Normal 9 6 5 3" xfId="6554" xr:uid="{00000000-0005-0000-0000-000082200000}"/>
    <cellStyle name="Normal 9 6 5 3 2" xfId="14996" xr:uid="{4C2AB104-7DB0-4047-928D-DC7191D22FBC}"/>
    <cellStyle name="Normal 9 6 5 3 3" xfId="23431" xr:uid="{86B184AA-97EB-4C1F-8746-D96D8811C3DC}"/>
    <cellStyle name="Normal 9 6 5 4" xfId="10778" xr:uid="{32059017-CF10-4D62-AA4E-BB7639461ECB}"/>
    <cellStyle name="Normal 9 6 5 5" xfId="19214" xr:uid="{3B445564-214E-45F9-A070-2EAFCD9A342D}"/>
    <cellStyle name="Normal 9 6 6" xfId="2683" xr:uid="{00000000-0005-0000-0000-000083200000}"/>
    <cellStyle name="Normal 9 6 6 2" xfId="6967" xr:uid="{00000000-0005-0000-0000-000084200000}"/>
    <cellStyle name="Normal 9 6 6 2 2" xfId="15409" xr:uid="{3B60F513-8083-4C7E-96BF-18678E0AA04D}"/>
    <cellStyle name="Normal 9 6 6 2 3" xfId="23844" xr:uid="{8786A55B-60B3-4DF9-86E8-1770C0A739CC}"/>
    <cellStyle name="Normal 9 6 6 3" xfId="11191" xr:uid="{5C8F3397-A929-421C-A26C-EC49C71A42C0}"/>
    <cellStyle name="Normal 9 6 6 4" xfId="19627" xr:uid="{4DDD1317-0C7F-4A9A-9C13-DCDC539F24E1}"/>
    <cellStyle name="Normal 9 6 7" xfId="4902" xr:uid="{00000000-0005-0000-0000-000085200000}"/>
    <cellStyle name="Normal 9 6 7 2" xfId="13344" xr:uid="{29198AFC-DB23-49DA-86AB-0DDE0EE6FE66}"/>
    <cellStyle name="Normal 9 6 7 3" xfId="21779" xr:uid="{E56B6CB8-14BD-4E04-8170-FFDC88649F62}"/>
    <cellStyle name="Normal 9 6 8" xfId="9126" xr:uid="{B46A0E43-D7D2-488D-8196-DEB8BF0B4458}"/>
    <cellStyle name="Normal 9 6 9" xfId="17562" xr:uid="{E0B10922-E784-4454-8529-B928C575653F}"/>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0 2 2" xfId="15490" xr:uid="{15F3FD9A-531F-4A45-80E3-241B83F8F3A9}"/>
    <cellStyle name="Note 2 2 10 2 3" xfId="23925" xr:uid="{2F433AA2-B039-45A9-BF89-0060FBBDBF35}"/>
    <cellStyle name="Note 2 2 10 3" xfId="11272" xr:uid="{9817B9AD-C622-4F50-B283-73C191575D56}"/>
    <cellStyle name="Note 2 2 10 4" xfId="19708" xr:uid="{5C71B0AD-FE66-41EC-8680-9711EDAA5857}"/>
    <cellStyle name="Note 2 2 11" xfId="4903" xr:uid="{00000000-0005-0000-0000-000094200000}"/>
    <cellStyle name="Note 2 2 11 2" xfId="13345" xr:uid="{4D9BE336-B6BC-49F6-A818-437B00D69F2F}"/>
    <cellStyle name="Note 2 2 11 3" xfId="21780" xr:uid="{D8A87AF6-FAE4-467C-9BDB-1DCFCD1DEBCD}"/>
    <cellStyle name="Note 2 2 12" xfId="9127" xr:uid="{B4F38CDB-FD84-4B19-9809-2CF961EBB831}"/>
    <cellStyle name="Note 2 2 13" xfId="17563" xr:uid="{212D1C39-2A72-4C5E-A048-EAD7BA6E657D}"/>
    <cellStyle name="Note 2 2 2" xfId="546" xr:uid="{00000000-0005-0000-0000-000095200000}"/>
    <cellStyle name="Note 2 2 2 10" xfId="4904" xr:uid="{00000000-0005-0000-0000-000096200000}"/>
    <cellStyle name="Note 2 2 2 10 2" xfId="13346" xr:uid="{CF3139F7-C282-44C9-B553-DEF57F024B8C}"/>
    <cellStyle name="Note 2 2 2 10 3" xfId="21781" xr:uid="{377D6B3D-1407-4B5B-9CDB-C62F53F2997C}"/>
    <cellStyle name="Note 2 2 2 11" xfId="9128" xr:uid="{9D6BAFFE-1947-4F00-BD87-C27E2B162896}"/>
    <cellStyle name="Note 2 2 2 12" xfId="17564" xr:uid="{69904BCB-5ADD-4337-A679-ABE5162221F1}"/>
    <cellStyle name="Note 2 2 2 2" xfId="547" xr:uid="{00000000-0005-0000-0000-000097200000}"/>
    <cellStyle name="Note 2 2 2 2 10" xfId="9129" xr:uid="{4FA669E2-B549-443B-B050-7539C7FBE5C8}"/>
    <cellStyle name="Note 2 2 2 2 11" xfId="17565" xr:uid="{6668C757-DBEE-4387-A97A-A789DC069E72}"/>
    <cellStyle name="Note 2 2 2 2 2" xfId="1008" xr:uid="{00000000-0005-0000-0000-000098200000}"/>
    <cellStyle name="Note 2 2 2 2 2 2" xfId="3240" xr:uid="{00000000-0005-0000-0000-000099200000}"/>
    <cellStyle name="Note 2 2 2 2 2 2 2" xfId="7463" xr:uid="{00000000-0005-0000-0000-00009A200000}"/>
    <cellStyle name="Note 2 2 2 2 2 2 2 2" xfId="15905" xr:uid="{52916910-A372-48A0-8522-CB0428D24640}"/>
    <cellStyle name="Note 2 2 2 2 2 2 2 3" xfId="24340" xr:uid="{252FE0B7-CBD5-4E01-8039-B867B36030B7}"/>
    <cellStyle name="Note 2 2 2 2 2 2 3" xfId="11687" xr:uid="{6DE935BB-46CE-4645-AD04-5E5F822ECC18}"/>
    <cellStyle name="Note 2 2 2 2 2 2 4" xfId="20123" xr:uid="{2860D30A-DE37-4219-A12D-C2A69A408A5D}"/>
    <cellStyle name="Note 2 2 2 2 2 3" xfId="5318" xr:uid="{00000000-0005-0000-0000-00009B200000}"/>
    <cellStyle name="Note 2 2 2 2 2 3 2" xfId="13760" xr:uid="{E97EA08C-A059-451F-9C54-95CB2CF990DD}"/>
    <cellStyle name="Note 2 2 2 2 2 3 3" xfId="22195" xr:uid="{786D8AE8-722A-4F71-8922-725B5AA32DFE}"/>
    <cellStyle name="Note 2 2 2 2 2 4" xfId="9542" xr:uid="{D5B6B402-9D69-46E8-8F69-461800499441}"/>
    <cellStyle name="Note 2 2 2 2 2 5" xfId="17978" xr:uid="{3AC57397-0188-4DB4-99B4-EB9D762F4F46}"/>
    <cellStyle name="Note 2 2 2 2 3" xfId="1423" xr:uid="{00000000-0005-0000-0000-00009C200000}"/>
    <cellStyle name="Note 2 2 2 2 3 2" xfId="3653" xr:uid="{00000000-0005-0000-0000-00009D200000}"/>
    <cellStyle name="Note 2 2 2 2 3 2 2" xfId="7876" xr:uid="{00000000-0005-0000-0000-00009E200000}"/>
    <cellStyle name="Note 2 2 2 2 3 2 2 2" xfId="16318" xr:uid="{36420148-1C8C-41E8-AA01-0BF41D373305}"/>
    <cellStyle name="Note 2 2 2 2 3 2 2 3" xfId="24753" xr:uid="{B97A8693-31C4-406D-BFFC-821E8AFD0825}"/>
    <cellStyle name="Note 2 2 2 2 3 2 3" xfId="12100" xr:uid="{353EACC5-F2E3-428C-9222-F48914B34399}"/>
    <cellStyle name="Note 2 2 2 2 3 2 4" xfId="20536" xr:uid="{0EC3C9F7-E633-4DBB-99F1-8DB2E8D94662}"/>
    <cellStyle name="Note 2 2 2 2 3 3" xfId="5731" xr:uid="{00000000-0005-0000-0000-00009F200000}"/>
    <cellStyle name="Note 2 2 2 2 3 3 2" xfId="14173" xr:uid="{4A542361-84CD-460F-B7D4-3E9B27555019}"/>
    <cellStyle name="Note 2 2 2 2 3 3 3" xfId="22608" xr:uid="{4FBA65E4-E0D2-4259-858A-E0EBE581BB36}"/>
    <cellStyle name="Note 2 2 2 2 3 4" xfId="9955" xr:uid="{E1573843-1D1B-4FF2-9FEC-B991BA70DC03}"/>
    <cellStyle name="Note 2 2 2 2 3 5" xfId="18391" xr:uid="{4DF00007-3C98-4098-85C4-B5C3A16071C9}"/>
    <cellStyle name="Note 2 2 2 2 4" xfId="1837" xr:uid="{00000000-0005-0000-0000-0000A0200000}"/>
    <cellStyle name="Note 2 2 2 2 4 2" xfId="4066" xr:uid="{00000000-0005-0000-0000-0000A1200000}"/>
    <cellStyle name="Note 2 2 2 2 4 2 2" xfId="8289" xr:uid="{00000000-0005-0000-0000-0000A2200000}"/>
    <cellStyle name="Note 2 2 2 2 4 2 2 2" xfId="16731" xr:uid="{236D2471-21A7-4943-95B6-075BFEC0BD55}"/>
    <cellStyle name="Note 2 2 2 2 4 2 2 3" xfId="25166" xr:uid="{9548C224-503C-444C-834E-A4F078C43171}"/>
    <cellStyle name="Note 2 2 2 2 4 2 3" xfId="12513" xr:uid="{CB2D4DE4-B72D-44F6-8A3F-A006EABEDC97}"/>
    <cellStyle name="Note 2 2 2 2 4 2 4" xfId="20949" xr:uid="{13716F31-C4AC-48D1-85D5-671912B6CA5F}"/>
    <cellStyle name="Note 2 2 2 2 4 3" xfId="6144" xr:uid="{00000000-0005-0000-0000-0000A3200000}"/>
    <cellStyle name="Note 2 2 2 2 4 3 2" xfId="14586" xr:uid="{BAD4A5CB-D920-4B1F-9FBE-2F10CB64E19C}"/>
    <cellStyle name="Note 2 2 2 2 4 3 3" xfId="23021" xr:uid="{8F1AC84C-0B49-4E44-BC4F-A1FF0DFA9665}"/>
    <cellStyle name="Note 2 2 2 2 4 4" xfId="10368" xr:uid="{09BAC35C-99C4-4CD4-A3DE-FF6EA596F81C}"/>
    <cellStyle name="Note 2 2 2 2 4 5" xfId="18804" xr:uid="{7EA5048C-9B3D-4839-B1B3-CD1D32ABBFD8}"/>
    <cellStyle name="Note 2 2 2 2 5" xfId="2250" xr:uid="{00000000-0005-0000-0000-0000A4200000}"/>
    <cellStyle name="Note 2 2 2 2 5 2" xfId="4479" xr:uid="{00000000-0005-0000-0000-0000A5200000}"/>
    <cellStyle name="Note 2 2 2 2 5 2 2" xfId="8702" xr:uid="{00000000-0005-0000-0000-0000A6200000}"/>
    <cellStyle name="Note 2 2 2 2 5 2 2 2" xfId="17144" xr:uid="{1E7CED73-B715-4869-9BA3-08BCC2B29AD4}"/>
    <cellStyle name="Note 2 2 2 2 5 2 2 3" xfId="25579" xr:uid="{E7019E65-9D9E-41B3-9559-268BFFEE9C1C}"/>
    <cellStyle name="Note 2 2 2 2 5 2 3" xfId="12926" xr:uid="{ED0567E1-D70B-4BF3-89FA-E974C693635F}"/>
    <cellStyle name="Note 2 2 2 2 5 2 4" xfId="21362" xr:uid="{AAE7D222-5B48-41C5-906B-B00D107C88E7}"/>
    <cellStyle name="Note 2 2 2 2 5 3" xfId="6557" xr:uid="{00000000-0005-0000-0000-0000A7200000}"/>
    <cellStyle name="Note 2 2 2 2 5 3 2" xfId="14999" xr:uid="{0B13F56F-D145-4EC8-9682-2D54561E249F}"/>
    <cellStyle name="Note 2 2 2 2 5 3 3" xfId="23434" xr:uid="{022ECBB6-5D83-4A2F-B2D6-931E9E8C1CCC}"/>
    <cellStyle name="Note 2 2 2 2 5 4" xfId="10781" xr:uid="{76BC2889-3EC3-4D23-B770-C3E0C1BE1343}"/>
    <cellStyle name="Note 2 2 2 2 5 5" xfId="19217" xr:uid="{EDE68746-C06D-4382-BA2C-25B5090C6334}"/>
    <cellStyle name="Note 2 2 2 2 6" xfId="2686" xr:uid="{00000000-0005-0000-0000-0000A8200000}"/>
    <cellStyle name="Note 2 2 2 2 6 2" xfId="6970" xr:uid="{00000000-0005-0000-0000-0000A9200000}"/>
    <cellStyle name="Note 2 2 2 2 6 2 2" xfId="15412" xr:uid="{65453745-0CE7-4EFA-9C0C-4E36717CC0AF}"/>
    <cellStyle name="Note 2 2 2 2 6 2 3" xfId="23847" xr:uid="{54C3EF18-2A2D-4F86-B6A2-1EFEB3D61F5F}"/>
    <cellStyle name="Note 2 2 2 2 6 3" xfId="11194" xr:uid="{10E90A5C-A46D-454C-A7FE-B4DA91A246E0}"/>
    <cellStyle name="Note 2 2 2 2 6 4" xfId="19630" xr:uid="{BDDFCF7E-0802-4839-85AF-F2E2D8E4FBC8}"/>
    <cellStyle name="Note 2 2 2 2 7" xfId="2745" xr:uid="{00000000-0005-0000-0000-0000AA200000}"/>
    <cellStyle name="Note 2 2 2 2 8" xfId="2826" xr:uid="{00000000-0005-0000-0000-0000AB200000}"/>
    <cellStyle name="Note 2 2 2 2 8 2" xfId="7050" xr:uid="{00000000-0005-0000-0000-0000AC200000}"/>
    <cellStyle name="Note 2 2 2 2 8 2 2" xfId="15492" xr:uid="{0FE0DBBD-8AB3-43F6-BAA1-C00C3BA85299}"/>
    <cellStyle name="Note 2 2 2 2 8 2 3" xfId="23927" xr:uid="{CD9A5752-421E-41C9-A98E-0F01AE2DCB71}"/>
    <cellStyle name="Note 2 2 2 2 8 3" xfId="11274" xr:uid="{5A5E1E9F-9FF3-48C7-85C6-F73C15BACF74}"/>
    <cellStyle name="Note 2 2 2 2 8 4" xfId="19710" xr:uid="{6557BD29-F5E0-4F15-9E73-86F7290FFDD1}"/>
    <cellStyle name="Note 2 2 2 2 9" xfId="4905" xr:uid="{00000000-0005-0000-0000-0000AD200000}"/>
    <cellStyle name="Note 2 2 2 2 9 2" xfId="13347" xr:uid="{330B2753-5442-4440-BD90-A62270DCF94F}"/>
    <cellStyle name="Note 2 2 2 2 9 3" xfId="21782" xr:uid="{95337644-B564-41F8-9DC1-15D776C4C7AF}"/>
    <cellStyle name="Note 2 2 2 3" xfId="1007" xr:uid="{00000000-0005-0000-0000-0000AE200000}"/>
    <cellStyle name="Note 2 2 2 3 2" xfId="3239" xr:uid="{00000000-0005-0000-0000-0000AF200000}"/>
    <cellStyle name="Note 2 2 2 3 2 2" xfId="7462" xr:uid="{00000000-0005-0000-0000-0000B0200000}"/>
    <cellStyle name="Note 2 2 2 3 2 2 2" xfId="15904" xr:uid="{E82F1B58-25E7-4908-B689-0973D9B31F18}"/>
    <cellStyle name="Note 2 2 2 3 2 2 3" xfId="24339" xr:uid="{76C95BC9-B249-4177-99D4-A4C872975AA6}"/>
    <cellStyle name="Note 2 2 2 3 2 3" xfId="11686" xr:uid="{20E7F23B-05B3-4144-92C5-BB91A95803E4}"/>
    <cellStyle name="Note 2 2 2 3 2 4" xfId="20122" xr:uid="{38B73899-747F-47AF-B804-CEE545BE9C64}"/>
    <cellStyle name="Note 2 2 2 3 3" xfId="5317" xr:uid="{00000000-0005-0000-0000-0000B1200000}"/>
    <cellStyle name="Note 2 2 2 3 3 2" xfId="13759" xr:uid="{F6D026B7-D9AF-4DC7-824C-B9A44148F8DA}"/>
    <cellStyle name="Note 2 2 2 3 3 3" xfId="22194" xr:uid="{AA9B1E70-CC9E-469F-A3EF-C7B22F847F1E}"/>
    <cellStyle name="Note 2 2 2 3 4" xfId="9541" xr:uid="{EA1382D4-31E7-4B4F-B3E6-D47666625EF5}"/>
    <cellStyle name="Note 2 2 2 3 5" xfId="17977" xr:uid="{A9D3E6A8-F2C2-41C4-AB2C-32CE292A6CE5}"/>
    <cellStyle name="Note 2 2 2 4" xfId="1422" xr:uid="{00000000-0005-0000-0000-0000B2200000}"/>
    <cellStyle name="Note 2 2 2 4 2" xfId="3652" xr:uid="{00000000-0005-0000-0000-0000B3200000}"/>
    <cellStyle name="Note 2 2 2 4 2 2" xfId="7875" xr:uid="{00000000-0005-0000-0000-0000B4200000}"/>
    <cellStyle name="Note 2 2 2 4 2 2 2" xfId="16317" xr:uid="{92C80DD0-93A7-4852-92D3-7D959F028203}"/>
    <cellStyle name="Note 2 2 2 4 2 2 3" xfId="24752" xr:uid="{5954040D-9EFB-4B9C-A0F4-36C83930877C}"/>
    <cellStyle name="Note 2 2 2 4 2 3" xfId="12099" xr:uid="{D42D0A11-78F4-4794-B054-1C2DEFDEF991}"/>
    <cellStyle name="Note 2 2 2 4 2 4" xfId="20535" xr:uid="{BB51A77D-2EAE-4288-B1FC-DCAC02B9A1FE}"/>
    <cellStyle name="Note 2 2 2 4 3" xfId="5730" xr:uid="{00000000-0005-0000-0000-0000B5200000}"/>
    <cellStyle name="Note 2 2 2 4 3 2" xfId="14172" xr:uid="{9288F270-094F-400A-B917-C9310ADC710F}"/>
    <cellStyle name="Note 2 2 2 4 3 3" xfId="22607" xr:uid="{DD2FA88A-C824-4CB9-A1CB-76EB62741B1C}"/>
    <cellStyle name="Note 2 2 2 4 4" xfId="9954" xr:uid="{725F4698-38EA-4811-BC9A-845CDC0694CD}"/>
    <cellStyle name="Note 2 2 2 4 5" xfId="18390" xr:uid="{121FE8D6-22B4-4EB5-B75B-96ED44286518}"/>
    <cellStyle name="Note 2 2 2 5" xfId="1836" xr:uid="{00000000-0005-0000-0000-0000B6200000}"/>
    <cellStyle name="Note 2 2 2 5 2" xfId="4065" xr:uid="{00000000-0005-0000-0000-0000B7200000}"/>
    <cellStyle name="Note 2 2 2 5 2 2" xfId="8288" xr:uid="{00000000-0005-0000-0000-0000B8200000}"/>
    <cellStyle name="Note 2 2 2 5 2 2 2" xfId="16730" xr:uid="{B4580256-4272-4248-943A-74B4A5A89591}"/>
    <cellStyle name="Note 2 2 2 5 2 2 3" xfId="25165" xr:uid="{65D7758A-3E5F-4A49-8BEE-99744FB33927}"/>
    <cellStyle name="Note 2 2 2 5 2 3" xfId="12512" xr:uid="{CEE260E3-9212-4CE0-B57B-2B2E46BD7F69}"/>
    <cellStyle name="Note 2 2 2 5 2 4" xfId="20948" xr:uid="{40EBB92D-E22D-4E7E-9C0A-585DFC727798}"/>
    <cellStyle name="Note 2 2 2 5 3" xfId="6143" xr:uid="{00000000-0005-0000-0000-0000B9200000}"/>
    <cellStyle name="Note 2 2 2 5 3 2" xfId="14585" xr:uid="{811B982B-F779-4B39-91AC-4D8009FCB83C}"/>
    <cellStyle name="Note 2 2 2 5 3 3" xfId="23020" xr:uid="{31D8C85C-16CF-415D-9F7A-27D93C41BB13}"/>
    <cellStyle name="Note 2 2 2 5 4" xfId="10367" xr:uid="{F93A5196-2A99-46D0-8268-4B6BAF2E96F4}"/>
    <cellStyle name="Note 2 2 2 5 5" xfId="18803" xr:uid="{F15196A0-57BF-47C5-8FC9-A981A97B65AF}"/>
    <cellStyle name="Note 2 2 2 6" xfId="2249" xr:uid="{00000000-0005-0000-0000-0000BA200000}"/>
    <cellStyle name="Note 2 2 2 6 2" xfId="4478" xr:uid="{00000000-0005-0000-0000-0000BB200000}"/>
    <cellStyle name="Note 2 2 2 6 2 2" xfId="8701" xr:uid="{00000000-0005-0000-0000-0000BC200000}"/>
    <cellStyle name="Note 2 2 2 6 2 2 2" xfId="17143" xr:uid="{28B9E850-0792-4C9B-8676-B9E09B03ACD9}"/>
    <cellStyle name="Note 2 2 2 6 2 2 3" xfId="25578" xr:uid="{6D056760-F580-44FD-8FC6-88689C754853}"/>
    <cellStyle name="Note 2 2 2 6 2 3" xfId="12925" xr:uid="{79BE8540-0765-43AC-93F6-8BE34DF837C8}"/>
    <cellStyle name="Note 2 2 2 6 2 4" xfId="21361" xr:uid="{8345244B-72D1-4931-B5EA-DD763852F64A}"/>
    <cellStyle name="Note 2 2 2 6 3" xfId="6556" xr:uid="{00000000-0005-0000-0000-0000BD200000}"/>
    <cellStyle name="Note 2 2 2 6 3 2" xfId="14998" xr:uid="{866E4729-04D2-4C44-A53B-20482FFFCCCA}"/>
    <cellStyle name="Note 2 2 2 6 3 3" xfId="23433" xr:uid="{47E784B2-A0FF-44E6-85D5-496B380CD3C3}"/>
    <cellStyle name="Note 2 2 2 6 4" xfId="10780" xr:uid="{AA8D75C2-95FB-446C-8153-0C6FE7940764}"/>
    <cellStyle name="Note 2 2 2 6 5" xfId="19216" xr:uid="{67507D70-580F-4EA2-9248-8D9E0D2D7FED}"/>
    <cellStyle name="Note 2 2 2 7" xfId="2685" xr:uid="{00000000-0005-0000-0000-0000BE200000}"/>
    <cellStyle name="Note 2 2 2 7 2" xfId="6969" xr:uid="{00000000-0005-0000-0000-0000BF200000}"/>
    <cellStyle name="Note 2 2 2 7 2 2" xfId="15411" xr:uid="{7683B21F-A5C4-4A49-BD8D-98A88B301C9A}"/>
    <cellStyle name="Note 2 2 2 7 2 3" xfId="23846" xr:uid="{AE41B09A-18E6-4C25-864A-E04A618A614A}"/>
    <cellStyle name="Note 2 2 2 7 3" xfId="11193" xr:uid="{5D4EBAA2-D98E-442B-B3E0-FB15FB7EFACA}"/>
    <cellStyle name="Note 2 2 2 7 4" xfId="19629" xr:uid="{29DE0D61-2244-4894-8733-26BCE8FEC5B7}"/>
    <cellStyle name="Note 2 2 2 8" xfId="2744" xr:uid="{00000000-0005-0000-0000-0000C0200000}"/>
    <cellStyle name="Note 2 2 2 9" xfId="2825" xr:uid="{00000000-0005-0000-0000-0000C1200000}"/>
    <cellStyle name="Note 2 2 2 9 2" xfId="7049" xr:uid="{00000000-0005-0000-0000-0000C2200000}"/>
    <cellStyle name="Note 2 2 2 9 2 2" xfId="15491" xr:uid="{200D95C0-758F-424D-9EB7-D1D27BE365E0}"/>
    <cellStyle name="Note 2 2 2 9 2 3" xfId="23926" xr:uid="{0F5C147D-D2ED-43A2-B626-88D987208612}"/>
    <cellStyle name="Note 2 2 2 9 3" xfId="11273" xr:uid="{C344D5DF-E58E-48FD-8187-7FDC4D785A76}"/>
    <cellStyle name="Note 2 2 2 9 4" xfId="19709" xr:uid="{1C58B9EE-7DE9-46C2-B4AC-760253329111}"/>
    <cellStyle name="Note 2 2 3" xfId="548" xr:uid="{00000000-0005-0000-0000-0000C3200000}"/>
    <cellStyle name="Note 2 2 3 10" xfId="9130" xr:uid="{2CD999D9-E001-4969-9B0B-346D58694F2A}"/>
    <cellStyle name="Note 2 2 3 11" xfId="17566" xr:uid="{B3ACA7F9-A483-4DD3-9483-DB5E7882A4DC}"/>
    <cellStyle name="Note 2 2 3 2" xfId="1009" xr:uid="{00000000-0005-0000-0000-0000C4200000}"/>
    <cellStyle name="Note 2 2 3 2 2" xfId="3241" xr:uid="{00000000-0005-0000-0000-0000C5200000}"/>
    <cellStyle name="Note 2 2 3 2 2 2" xfId="7464" xr:uid="{00000000-0005-0000-0000-0000C6200000}"/>
    <cellStyle name="Note 2 2 3 2 2 2 2" xfId="15906" xr:uid="{7CFC7C0E-1BDB-4DE7-91D9-9EE0743453B9}"/>
    <cellStyle name="Note 2 2 3 2 2 2 3" xfId="24341" xr:uid="{929201FC-5A9C-4E1D-9BE4-DDA26A621A34}"/>
    <cellStyle name="Note 2 2 3 2 2 3" xfId="11688" xr:uid="{46522ECD-3347-49B3-AF47-787B5D1F9CA9}"/>
    <cellStyle name="Note 2 2 3 2 2 4" xfId="20124" xr:uid="{678F5DA9-D90B-46B9-8E6C-5E7FCC80DEA4}"/>
    <cellStyle name="Note 2 2 3 2 3" xfId="5319" xr:uid="{00000000-0005-0000-0000-0000C7200000}"/>
    <cellStyle name="Note 2 2 3 2 3 2" xfId="13761" xr:uid="{75022DE9-CB18-461B-BAC3-26AF6C093481}"/>
    <cellStyle name="Note 2 2 3 2 3 3" xfId="22196" xr:uid="{23991ADE-412D-4B65-916E-292E654F23F9}"/>
    <cellStyle name="Note 2 2 3 2 4" xfId="9543" xr:uid="{A3481952-C457-4656-837E-1319379EA6A7}"/>
    <cellStyle name="Note 2 2 3 2 5" xfId="17979" xr:uid="{DAE160A7-75C7-45F6-85EF-E3F5F19476D5}"/>
    <cellStyle name="Note 2 2 3 3" xfId="1424" xr:uid="{00000000-0005-0000-0000-0000C8200000}"/>
    <cellStyle name="Note 2 2 3 3 2" xfId="3654" xr:uid="{00000000-0005-0000-0000-0000C9200000}"/>
    <cellStyle name="Note 2 2 3 3 2 2" xfId="7877" xr:uid="{00000000-0005-0000-0000-0000CA200000}"/>
    <cellStyle name="Note 2 2 3 3 2 2 2" xfId="16319" xr:uid="{9648A85D-EE28-422A-93F9-271DEFD52235}"/>
    <cellStyle name="Note 2 2 3 3 2 2 3" xfId="24754" xr:uid="{2D1C3DA6-B646-434C-A98C-E85768E29947}"/>
    <cellStyle name="Note 2 2 3 3 2 3" xfId="12101" xr:uid="{82624C0B-F44A-43FE-A769-34813AEF780E}"/>
    <cellStyle name="Note 2 2 3 3 2 4" xfId="20537" xr:uid="{BBA7F86F-9C6A-4D4D-87DB-189548EF836B}"/>
    <cellStyle name="Note 2 2 3 3 3" xfId="5732" xr:uid="{00000000-0005-0000-0000-0000CB200000}"/>
    <cellStyle name="Note 2 2 3 3 3 2" xfId="14174" xr:uid="{3DE9E059-85E6-4EE1-A6FB-7EFCA1022C9F}"/>
    <cellStyle name="Note 2 2 3 3 3 3" xfId="22609" xr:uid="{9C723783-3D6B-4906-B896-2C3550F0644F}"/>
    <cellStyle name="Note 2 2 3 3 4" xfId="9956" xr:uid="{51780FC5-562E-4B5C-BCDD-2B2D060B1045}"/>
    <cellStyle name="Note 2 2 3 3 5" xfId="18392" xr:uid="{18766C4F-B9B8-4D52-9ADE-FA21CE544A6A}"/>
    <cellStyle name="Note 2 2 3 4" xfId="1838" xr:uid="{00000000-0005-0000-0000-0000CC200000}"/>
    <cellStyle name="Note 2 2 3 4 2" xfId="4067" xr:uid="{00000000-0005-0000-0000-0000CD200000}"/>
    <cellStyle name="Note 2 2 3 4 2 2" xfId="8290" xr:uid="{00000000-0005-0000-0000-0000CE200000}"/>
    <cellStyle name="Note 2 2 3 4 2 2 2" xfId="16732" xr:uid="{9D4F8E31-D236-4C4D-BB35-B915E7B24516}"/>
    <cellStyle name="Note 2 2 3 4 2 2 3" xfId="25167" xr:uid="{A575CE03-A463-45FE-9475-334C9D075143}"/>
    <cellStyle name="Note 2 2 3 4 2 3" xfId="12514" xr:uid="{9018B49A-46BD-45D4-ACEC-00CA37AB6A70}"/>
    <cellStyle name="Note 2 2 3 4 2 4" xfId="20950" xr:uid="{1DE0D5E3-66B0-496C-89AE-29143F51FDF1}"/>
    <cellStyle name="Note 2 2 3 4 3" xfId="6145" xr:uid="{00000000-0005-0000-0000-0000CF200000}"/>
    <cellStyle name="Note 2 2 3 4 3 2" xfId="14587" xr:uid="{61A8C9B3-BE32-4988-8D95-D1E8BA5800F6}"/>
    <cellStyle name="Note 2 2 3 4 3 3" xfId="23022" xr:uid="{9719A54D-E453-4E61-9537-BEA85659F56A}"/>
    <cellStyle name="Note 2 2 3 4 4" xfId="10369" xr:uid="{53E8E561-16B9-4C27-9026-694658FF47EB}"/>
    <cellStyle name="Note 2 2 3 4 5" xfId="18805" xr:uid="{5C1635DA-184C-4DF9-ADF5-7B516C4CC750}"/>
    <cellStyle name="Note 2 2 3 5" xfId="2251" xr:uid="{00000000-0005-0000-0000-0000D0200000}"/>
    <cellStyle name="Note 2 2 3 5 2" xfId="4480" xr:uid="{00000000-0005-0000-0000-0000D1200000}"/>
    <cellStyle name="Note 2 2 3 5 2 2" xfId="8703" xr:uid="{00000000-0005-0000-0000-0000D2200000}"/>
    <cellStyle name="Note 2 2 3 5 2 2 2" xfId="17145" xr:uid="{4BCDCA35-13D6-4D43-A97A-F10EE11B6E3A}"/>
    <cellStyle name="Note 2 2 3 5 2 2 3" xfId="25580" xr:uid="{D3D4CDFE-BD8A-415E-860D-48D23655D956}"/>
    <cellStyle name="Note 2 2 3 5 2 3" xfId="12927" xr:uid="{B44591FC-DDD4-4C94-8EAB-29996AE75DE0}"/>
    <cellStyle name="Note 2 2 3 5 2 4" xfId="21363" xr:uid="{CB4E33BA-79BE-4DF0-A909-4B423A372367}"/>
    <cellStyle name="Note 2 2 3 5 3" xfId="6558" xr:uid="{00000000-0005-0000-0000-0000D3200000}"/>
    <cellStyle name="Note 2 2 3 5 3 2" xfId="15000" xr:uid="{06559DB7-B8AC-43B4-AE6F-7D989DFC19EF}"/>
    <cellStyle name="Note 2 2 3 5 3 3" xfId="23435" xr:uid="{61F7AC7D-216C-449A-A735-0C4AD65E1DB1}"/>
    <cellStyle name="Note 2 2 3 5 4" xfId="10782" xr:uid="{A1AAC377-8E03-4DB8-BC8C-88AC83A42B12}"/>
    <cellStyle name="Note 2 2 3 5 5" xfId="19218" xr:uid="{26B4A581-39D8-4A03-BD1D-2F8C165724D4}"/>
    <cellStyle name="Note 2 2 3 6" xfId="2687" xr:uid="{00000000-0005-0000-0000-0000D4200000}"/>
    <cellStyle name="Note 2 2 3 6 2" xfId="6971" xr:uid="{00000000-0005-0000-0000-0000D5200000}"/>
    <cellStyle name="Note 2 2 3 6 2 2" xfId="15413" xr:uid="{058B0457-8097-4DBF-A8F0-D4401DBAC906}"/>
    <cellStyle name="Note 2 2 3 6 2 3" xfId="23848" xr:uid="{8BB57A0A-4236-475F-B430-76217126E364}"/>
    <cellStyle name="Note 2 2 3 6 3" xfId="11195" xr:uid="{1D711B06-6BE3-4BBE-A378-A1490B65E532}"/>
    <cellStyle name="Note 2 2 3 6 4" xfId="19631" xr:uid="{D362E78B-F049-4F59-B9CB-1995B038C780}"/>
    <cellStyle name="Note 2 2 3 7" xfId="2746" xr:uid="{00000000-0005-0000-0000-0000D6200000}"/>
    <cellStyle name="Note 2 2 3 8" xfId="2827" xr:uid="{00000000-0005-0000-0000-0000D7200000}"/>
    <cellStyle name="Note 2 2 3 8 2" xfId="7051" xr:uid="{00000000-0005-0000-0000-0000D8200000}"/>
    <cellStyle name="Note 2 2 3 8 2 2" xfId="15493" xr:uid="{1060150E-04B4-48D5-BD7B-48108C1100F4}"/>
    <cellStyle name="Note 2 2 3 8 2 3" xfId="23928" xr:uid="{940C5E58-FFE1-4B04-827A-E859EB65CA54}"/>
    <cellStyle name="Note 2 2 3 8 3" xfId="11275" xr:uid="{8B1AEBF1-D852-49C0-AC06-3F5A14370D93}"/>
    <cellStyle name="Note 2 2 3 8 4" xfId="19711" xr:uid="{F49F3158-92AE-415F-9CEA-251AA6C1176D}"/>
    <cellStyle name="Note 2 2 3 9" xfId="4906" xr:uid="{00000000-0005-0000-0000-0000D9200000}"/>
    <cellStyle name="Note 2 2 3 9 2" xfId="13348" xr:uid="{79B73D4C-E536-4CFB-AC39-D4C420FF213F}"/>
    <cellStyle name="Note 2 2 3 9 3" xfId="21783" xr:uid="{A9A3E04C-CA29-4A48-A916-0953415335E2}"/>
    <cellStyle name="Note 2 2 4" xfId="1006" xr:uid="{00000000-0005-0000-0000-0000DA200000}"/>
    <cellStyle name="Note 2 2 4 2" xfId="3238" xr:uid="{00000000-0005-0000-0000-0000DB200000}"/>
    <cellStyle name="Note 2 2 4 2 2" xfId="7461" xr:uid="{00000000-0005-0000-0000-0000DC200000}"/>
    <cellStyle name="Note 2 2 4 2 2 2" xfId="15903" xr:uid="{31F85A50-74D0-4193-BF3F-2D4D8AB27038}"/>
    <cellStyle name="Note 2 2 4 2 2 3" xfId="24338" xr:uid="{CB23DF9E-8A38-4A6C-BA51-58F79305309B}"/>
    <cellStyle name="Note 2 2 4 2 3" xfId="11685" xr:uid="{28B1BBFC-BEDF-4253-858B-BA137EF2F50A}"/>
    <cellStyle name="Note 2 2 4 2 4" xfId="20121" xr:uid="{CA912D5C-2C41-4FE3-AC5B-BD6F924D4DA6}"/>
    <cellStyle name="Note 2 2 4 3" xfId="5316" xr:uid="{00000000-0005-0000-0000-0000DD200000}"/>
    <cellStyle name="Note 2 2 4 3 2" xfId="13758" xr:uid="{36454A9E-1308-4184-9905-F7254195A4EE}"/>
    <cellStyle name="Note 2 2 4 3 3" xfId="22193" xr:uid="{973530E1-A5DC-4DD9-9291-F58CA4869794}"/>
    <cellStyle name="Note 2 2 4 4" xfId="9540" xr:uid="{6745B536-2E96-45D2-9EAA-8B83C16ECB0C}"/>
    <cellStyle name="Note 2 2 4 5" xfId="17976" xr:uid="{780E23C1-6703-490B-B337-31DBD4998A11}"/>
    <cellStyle name="Note 2 2 5" xfId="1421" xr:uid="{00000000-0005-0000-0000-0000DE200000}"/>
    <cellStyle name="Note 2 2 5 2" xfId="3651" xr:uid="{00000000-0005-0000-0000-0000DF200000}"/>
    <cellStyle name="Note 2 2 5 2 2" xfId="7874" xr:uid="{00000000-0005-0000-0000-0000E0200000}"/>
    <cellStyle name="Note 2 2 5 2 2 2" xfId="16316" xr:uid="{94CB623D-55A3-4DF3-B92F-F2F27AAFDA78}"/>
    <cellStyle name="Note 2 2 5 2 2 3" xfId="24751" xr:uid="{CA74B9D8-0CB6-423E-BF78-C9A64CA36D6A}"/>
    <cellStyle name="Note 2 2 5 2 3" xfId="12098" xr:uid="{CFD44EFA-47DE-4270-A362-C2F445DF502F}"/>
    <cellStyle name="Note 2 2 5 2 4" xfId="20534" xr:uid="{563F774C-FAD2-4BF4-A421-CA29FD9D0368}"/>
    <cellStyle name="Note 2 2 5 3" xfId="5729" xr:uid="{00000000-0005-0000-0000-0000E1200000}"/>
    <cellStyle name="Note 2 2 5 3 2" xfId="14171" xr:uid="{EBBB9A94-FACE-49C5-9CC2-9328A432F299}"/>
    <cellStyle name="Note 2 2 5 3 3" xfId="22606" xr:uid="{9E4A4F3E-1B96-4E56-A99A-FD164355CA0C}"/>
    <cellStyle name="Note 2 2 5 4" xfId="9953" xr:uid="{9269B684-4EA0-4B0A-9FD1-9B5EF7B4638E}"/>
    <cellStyle name="Note 2 2 5 5" xfId="18389" xr:uid="{D07FC0A4-66DF-422E-9A49-F66C3CB19A88}"/>
    <cellStyle name="Note 2 2 6" xfId="1835" xr:uid="{00000000-0005-0000-0000-0000E2200000}"/>
    <cellStyle name="Note 2 2 6 2" xfId="4064" xr:uid="{00000000-0005-0000-0000-0000E3200000}"/>
    <cellStyle name="Note 2 2 6 2 2" xfId="8287" xr:uid="{00000000-0005-0000-0000-0000E4200000}"/>
    <cellStyle name="Note 2 2 6 2 2 2" xfId="16729" xr:uid="{FF56BB0D-24E3-46DF-A45A-E5628E670026}"/>
    <cellStyle name="Note 2 2 6 2 2 3" xfId="25164" xr:uid="{B80C7568-C97C-4B7A-8FCA-3F1EF3481869}"/>
    <cellStyle name="Note 2 2 6 2 3" xfId="12511" xr:uid="{D0ACF49E-D5B4-4BCF-83B5-5E94BFAC83F4}"/>
    <cellStyle name="Note 2 2 6 2 4" xfId="20947" xr:uid="{BC6A9A6D-10E2-4486-96B7-C0641A5EE865}"/>
    <cellStyle name="Note 2 2 6 3" xfId="6142" xr:uid="{00000000-0005-0000-0000-0000E5200000}"/>
    <cellStyle name="Note 2 2 6 3 2" xfId="14584" xr:uid="{E11AAC21-E5F8-4E7A-93B8-936D2CB9E138}"/>
    <cellStyle name="Note 2 2 6 3 3" xfId="23019" xr:uid="{DFA45044-FA9B-40DE-803A-C0BDD5096FCE}"/>
    <cellStyle name="Note 2 2 6 4" xfId="10366" xr:uid="{B5B88719-152F-4E12-8040-E4157A648D63}"/>
    <cellStyle name="Note 2 2 6 5" xfId="18802" xr:uid="{8032B3B8-81AC-45D7-8860-942D65E9216E}"/>
    <cellStyle name="Note 2 2 7" xfId="2248" xr:uid="{00000000-0005-0000-0000-0000E6200000}"/>
    <cellStyle name="Note 2 2 7 2" xfId="4477" xr:uid="{00000000-0005-0000-0000-0000E7200000}"/>
    <cellStyle name="Note 2 2 7 2 2" xfId="8700" xr:uid="{00000000-0005-0000-0000-0000E8200000}"/>
    <cellStyle name="Note 2 2 7 2 2 2" xfId="17142" xr:uid="{750D0579-1E9B-44FC-B0A2-3C08FE6D3284}"/>
    <cellStyle name="Note 2 2 7 2 2 3" xfId="25577" xr:uid="{BF68037F-7D2F-478D-9177-BE756F36BF25}"/>
    <cellStyle name="Note 2 2 7 2 3" xfId="12924" xr:uid="{C7B8EB6C-ADCE-45EA-90CE-1C320C2825A3}"/>
    <cellStyle name="Note 2 2 7 2 4" xfId="21360" xr:uid="{3604F02B-7FC3-48DD-8E1E-EAB3B9C47149}"/>
    <cellStyle name="Note 2 2 7 3" xfId="6555" xr:uid="{00000000-0005-0000-0000-0000E9200000}"/>
    <cellStyle name="Note 2 2 7 3 2" xfId="14997" xr:uid="{D5796CFE-ACA6-41A7-B91C-A095A1BD5393}"/>
    <cellStyle name="Note 2 2 7 3 3" xfId="23432" xr:uid="{82DFBD0B-31FB-4C60-BFF7-E0CE6BD5FA3D}"/>
    <cellStyle name="Note 2 2 7 4" xfId="10779" xr:uid="{4DA15C26-90A9-4F16-A681-000C1B01E1B2}"/>
    <cellStyle name="Note 2 2 7 5" xfId="19215" xr:uid="{8E381FA9-3252-49B7-8160-B53C47DF36D2}"/>
    <cellStyle name="Note 2 2 8" xfId="2684" xr:uid="{00000000-0005-0000-0000-0000EA200000}"/>
    <cellStyle name="Note 2 2 8 2" xfId="6968" xr:uid="{00000000-0005-0000-0000-0000EB200000}"/>
    <cellStyle name="Note 2 2 8 2 2" xfId="15410" xr:uid="{02302A7B-4D12-4B66-A955-FDC988D6F9F7}"/>
    <cellStyle name="Note 2 2 8 2 3" xfId="23845" xr:uid="{22F1B58B-7D46-4FAF-B4B1-FFC7095FC0FB}"/>
    <cellStyle name="Note 2 2 8 3" xfId="11192" xr:uid="{E110E485-FD32-4BFB-A0ED-7B6D4526B255}"/>
    <cellStyle name="Note 2 2 8 4" xfId="19628" xr:uid="{3515769E-9C98-4890-B2FD-403E6008A1E7}"/>
    <cellStyle name="Note 2 2 9" xfId="2743" xr:uid="{00000000-0005-0000-0000-0000EC200000}"/>
    <cellStyle name="Note 2 3" xfId="549" xr:uid="{00000000-0005-0000-0000-0000ED200000}"/>
    <cellStyle name="Note 2 3 10" xfId="4907" xr:uid="{00000000-0005-0000-0000-0000EE200000}"/>
    <cellStyle name="Note 2 3 10 2" xfId="13349" xr:uid="{526E30C5-04DA-478D-9EDB-06F186868A31}"/>
    <cellStyle name="Note 2 3 10 3" xfId="21784" xr:uid="{B5DA2168-B925-4424-88AF-D9AAB00062E1}"/>
    <cellStyle name="Note 2 3 11" xfId="9131" xr:uid="{97669CA4-1185-4DB8-9FFF-F4C71DE02152}"/>
    <cellStyle name="Note 2 3 12" xfId="17567" xr:uid="{EA3FF3BE-6C32-4819-92CE-F4B5EF2D7CEE}"/>
    <cellStyle name="Note 2 3 2" xfId="550" xr:uid="{00000000-0005-0000-0000-0000EF200000}"/>
    <cellStyle name="Note 2 3 2 10" xfId="9132" xr:uid="{54428802-7D96-4EF9-AFAC-BDE791AC2ACC}"/>
    <cellStyle name="Note 2 3 2 11" xfId="17568" xr:uid="{9EA4C2F7-E87F-4278-9F7F-59E5CBC679D3}"/>
    <cellStyle name="Note 2 3 2 2" xfId="1011" xr:uid="{00000000-0005-0000-0000-0000F0200000}"/>
    <cellStyle name="Note 2 3 2 2 2" xfId="3243" xr:uid="{00000000-0005-0000-0000-0000F1200000}"/>
    <cellStyle name="Note 2 3 2 2 2 2" xfId="7466" xr:uid="{00000000-0005-0000-0000-0000F2200000}"/>
    <cellStyle name="Note 2 3 2 2 2 2 2" xfId="15908" xr:uid="{375170DF-9B44-4727-BE82-92818386A0AB}"/>
    <cellStyle name="Note 2 3 2 2 2 2 3" xfId="24343" xr:uid="{D0A1C4E6-8664-42B9-9C2A-847C8B75584C}"/>
    <cellStyle name="Note 2 3 2 2 2 3" xfId="11690" xr:uid="{C94B4984-DDD7-4EC2-BF4C-B2DC325AA3A4}"/>
    <cellStyle name="Note 2 3 2 2 2 4" xfId="20126" xr:uid="{FF9172DF-159A-41CE-9920-AB7DD44942FE}"/>
    <cellStyle name="Note 2 3 2 2 3" xfId="5321" xr:uid="{00000000-0005-0000-0000-0000F3200000}"/>
    <cellStyle name="Note 2 3 2 2 3 2" xfId="13763" xr:uid="{131B1FC2-0ACB-481A-AFFD-B3690937D86F}"/>
    <cellStyle name="Note 2 3 2 2 3 3" xfId="22198" xr:uid="{D63821EA-D4DF-4F25-8091-BD7B98460F63}"/>
    <cellStyle name="Note 2 3 2 2 4" xfId="9545" xr:uid="{680862D6-CB15-4C94-B9C1-D1260B44EFBD}"/>
    <cellStyle name="Note 2 3 2 2 5" xfId="17981" xr:uid="{EBBA30B1-70A5-4703-B168-A5D288ACF8D6}"/>
    <cellStyle name="Note 2 3 2 3" xfId="1426" xr:uid="{00000000-0005-0000-0000-0000F4200000}"/>
    <cellStyle name="Note 2 3 2 3 2" xfId="3656" xr:uid="{00000000-0005-0000-0000-0000F5200000}"/>
    <cellStyle name="Note 2 3 2 3 2 2" xfId="7879" xr:uid="{00000000-0005-0000-0000-0000F6200000}"/>
    <cellStyle name="Note 2 3 2 3 2 2 2" xfId="16321" xr:uid="{33787BC8-585B-46D6-94FC-855FE1284A7E}"/>
    <cellStyle name="Note 2 3 2 3 2 2 3" xfId="24756" xr:uid="{1B3D4457-5DF6-4B88-9212-4FB24C93D2ED}"/>
    <cellStyle name="Note 2 3 2 3 2 3" xfId="12103" xr:uid="{E6848C16-E89F-4673-9368-316F0809E7BC}"/>
    <cellStyle name="Note 2 3 2 3 2 4" xfId="20539" xr:uid="{3EBFC071-396C-4D3E-B21E-B351C1DAFA51}"/>
    <cellStyle name="Note 2 3 2 3 3" xfId="5734" xr:uid="{00000000-0005-0000-0000-0000F7200000}"/>
    <cellStyle name="Note 2 3 2 3 3 2" xfId="14176" xr:uid="{6DD64A6E-3C38-4297-83BE-88FD5D2273F1}"/>
    <cellStyle name="Note 2 3 2 3 3 3" xfId="22611" xr:uid="{0240E8A5-12C5-4979-886C-FA67B527646A}"/>
    <cellStyle name="Note 2 3 2 3 4" xfId="9958" xr:uid="{64F9F58D-7EBF-49DC-8ECA-579071149539}"/>
    <cellStyle name="Note 2 3 2 3 5" xfId="18394" xr:uid="{552AC9A5-C63D-423E-BF78-4B70EE1DD612}"/>
    <cellStyle name="Note 2 3 2 4" xfId="1840" xr:uid="{00000000-0005-0000-0000-0000F8200000}"/>
    <cellStyle name="Note 2 3 2 4 2" xfId="4069" xr:uid="{00000000-0005-0000-0000-0000F9200000}"/>
    <cellStyle name="Note 2 3 2 4 2 2" xfId="8292" xr:uid="{00000000-0005-0000-0000-0000FA200000}"/>
    <cellStyle name="Note 2 3 2 4 2 2 2" xfId="16734" xr:uid="{5F2D63B9-7DE2-4671-AD58-83967D1D0751}"/>
    <cellStyle name="Note 2 3 2 4 2 2 3" xfId="25169" xr:uid="{B3F8F3D9-92A0-4C12-9D5B-8A3B21804537}"/>
    <cellStyle name="Note 2 3 2 4 2 3" xfId="12516" xr:uid="{C0CA9273-6DEA-4B7B-8762-B0A04A3C1468}"/>
    <cellStyle name="Note 2 3 2 4 2 4" xfId="20952" xr:uid="{A98EB4AD-FB69-4F91-80D3-6CCA00A285E1}"/>
    <cellStyle name="Note 2 3 2 4 3" xfId="6147" xr:uid="{00000000-0005-0000-0000-0000FB200000}"/>
    <cellStyle name="Note 2 3 2 4 3 2" xfId="14589" xr:uid="{4AC29684-8233-45B2-AEB0-3143D438C39D}"/>
    <cellStyle name="Note 2 3 2 4 3 3" xfId="23024" xr:uid="{EE05AFE9-636B-4E31-9FF5-E74289B6B97C}"/>
    <cellStyle name="Note 2 3 2 4 4" xfId="10371" xr:uid="{C0492074-A6A1-46EE-AC09-43003F886FE7}"/>
    <cellStyle name="Note 2 3 2 4 5" xfId="18807" xr:uid="{14D103F7-8FB5-46E4-962E-8C6BBF9668F3}"/>
    <cellStyle name="Note 2 3 2 5" xfId="2253" xr:uid="{00000000-0005-0000-0000-0000FC200000}"/>
    <cellStyle name="Note 2 3 2 5 2" xfId="4482" xr:uid="{00000000-0005-0000-0000-0000FD200000}"/>
    <cellStyle name="Note 2 3 2 5 2 2" xfId="8705" xr:uid="{00000000-0005-0000-0000-0000FE200000}"/>
    <cellStyle name="Note 2 3 2 5 2 2 2" xfId="17147" xr:uid="{36E47CC3-56EB-4B8A-9570-57123D06974F}"/>
    <cellStyle name="Note 2 3 2 5 2 2 3" xfId="25582" xr:uid="{47F6141E-5568-443E-8A96-BA49931CAA73}"/>
    <cellStyle name="Note 2 3 2 5 2 3" xfId="12929" xr:uid="{1336D567-102B-4BED-9FEA-20924B205167}"/>
    <cellStyle name="Note 2 3 2 5 2 4" xfId="21365" xr:uid="{7B53D21E-F3A1-4BA3-A959-FD19B37A8534}"/>
    <cellStyle name="Note 2 3 2 5 3" xfId="6560" xr:uid="{00000000-0005-0000-0000-0000FF200000}"/>
    <cellStyle name="Note 2 3 2 5 3 2" xfId="15002" xr:uid="{682CABE2-5B6E-4F28-9FE8-6138FFA4CE21}"/>
    <cellStyle name="Note 2 3 2 5 3 3" xfId="23437" xr:uid="{4E32BC32-6AFB-4FA2-9D77-B97B52AC98A9}"/>
    <cellStyle name="Note 2 3 2 5 4" xfId="10784" xr:uid="{F43F1BEC-6F4E-4634-8218-E60E74BD2DB5}"/>
    <cellStyle name="Note 2 3 2 5 5" xfId="19220" xr:uid="{E2AD7F42-970C-463E-92AF-06437B3E0FF7}"/>
    <cellStyle name="Note 2 3 2 6" xfId="2689" xr:uid="{00000000-0005-0000-0000-000000210000}"/>
    <cellStyle name="Note 2 3 2 6 2" xfId="6973" xr:uid="{00000000-0005-0000-0000-000001210000}"/>
    <cellStyle name="Note 2 3 2 6 2 2" xfId="15415" xr:uid="{6869593A-DD82-41EF-BB23-BA49B938809F}"/>
    <cellStyle name="Note 2 3 2 6 2 3" xfId="23850" xr:uid="{32E45EFD-A739-4CC6-AB2A-F06C8FA63770}"/>
    <cellStyle name="Note 2 3 2 6 3" xfId="11197" xr:uid="{5C91A2DF-B1FE-471E-BF7D-495603AAD76B}"/>
    <cellStyle name="Note 2 3 2 6 4" xfId="19633" xr:uid="{BBEEB551-ABA0-42D1-81E3-6069C1345520}"/>
    <cellStyle name="Note 2 3 2 7" xfId="2748" xr:uid="{00000000-0005-0000-0000-000002210000}"/>
    <cellStyle name="Note 2 3 2 8" xfId="2829" xr:uid="{00000000-0005-0000-0000-000003210000}"/>
    <cellStyle name="Note 2 3 2 8 2" xfId="7053" xr:uid="{00000000-0005-0000-0000-000004210000}"/>
    <cellStyle name="Note 2 3 2 8 2 2" xfId="15495" xr:uid="{43946A05-9DFC-4BDD-8606-2892F3381A10}"/>
    <cellStyle name="Note 2 3 2 8 2 3" xfId="23930" xr:uid="{85169448-7D22-4D6C-95CD-3BB9997C4716}"/>
    <cellStyle name="Note 2 3 2 8 3" xfId="11277" xr:uid="{E69E0849-AFAB-4D1E-8999-535002819776}"/>
    <cellStyle name="Note 2 3 2 8 4" xfId="19713" xr:uid="{5E4EADBA-6D6D-4824-AEC8-79F17A63428A}"/>
    <cellStyle name="Note 2 3 2 9" xfId="4908" xr:uid="{00000000-0005-0000-0000-000005210000}"/>
    <cellStyle name="Note 2 3 2 9 2" xfId="13350" xr:uid="{955EE4D5-90CD-49B0-8954-2EC2898029F1}"/>
    <cellStyle name="Note 2 3 2 9 3" xfId="21785" xr:uid="{2160EB59-EF34-4575-8894-AF6230C5A2DA}"/>
    <cellStyle name="Note 2 3 3" xfId="1010" xr:uid="{00000000-0005-0000-0000-000006210000}"/>
    <cellStyle name="Note 2 3 3 2" xfId="3242" xr:uid="{00000000-0005-0000-0000-000007210000}"/>
    <cellStyle name="Note 2 3 3 2 2" xfId="7465" xr:uid="{00000000-0005-0000-0000-000008210000}"/>
    <cellStyle name="Note 2 3 3 2 2 2" xfId="15907" xr:uid="{DEBA4855-774A-4BED-9AB0-5D34F44485BC}"/>
    <cellStyle name="Note 2 3 3 2 2 3" xfId="24342" xr:uid="{09ADDA60-42A7-434F-B60F-16309D475928}"/>
    <cellStyle name="Note 2 3 3 2 3" xfId="11689" xr:uid="{553123BF-87BB-4B81-A162-D11DCFA5101B}"/>
    <cellStyle name="Note 2 3 3 2 4" xfId="20125" xr:uid="{C9D6276F-21D9-4B70-9F5F-28D3AE22B370}"/>
    <cellStyle name="Note 2 3 3 3" xfId="5320" xr:uid="{00000000-0005-0000-0000-000009210000}"/>
    <cellStyle name="Note 2 3 3 3 2" xfId="13762" xr:uid="{53D61884-E3F3-4245-AA81-C4DAC82DFFA7}"/>
    <cellStyle name="Note 2 3 3 3 3" xfId="22197" xr:uid="{BEE28F74-04EB-4C54-8933-ABE726783167}"/>
    <cellStyle name="Note 2 3 3 4" xfId="9544" xr:uid="{18AB2118-BD25-4532-B7B1-B301F15535D3}"/>
    <cellStyle name="Note 2 3 3 5" xfId="17980" xr:uid="{BE9F052B-ADC6-4E3A-B0F9-DE0103E9E8E6}"/>
    <cellStyle name="Note 2 3 4" xfId="1425" xr:uid="{00000000-0005-0000-0000-00000A210000}"/>
    <cellStyle name="Note 2 3 4 2" xfId="3655" xr:uid="{00000000-0005-0000-0000-00000B210000}"/>
    <cellStyle name="Note 2 3 4 2 2" xfId="7878" xr:uid="{00000000-0005-0000-0000-00000C210000}"/>
    <cellStyle name="Note 2 3 4 2 2 2" xfId="16320" xr:uid="{EEBE1790-9962-4A70-B562-E86A40729C07}"/>
    <cellStyle name="Note 2 3 4 2 2 3" xfId="24755" xr:uid="{D84B0762-B925-47CE-A37F-0836DE9F0A91}"/>
    <cellStyle name="Note 2 3 4 2 3" xfId="12102" xr:uid="{59B7487F-BBF9-46C4-962F-32B4C676774C}"/>
    <cellStyle name="Note 2 3 4 2 4" xfId="20538" xr:uid="{6C3D62FA-F9C2-4C18-8203-7DC2593AC685}"/>
    <cellStyle name="Note 2 3 4 3" xfId="5733" xr:uid="{00000000-0005-0000-0000-00000D210000}"/>
    <cellStyle name="Note 2 3 4 3 2" xfId="14175" xr:uid="{30FBA5AE-AAC4-48C3-9E6D-503D2E50A988}"/>
    <cellStyle name="Note 2 3 4 3 3" xfId="22610" xr:uid="{5B39F01A-155A-4D22-9D86-988FC2EB5B06}"/>
    <cellStyle name="Note 2 3 4 4" xfId="9957" xr:uid="{04A3CA14-5DFA-4BEF-A49A-0943F5F35A55}"/>
    <cellStyle name="Note 2 3 4 5" xfId="18393" xr:uid="{5FFA262C-55A7-4DAE-8384-D300163AB6CC}"/>
    <cellStyle name="Note 2 3 5" xfId="1839" xr:uid="{00000000-0005-0000-0000-00000E210000}"/>
    <cellStyle name="Note 2 3 5 2" xfId="4068" xr:uid="{00000000-0005-0000-0000-00000F210000}"/>
    <cellStyle name="Note 2 3 5 2 2" xfId="8291" xr:uid="{00000000-0005-0000-0000-000010210000}"/>
    <cellStyle name="Note 2 3 5 2 2 2" xfId="16733" xr:uid="{E62009F1-396A-4C88-85EF-7D81BB75A3F4}"/>
    <cellStyle name="Note 2 3 5 2 2 3" xfId="25168" xr:uid="{D2A0674D-8831-4419-BB2C-B9E9F76F304E}"/>
    <cellStyle name="Note 2 3 5 2 3" xfId="12515" xr:uid="{712CE9B6-E4C0-4577-AF67-8BEBAF5CD4E1}"/>
    <cellStyle name="Note 2 3 5 2 4" xfId="20951" xr:uid="{94926EC0-9245-4B63-BC97-AF4B589CAAE6}"/>
    <cellStyle name="Note 2 3 5 3" xfId="6146" xr:uid="{00000000-0005-0000-0000-000011210000}"/>
    <cellStyle name="Note 2 3 5 3 2" xfId="14588" xr:uid="{F801EC31-1B84-44A3-AA63-B01F763DBEBD}"/>
    <cellStyle name="Note 2 3 5 3 3" xfId="23023" xr:uid="{88BDF6F7-519C-45DA-A6BB-8F2FC2F416A8}"/>
    <cellStyle name="Note 2 3 5 4" xfId="10370" xr:uid="{EDAD74A2-37ED-48FB-ACD3-7B2DFC985C02}"/>
    <cellStyle name="Note 2 3 5 5" xfId="18806" xr:uid="{B3015F93-AD36-44F6-9DF4-FE108EE5856F}"/>
    <cellStyle name="Note 2 3 6" xfId="2252" xr:uid="{00000000-0005-0000-0000-000012210000}"/>
    <cellStyle name="Note 2 3 6 2" xfId="4481" xr:uid="{00000000-0005-0000-0000-000013210000}"/>
    <cellStyle name="Note 2 3 6 2 2" xfId="8704" xr:uid="{00000000-0005-0000-0000-000014210000}"/>
    <cellStyle name="Note 2 3 6 2 2 2" xfId="17146" xr:uid="{A5ED21D4-0197-4A3A-AE10-108B54E03F84}"/>
    <cellStyle name="Note 2 3 6 2 2 3" xfId="25581" xr:uid="{9736179C-EF97-47CA-9854-DA98A7CFBAC6}"/>
    <cellStyle name="Note 2 3 6 2 3" xfId="12928" xr:uid="{19EBDE8D-F728-4461-A532-8CDB2A02E8B6}"/>
    <cellStyle name="Note 2 3 6 2 4" xfId="21364" xr:uid="{557EF178-EDFB-4952-925C-5CA449AE2361}"/>
    <cellStyle name="Note 2 3 6 3" xfId="6559" xr:uid="{00000000-0005-0000-0000-000015210000}"/>
    <cellStyle name="Note 2 3 6 3 2" xfId="15001" xr:uid="{74C95F82-5733-4743-82E0-0C14E773EA72}"/>
    <cellStyle name="Note 2 3 6 3 3" xfId="23436" xr:uid="{C899B680-1431-437D-A913-D13609D8F53A}"/>
    <cellStyle name="Note 2 3 6 4" xfId="10783" xr:uid="{07EE4EDE-5061-42C3-992C-DB0DCD640FDA}"/>
    <cellStyle name="Note 2 3 6 5" xfId="19219" xr:uid="{715162E7-7520-4249-8460-6477CAEC4A2C}"/>
    <cellStyle name="Note 2 3 7" xfId="2688" xr:uid="{00000000-0005-0000-0000-000016210000}"/>
    <cellStyle name="Note 2 3 7 2" xfId="6972" xr:uid="{00000000-0005-0000-0000-000017210000}"/>
    <cellStyle name="Note 2 3 7 2 2" xfId="15414" xr:uid="{6AD3C803-E0FC-47AD-8BDE-F64838AECF04}"/>
    <cellStyle name="Note 2 3 7 2 3" xfId="23849" xr:uid="{1B969C02-7B87-4FD9-B4DF-CB0939CBF38E}"/>
    <cellStyle name="Note 2 3 7 3" xfId="11196" xr:uid="{35FF49B6-CC98-4728-8B91-6D034D6AB665}"/>
    <cellStyle name="Note 2 3 7 4" xfId="19632" xr:uid="{0F78C661-7F83-4D83-8483-5DD5EBECA5AC}"/>
    <cellStyle name="Note 2 3 8" xfId="2747" xr:uid="{00000000-0005-0000-0000-000018210000}"/>
    <cellStyle name="Note 2 3 9" xfId="2828" xr:uid="{00000000-0005-0000-0000-000019210000}"/>
    <cellStyle name="Note 2 3 9 2" xfId="7052" xr:uid="{00000000-0005-0000-0000-00001A210000}"/>
    <cellStyle name="Note 2 3 9 2 2" xfId="15494" xr:uid="{897A417D-2A71-434C-8C22-74692FB080A2}"/>
    <cellStyle name="Note 2 3 9 2 3" xfId="23929" xr:uid="{D77F20A3-EB6D-4AFC-A0DB-AEB40FD2B468}"/>
    <cellStyle name="Note 2 3 9 3" xfId="11276" xr:uid="{D61898CD-AEDD-4A82-81F6-267C79FAC8EB}"/>
    <cellStyle name="Note 2 3 9 4" xfId="19712" xr:uid="{35FD8574-6B20-4C3B-8D23-699F6B04BE48}"/>
    <cellStyle name="Note 2 4" xfId="551" xr:uid="{00000000-0005-0000-0000-00001B210000}"/>
    <cellStyle name="Note 2 4 10" xfId="9133" xr:uid="{29E26F3F-D543-4685-A905-EF2AA26E47FE}"/>
    <cellStyle name="Note 2 4 11" xfId="17569" xr:uid="{03DED098-4F76-479C-BD73-1691838CD33F}"/>
    <cellStyle name="Note 2 4 2" xfId="1012" xr:uid="{00000000-0005-0000-0000-00001C210000}"/>
    <cellStyle name="Note 2 4 2 2" xfId="3244" xr:uid="{00000000-0005-0000-0000-00001D210000}"/>
    <cellStyle name="Note 2 4 2 2 2" xfId="7467" xr:uid="{00000000-0005-0000-0000-00001E210000}"/>
    <cellStyle name="Note 2 4 2 2 2 2" xfId="15909" xr:uid="{CED38951-2628-4F9C-9EE0-3A055EFBDD18}"/>
    <cellStyle name="Note 2 4 2 2 2 3" xfId="24344" xr:uid="{4B282075-2923-46C4-8342-E41F92F64336}"/>
    <cellStyle name="Note 2 4 2 2 3" xfId="11691" xr:uid="{4D723815-2F69-4779-8F22-336147B0CC96}"/>
    <cellStyle name="Note 2 4 2 2 4" xfId="20127" xr:uid="{27481A9C-E3D0-4F5F-A9F8-6195E9DAAB1B}"/>
    <cellStyle name="Note 2 4 2 3" xfId="5322" xr:uid="{00000000-0005-0000-0000-00001F210000}"/>
    <cellStyle name="Note 2 4 2 3 2" xfId="13764" xr:uid="{65AA148F-933A-4D11-BE19-4CC4FB743AE0}"/>
    <cellStyle name="Note 2 4 2 3 3" xfId="22199" xr:uid="{1999205F-DD8D-4A26-AE83-65F3E51CD277}"/>
    <cellStyle name="Note 2 4 2 4" xfId="9546" xr:uid="{175D008D-DEB8-4602-A010-679F0A96C973}"/>
    <cellStyle name="Note 2 4 2 5" xfId="17982" xr:uid="{9BF480E4-2DC3-4DEF-A20F-F6C855A0AA42}"/>
    <cellStyle name="Note 2 4 3" xfId="1427" xr:uid="{00000000-0005-0000-0000-000020210000}"/>
    <cellStyle name="Note 2 4 3 2" xfId="3657" xr:uid="{00000000-0005-0000-0000-000021210000}"/>
    <cellStyle name="Note 2 4 3 2 2" xfId="7880" xr:uid="{00000000-0005-0000-0000-000022210000}"/>
    <cellStyle name="Note 2 4 3 2 2 2" xfId="16322" xr:uid="{1CA23CA5-22A5-4083-B094-782C49BCFA96}"/>
    <cellStyle name="Note 2 4 3 2 2 3" xfId="24757" xr:uid="{D8E0405D-59FE-4683-AF8C-FE2AF38B425C}"/>
    <cellStyle name="Note 2 4 3 2 3" xfId="12104" xr:uid="{78CA0B73-3F21-42FD-BF9E-17B3259D5268}"/>
    <cellStyle name="Note 2 4 3 2 4" xfId="20540" xr:uid="{31330244-88BA-4568-8F96-37F4DC8AEA73}"/>
    <cellStyle name="Note 2 4 3 3" xfId="5735" xr:uid="{00000000-0005-0000-0000-000023210000}"/>
    <cellStyle name="Note 2 4 3 3 2" xfId="14177" xr:uid="{B9E828E6-91B5-40A1-A4C3-E339C63D051E}"/>
    <cellStyle name="Note 2 4 3 3 3" xfId="22612" xr:uid="{31D22EBC-4B07-4E66-8608-38FF7C2061F6}"/>
    <cellStyle name="Note 2 4 3 4" xfId="9959" xr:uid="{47F96DB4-2DCA-4616-8728-B42EF2E5F489}"/>
    <cellStyle name="Note 2 4 3 5" xfId="18395" xr:uid="{16517117-5966-49DD-9833-0CF7D6CE5137}"/>
    <cellStyle name="Note 2 4 4" xfId="1841" xr:uid="{00000000-0005-0000-0000-000024210000}"/>
    <cellStyle name="Note 2 4 4 2" xfId="4070" xr:uid="{00000000-0005-0000-0000-000025210000}"/>
    <cellStyle name="Note 2 4 4 2 2" xfId="8293" xr:uid="{00000000-0005-0000-0000-000026210000}"/>
    <cellStyle name="Note 2 4 4 2 2 2" xfId="16735" xr:uid="{FD9C2A6E-873F-4A84-B47C-960B035C9711}"/>
    <cellStyle name="Note 2 4 4 2 2 3" xfId="25170" xr:uid="{985110F6-BC67-464C-B249-3B18B52599CC}"/>
    <cellStyle name="Note 2 4 4 2 3" xfId="12517" xr:uid="{50B2DC50-738B-4C6A-A3A5-DFE4C68B70A3}"/>
    <cellStyle name="Note 2 4 4 2 4" xfId="20953" xr:uid="{4005EB0A-0675-47B4-8C3E-17FCB146AC89}"/>
    <cellStyle name="Note 2 4 4 3" xfId="6148" xr:uid="{00000000-0005-0000-0000-000027210000}"/>
    <cellStyle name="Note 2 4 4 3 2" xfId="14590" xr:uid="{25133F0F-E2F6-4F85-94CE-8D6CBB9C9D64}"/>
    <cellStyle name="Note 2 4 4 3 3" xfId="23025" xr:uid="{1A495722-9641-4546-9CC4-D34F599F8A1D}"/>
    <cellStyle name="Note 2 4 4 4" xfId="10372" xr:uid="{596738D5-F28F-4F2D-96AF-488AAD0811F5}"/>
    <cellStyle name="Note 2 4 4 5" xfId="18808" xr:uid="{F9505CDB-554D-41E3-AE75-335BF8BB4531}"/>
    <cellStyle name="Note 2 4 5" xfId="2254" xr:uid="{00000000-0005-0000-0000-000028210000}"/>
    <cellStyle name="Note 2 4 5 2" xfId="4483" xr:uid="{00000000-0005-0000-0000-000029210000}"/>
    <cellStyle name="Note 2 4 5 2 2" xfId="8706" xr:uid="{00000000-0005-0000-0000-00002A210000}"/>
    <cellStyle name="Note 2 4 5 2 2 2" xfId="17148" xr:uid="{BFEB54B8-FD71-4E5C-9AB3-393CC3B87EC8}"/>
    <cellStyle name="Note 2 4 5 2 2 3" xfId="25583" xr:uid="{CB5FD41F-EDA5-45BF-9807-73894A9BCC82}"/>
    <cellStyle name="Note 2 4 5 2 3" xfId="12930" xr:uid="{D8A9956E-BD8D-49C6-B6BA-0D9AA5D018A3}"/>
    <cellStyle name="Note 2 4 5 2 4" xfId="21366" xr:uid="{88D8027D-5E8F-4220-89D1-F85C391C173B}"/>
    <cellStyle name="Note 2 4 5 3" xfId="6561" xr:uid="{00000000-0005-0000-0000-00002B210000}"/>
    <cellStyle name="Note 2 4 5 3 2" xfId="15003" xr:uid="{9D734C53-EC51-4DA9-AC24-E2062479FE80}"/>
    <cellStyle name="Note 2 4 5 3 3" xfId="23438" xr:uid="{2FD8237F-EAC2-424C-A026-8383FE01D73E}"/>
    <cellStyle name="Note 2 4 5 4" xfId="10785" xr:uid="{EB141A99-2FD9-4BBC-9662-F4D2251DE78E}"/>
    <cellStyle name="Note 2 4 5 5" xfId="19221" xr:uid="{D879A9B4-CC4F-4D77-AECF-59747B9CF11A}"/>
    <cellStyle name="Note 2 4 6" xfId="2690" xr:uid="{00000000-0005-0000-0000-00002C210000}"/>
    <cellStyle name="Note 2 4 6 2" xfId="6974" xr:uid="{00000000-0005-0000-0000-00002D210000}"/>
    <cellStyle name="Note 2 4 6 2 2" xfId="15416" xr:uid="{0046175C-3F53-4B2B-864D-7AAFF24EEF8E}"/>
    <cellStyle name="Note 2 4 6 2 3" xfId="23851" xr:uid="{CB9372BE-DF00-49C1-BF1D-CE403EB94C2E}"/>
    <cellStyle name="Note 2 4 6 3" xfId="11198" xr:uid="{87B3D083-1355-4727-AD82-E2F6184E5DD8}"/>
    <cellStyle name="Note 2 4 6 4" xfId="19634" xr:uid="{A7E6CA51-9681-4108-9173-BB4BBF1AFE7E}"/>
    <cellStyle name="Note 2 4 7" xfId="2749" xr:uid="{00000000-0005-0000-0000-00002E210000}"/>
    <cellStyle name="Note 2 4 8" xfId="2830" xr:uid="{00000000-0005-0000-0000-00002F210000}"/>
    <cellStyle name="Note 2 4 8 2" xfId="7054" xr:uid="{00000000-0005-0000-0000-000030210000}"/>
    <cellStyle name="Note 2 4 8 2 2" xfId="15496" xr:uid="{6C8B4D08-373F-493A-A599-7A25FDC00E3E}"/>
    <cellStyle name="Note 2 4 8 2 3" xfId="23931" xr:uid="{A5EE8FD7-189C-407C-A187-1078D5F01790}"/>
    <cellStyle name="Note 2 4 8 3" xfId="11278" xr:uid="{BF4259A7-4D6E-4E31-9C59-74DDCD9A16A9}"/>
    <cellStyle name="Note 2 4 8 4" xfId="19714" xr:uid="{6112A583-F39B-48F6-B058-C5BDBA519F12}"/>
    <cellStyle name="Note 2 4 9" xfId="4909" xr:uid="{00000000-0005-0000-0000-000031210000}"/>
    <cellStyle name="Note 2 4 9 2" xfId="13351" xr:uid="{84BD5F60-6570-4136-B241-375B65F60776}"/>
    <cellStyle name="Note 2 4 9 3" xfId="21786" xr:uid="{2F736B9D-476C-404B-B134-82B43F5A4C67}"/>
    <cellStyle name="Note 2 5" xfId="552" xr:uid="{00000000-0005-0000-0000-000032210000}"/>
    <cellStyle name="Note 2 5 10" xfId="9134" xr:uid="{197080F6-47DA-4E0B-BFAF-63E00FE43145}"/>
    <cellStyle name="Note 2 5 11" xfId="17570" xr:uid="{93376273-DB95-4B59-A607-BFC6A8F26E24}"/>
    <cellStyle name="Note 2 5 2" xfId="1013" xr:uid="{00000000-0005-0000-0000-000033210000}"/>
    <cellStyle name="Note 2 5 2 2" xfId="3245" xr:uid="{00000000-0005-0000-0000-000034210000}"/>
    <cellStyle name="Note 2 5 2 2 2" xfId="7468" xr:uid="{00000000-0005-0000-0000-000035210000}"/>
    <cellStyle name="Note 2 5 2 2 2 2" xfId="15910" xr:uid="{312F5B61-8E39-4303-9FD0-04A1958D93F1}"/>
    <cellStyle name="Note 2 5 2 2 2 3" xfId="24345" xr:uid="{9D1D7287-D415-49F3-AC0A-FD5D90842753}"/>
    <cellStyle name="Note 2 5 2 2 3" xfId="11692" xr:uid="{7E00866B-02E2-498C-AAD3-46AC143409CC}"/>
    <cellStyle name="Note 2 5 2 2 4" xfId="20128" xr:uid="{8ED0AE1D-AAED-44E9-A97C-83F14785EF68}"/>
    <cellStyle name="Note 2 5 2 3" xfId="5323" xr:uid="{00000000-0005-0000-0000-000036210000}"/>
    <cellStyle name="Note 2 5 2 3 2" xfId="13765" xr:uid="{E31909AF-FD91-48CD-A718-EB668A07A088}"/>
    <cellStyle name="Note 2 5 2 3 3" xfId="22200" xr:uid="{634C269A-9961-4F62-810D-B15A4D95F481}"/>
    <cellStyle name="Note 2 5 2 4" xfId="9547" xr:uid="{6C983D96-BE1D-4FE6-8FD9-88AEF229420E}"/>
    <cellStyle name="Note 2 5 2 5" xfId="17983" xr:uid="{ADF7DF02-E0D4-4F28-877C-87C42CF9BBC3}"/>
    <cellStyle name="Note 2 5 3" xfId="1428" xr:uid="{00000000-0005-0000-0000-000037210000}"/>
    <cellStyle name="Note 2 5 3 2" xfId="3658" xr:uid="{00000000-0005-0000-0000-000038210000}"/>
    <cellStyle name="Note 2 5 3 2 2" xfId="7881" xr:uid="{00000000-0005-0000-0000-000039210000}"/>
    <cellStyle name="Note 2 5 3 2 2 2" xfId="16323" xr:uid="{C1CF505C-87B6-437B-AC26-2DCDAFF6EE03}"/>
    <cellStyle name="Note 2 5 3 2 2 3" xfId="24758" xr:uid="{BD73D016-0FED-4217-890A-E855188F21BF}"/>
    <cellStyle name="Note 2 5 3 2 3" xfId="12105" xr:uid="{7E97BD23-B928-4656-B1CB-54CD958E4FB3}"/>
    <cellStyle name="Note 2 5 3 2 4" xfId="20541" xr:uid="{73B31EFE-6171-4F5E-BB33-558D5220E9D7}"/>
    <cellStyle name="Note 2 5 3 3" xfId="5736" xr:uid="{00000000-0005-0000-0000-00003A210000}"/>
    <cellStyle name="Note 2 5 3 3 2" xfId="14178" xr:uid="{40CCD3AF-E2B9-4387-BBCA-E0F1C8DCE2B9}"/>
    <cellStyle name="Note 2 5 3 3 3" xfId="22613" xr:uid="{E57E9155-452C-4FB6-9686-4373DF9C2238}"/>
    <cellStyle name="Note 2 5 3 4" xfId="9960" xr:uid="{57CCCD50-6EE4-4F05-A469-143040D60ECC}"/>
    <cellStyle name="Note 2 5 3 5" xfId="18396" xr:uid="{565F9741-C98D-420B-8F71-36700BE89B1B}"/>
    <cellStyle name="Note 2 5 4" xfId="1842" xr:uid="{00000000-0005-0000-0000-00003B210000}"/>
    <cellStyle name="Note 2 5 4 2" xfId="4071" xr:uid="{00000000-0005-0000-0000-00003C210000}"/>
    <cellStyle name="Note 2 5 4 2 2" xfId="8294" xr:uid="{00000000-0005-0000-0000-00003D210000}"/>
    <cellStyle name="Note 2 5 4 2 2 2" xfId="16736" xr:uid="{446C246F-6A63-46D8-A317-8BB95FA9C0BA}"/>
    <cellStyle name="Note 2 5 4 2 2 3" xfId="25171" xr:uid="{240A858A-10A8-4FCF-88B6-85D7CBD121A8}"/>
    <cellStyle name="Note 2 5 4 2 3" xfId="12518" xr:uid="{89A5CB5D-5E1D-46C3-A08B-66C89B6AA69B}"/>
    <cellStyle name="Note 2 5 4 2 4" xfId="20954" xr:uid="{03114273-AC47-4866-9384-0FC413FF561B}"/>
    <cellStyle name="Note 2 5 4 3" xfId="6149" xr:uid="{00000000-0005-0000-0000-00003E210000}"/>
    <cellStyle name="Note 2 5 4 3 2" xfId="14591" xr:uid="{AE9D1D4A-5F4A-42FE-90C2-ECD85068ACFF}"/>
    <cellStyle name="Note 2 5 4 3 3" xfId="23026" xr:uid="{D1F086EF-4743-4EE3-B685-D95D230C7788}"/>
    <cellStyle name="Note 2 5 4 4" xfId="10373" xr:uid="{B72D6AFB-C8AC-41E4-AA58-76E5BAAEAF93}"/>
    <cellStyle name="Note 2 5 4 5" xfId="18809" xr:uid="{DEFB4A0D-B277-416C-9869-7DE12B865416}"/>
    <cellStyle name="Note 2 5 5" xfId="2255" xr:uid="{00000000-0005-0000-0000-00003F210000}"/>
    <cellStyle name="Note 2 5 5 2" xfId="4484" xr:uid="{00000000-0005-0000-0000-000040210000}"/>
    <cellStyle name="Note 2 5 5 2 2" xfId="8707" xr:uid="{00000000-0005-0000-0000-000041210000}"/>
    <cellStyle name="Note 2 5 5 2 2 2" xfId="17149" xr:uid="{30568F5C-AD66-4608-8602-03AE2CC132F1}"/>
    <cellStyle name="Note 2 5 5 2 2 3" xfId="25584" xr:uid="{2C0279A6-6CCB-4B87-8234-F557DBB31CD8}"/>
    <cellStyle name="Note 2 5 5 2 3" xfId="12931" xr:uid="{78E67DC7-4E20-4D45-93A9-929D397700D4}"/>
    <cellStyle name="Note 2 5 5 2 4" xfId="21367" xr:uid="{0FA821E5-A835-487B-82CE-15D9E714025C}"/>
    <cellStyle name="Note 2 5 5 3" xfId="6562" xr:uid="{00000000-0005-0000-0000-000042210000}"/>
    <cellStyle name="Note 2 5 5 3 2" xfId="15004" xr:uid="{5A439462-25E2-4ADD-85B5-9CF31D477CE9}"/>
    <cellStyle name="Note 2 5 5 3 3" xfId="23439" xr:uid="{C70C2F65-34A0-4F7F-9A14-75EAC7F5ED10}"/>
    <cellStyle name="Note 2 5 5 4" xfId="10786" xr:uid="{80734935-8E44-49F9-B08F-F43DAFC08CA9}"/>
    <cellStyle name="Note 2 5 5 5" xfId="19222" xr:uid="{1F0A132C-C0C4-4196-8E94-5D774C05A813}"/>
    <cellStyle name="Note 2 5 6" xfId="2691" xr:uid="{00000000-0005-0000-0000-000043210000}"/>
    <cellStyle name="Note 2 5 6 2" xfId="6975" xr:uid="{00000000-0005-0000-0000-000044210000}"/>
    <cellStyle name="Note 2 5 6 2 2" xfId="15417" xr:uid="{874899A4-E6EE-496C-8045-C7E866038E52}"/>
    <cellStyle name="Note 2 5 6 2 3" xfId="23852" xr:uid="{6BF5A83C-41C4-4860-8A5B-87C3C65EFFC5}"/>
    <cellStyle name="Note 2 5 6 3" xfId="11199" xr:uid="{A85C803C-4721-489F-83F9-D8BD6A04E23C}"/>
    <cellStyle name="Note 2 5 6 4" xfId="19635" xr:uid="{EBE0AEDE-DC80-40FE-BF3C-0896A6A3D318}"/>
    <cellStyle name="Note 2 5 7" xfId="2750" xr:uid="{00000000-0005-0000-0000-000045210000}"/>
    <cellStyle name="Note 2 5 8" xfId="2831" xr:uid="{00000000-0005-0000-0000-000046210000}"/>
    <cellStyle name="Note 2 5 8 2" xfId="7055" xr:uid="{00000000-0005-0000-0000-000047210000}"/>
    <cellStyle name="Note 2 5 8 2 2" xfId="15497" xr:uid="{68AB386B-D009-4925-8B17-EE88AFA59799}"/>
    <cellStyle name="Note 2 5 8 2 3" xfId="23932" xr:uid="{0DAE2236-C6B7-40E6-9DE0-B76F0337127A}"/>
    <cellStyle name="Note 2 5 8 3" xfId="11279" xr:uid="{D2F9101B-F52B-4CEC-A7CC-54FF8E369433}"/>
    <cellStyle name="Note 2 5 8 4" xfId="19715" xr:uid="{2F8AD39C-CFF8-47E5-8594-573E6D338F68}"/>
    <cellStyle name="Note 2 5 9" xfId="4910" xr:uid="{00000000-0005-0000-0000-000048210000}"/>
    <cellStyle name="Note 2 5 9 2" xfId="13352" xr:uid="{44069761-56C4-4B63-B75A-D56F2D9C2941}"/>
    <cellStyle name="Note 2 5 9 3" xfId="21787" xr:uid="{32852909-DBC5-4891-9E89-6EFE303C29CC}"/>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0 2 2" xfId="15498" xr:uid="{8A02276A-2AB3-41F5-BE2A-5F98F9B9E79F}"/>
    <cellStyle name="Note 3 2 10 2 3" xfId="23933" xr:uid="{E259D121-2929-4049-9E87-C9A5DAB123AB}"/>
    <cellStyle name="Note 3 2 10 3" xfId="11280" xr:uid="{2B61CF63-655E-4086-868B-802F2CD7FF48}"/>
    <cellStyle name="Note 3 2 10 4" xfId="19716" xr:uid="{F4724B31-AA7E-4ECF-B27F-A704D006E41F}"/>
    <cellStyle name="Note 3 2 11" xfId="4911" xr:uid="{00000000-0005-0000-0000-00004D210000}"/>
    <cellStyle name="Note 3 2 11 2" xfId="13353" xr:uid="{8C363972-F681-4FC1-9657-64D1AA2C5C9B}"/>
    <cellStyle name="Note 3 2 11 3" xfId="21788" xr:uid="{1D57AFDB-6EE6-4AE6-BEEA-74CBA975B18F}"/>
    <cellStyle name="Note 3 2 12" xfId="9135" xr:uid="{86E5DAD5-F1EB-4B84-A971-87E52E838E74}"/>
    <cellStyle name="Note 3 2 13" xfId="17571" xr:uid="{62981C17-792B-468A-A01B-B6B8ADB32E4A}"/>
    <cellStyle name="Note 3 2 2" xfId="555" xr:uid="{00000000-0005-0000-0000-00004E210000}"/>
    <cellStyle name="Note 3 2 2 10" xfId="4912" xr:uid="{00000000-0005-0000-0000-00004F210000}"/>
    <cellStyle name="Note 3 2 2 10 2" xfId="13354" xr:uid="{A5FEE250-E4F2-45F8-A362-6323B4D57274}"/>
    <cellStyle name="Note 3 2 2 10 3" xfId="21789" xr:uid="{D93132B1-BE07-43F0-95E5-82C26AD6B50D}"/>
    <cellStyle name="Note 3 2 2 11" xfId="9136" xr:uid="{475E1CE4-AAF1-46D8-9515-84CBD3ABD27B}"/>
    <cellStyle name="Note 3 2 2 12" xfId="17572" xr:uid="{7626A151-04A8-4294-ADAD-C96CBEEE69D1}"/>
    <cellStyle name="Note 3 2 2 2" xfId="556" xr:uid="{00000000-0005-0000-0000-000050210000}"/>
    <cellStyle name="Note 3 2 2 2 10" xfId="9137" xr:uid="{6930AD0B-9B5F-49AA-A9C7-7E8E6EF82841}"/>
    <cellStyle name="Note 3 2 2 2 11" xfId="17573" xr:uid="{EC3D8A3B-F025-4710-9F0F-CA2654C9B5BB}"/>
    <cellStyle name="Note 3 2 2 2 2" xfId="1016" xr:uid="{00000000-0005-0000-0000-000051210000}"/>
    <cellStyle name="Note 3 2 2 2 2 2" xfId="3248" xr:uid="{00000000-0005-0000-0000-000052210000}"/>
    <cellStyle name="Note 3 2 2 2 2 2 2" xfId="7471" xr:uid="{00000000-0005-0000-0000-000053210000}"/>
    <cellStyle name="Note 3 2 2 2 2 2 2 2" xfId="15913" xr:uid="{4DCDA80A-0B7A-458F-8B90-012AB59BF277}"/>
    <cellStyle name="Note 3 2 2 2 2 2 2 3" xfId="24348" xr:uid="{668BD0F3-7057-489B-A1E1-FC76410F1EC7}"/>
    <cellStyle name="Note 3 2 2 2 2 2 3" xfId="11695" xr:uid="{B03E2DA2-9208-4B58-8903-DDA5AE66CDCF}"/>
    <cellStyle name="Note 3 2 2 2 2 2 4" xfId="20131" xr:uid="{59198605-1B2F-47EF-871E-4AB86DD6C7B8}"/>
    <cellStyle name="Note 3 2 2 2 2 3" xfId="5326" xr:uid="{00000000-0005-0000-0000-000054210000}"/>
    <cellStyle name="Note 3 2 2 2 2 3 2" xfId="13768" xr:uid="{B7F1048E-A381-4824-90E4-F4A5AEBD9885}"/>
    <cellStyle name="Note 3 2 2 2 2 3 3" xfId="22203" xr:uid="{86E2AD8E-F301-40EC-BAB4-F8DBEFF6E06E}"/>
    <cellStyle name="Note 3 2 2 2 2 4" xfId="9550" xr:uid="{50665372-6542-4630-981A-1F72DA82FF61}"/>
    <cellStyle name="Note 3 2 2 2 2 5" xfId="17986" xr:uid="{B77025C7-4656-4B95-83F4-39173C612402}"/>
    <cellStyle name="Note 3 2 2 2 3" xfId="1431" xr:uid="{00000000-0005-0000-0000-000055210000}"/>
    <cellStyle name="Note 3 2 2 2 3 2" xfId="3661" xr:uid="{00000000-0005-0000-0000-000056210000}"/>
    <cellStyle name="Note 3 2 2 2 3 2 2" xfId="7884" xr:uid="{00000000-0005-0000-0000-000057210000}"/>
    <cellStyle name="Note 3 2 2 2 3 2 2 2" xfId="16326" xr:uid="{5F98161A-26E2-4CF3-8A1F-6D810D25DCA2}"/>
    <cellStyle name="Note 3 2 2 2 3 2 2 3" xfId="24761" xr:uid="{620F82C7-1DDA-44DC-AA7B-36CF9BB243F9}"/>
    <cellStyle name="Note 3 2 2 2 3 2 3" xfId="12108" xr:uid="{ACE53E4D-894B-4274-A8B8-566A1F6E16F0}"/>
    <cellStyle name="Note 3 2 2 2 3 2 4" xfId="20544" xr:uid="{C74A3EB1-E676-449A-A3AC-7F679B279897}"/>
    <cellStyle name="Note 3 2 2 2 3 3" xfId="5739" xr:uid="{00000000-0005-0000-0000-000058210000}"/>
    <cellStyle name="Note 3 2 2 2 3 3 2" xfId="14181" xr:uid="{53D1F4DC-36AE-4288-9CB2-E0BC07614E2C}"/>
    <cellStyle name="Note 3 2 2 2 3 3 3" xfId="22616" xr:uid="{96FA2F9B-C7A1-45CE-95E4-4F0DFD6B0C3A}"/>
    <cellStyle name="Note 3 2 2 2 3 4" xfId="9963" xr:uid="{34CC9CA5-656B-46D1-B8C7-C5F85F235166}"/>
    <cellStyle name="Note 3 2 2 2 3 5" xfId="18399" xr:uid="{EA0D0904-7BB7-4766-9386-0C59AD107D06}"/>
    <cellStyle name="Note 3 2 2 2 4" xfId="1845" xr:uid="{00000000-0005-0000-0000-000059210000}"/>
    <cellStyle name="Note 3 2 2 2 4 2" xfId="4074" xr:uid="{00000000-0005-0000-0000-00005A210000}"/>
    <cellStyle name="Note 3 2 2 2 4 2 2" xfId="8297" xr:uid="{00000000-0005-0000-0000-00005B210000}"/>
    <cellStyle name="Note 3 2 2 2 4 2 2 2" xfId="16739" xr:uid="{17244CE6-AD6A-43E9-825D-92E484A2E5B2}"/>
    <cellStyle name="Note 3 2 2 2 4 2 2 3" xfId="25174" xr:uid="{4A013796-94A9-4D9C-8CFD-F0B152BE4CE0}"/>
    <cellStyle name="Note 3 2 2 2 4 2 3" xfId="12521" xr:uid="{404BB246-0B12-44EA-8145-892B3CC30756}"/>
    <cellStyle name="Note 3 2 2 2 4 2 4" xfId="20957" xr:uid="{67F1F77E-65C9-42AB-935C-6F8267AB7152}"/>
    <cellStyle name="Note 3 2 2 2 4 3" xfId="6152" xr:uid="{00000000-0005-0000-0000-00005C210000}"/>
    <cellStyle name="Note 3 2 2 2 4 3 2" xfId="14594" xr:uid="{0AAB4A74-0507-4188-8FF5-E2DD293C4423}"/>
    <cellStyle name="Note 3 2 2 2 4 3 3" xfId="23029" xr:uid="{EE718720-F9D3-4433-B9A5-0F347F43EA8F}"/>
    <cellStyle name="Note 3 2 2 2 4 4" xfId="10376" xr:uid="{F311D302-ED60-4517-BEAF-8A83EABC523A}"/>
    <cellStyle name="Note 3 2 2 2 4 5" xfId="18812" xr:uid="{B07841EE-7101-46CC-A9CC-0BBC9C7FDE17}"/>
    <cellStyle name="Note 3 2 2 2 5" xfId="2258" xr:uid="{00000000-0005-0000-0000-00005D210000}"/>
    <cellStyle name="Note 3 2 2 2 5 2" xfId="4487" xr:uid="{00000000-0005-0000-0000-00005E210000}"/>
    <cellStyle name="Note 3 2 2 2 5 2 2" xfId="8710" xr:uid="{00000000-0005-0000-0000-00005F210000}"/>
    <cellStyle name="Note 3 2 2 2 5 2 2 2" xfId="17152" xr:uid="{4A522F85-1BEB-4DA6-9F04-C077220936CC}"/>
    <cellStyle name="Note 3 2 2 2 5 2 2 3" xfId="25587" xr:uid="{0420BC07-79AF-4829-B6D9-955CB46E4DA4}"/>
    <cellStyle name="Note 3 2 2 2 5 2 3" xfId="12934" xr:uid="{22133AFD-E638-435D-B570-87BFF3F891CC}"/>
    <cellStyle name="Note 3 2 2 2 5 2 4" xfId="21370" xr:uid="{CEE59501-6211-4B47-879F-B78678E2F3A6}"/>
    <cellStyle name="Note 3 2 2 2 5 3" xfId="6565" xr:uid="{00000000-0005-0000-0000-000060210000}"/>
    <cellStyle name="Note 3 2 2 2 5 3 2" xfId="15007" xr:uid="{099E8A2C-F5B3-44C8-B11D-A49BF3578526}"/>
    <cellStyle name="Note 3 2 2 2 5 3 3" xfId="23442" xr:uid="{D30E36F6-668D-41B9-89A8-47FFAEC2F55A}"/>
    <cellStyle name="Note 3 2 2 2 5 4" xfId="10789" xr:uid="{4DD12567-C6A3-44A2-AAE6-4187CB5204B0}"/>
    <cellStyle name="Note 3 2 2 2 5 5" xfId="19225" xr:uid="{BBA0C515-42B0-40A9-B26E-FA50106719A1}"/>
    <cellStyle name="Note 3 2 2 2 6" xfId="2694" xr:uid="{00000000-0005-0000-0000-000061210000}"/>
    <cellStyle name="Note 3 2 2 2 6 2" xfId="6978" xr:uid="{00000000-0005-0000-0000-000062210000}"/>
    <cellStyle name="Note 3 2 2 2 6 2 2" xfId="15420" xr:uid="{467673A4-6377-491B-B491-65C141B2FD48}"/>
    <cellStyle name="Note 3 2 2 2 6 2 3" xfId="23855" xr:uid="{B5E1B28C-8E30-4BC5-9ABC-8677044B9330}"/>
    <cellStyle name="Note 3 2 2 2 6 3" xfId="11202" xr:uid="{B3F6550D-E4FA-490C-A3B7-D330D1EB38E1}"/>
    <cellStyle name="Note 3 2 2 2 6 4" xfId="19638" xr:uid="{70C6CE82-B790-4560-B0FA-3D53B21DF1A1}"/>
    <cellStyle name="Note 3 2 2 2 7" xfId="2753" xr:uid="{00000000-0005-0000-0000-000063210000}"/>
    <cellStyle name="Note 3 2 2 2 8" xfId="2834" xr:uid="{00000000-0005-0000-0000-000064210000}"/>
    <cellStyle name="Note 3 2 2 2 8 2" xfId="7058" xr:uid="{00000000-0005-0000-0000-000065210000}"/>
    <cellStyle name="Note 3 2 2 2 8 2 2" xfId="15500" xr:uid="{DDE6BFA8-A30F-4FD8-8012-C66CCC105915}"/>
    <cellStyle name="Note 3 2 2 2 8 2 3" xfId="23935" xr:uid="{18CB857D-F85F-4BC3-B3FC-DAA7CEDD7E70}"/>
    <cellStyle name="Note 3 2 2 2 8 3" xfId="11282" xr:uid="{C0E03E45-A5E9-41A6-89ED-49D0D35879A6}"/>
    <cellStyle name="Note 3 2 2 2 8 4" xfId="19718" xr:uid="{3CB27A8F-8C5D-4E5D-8B89-72E24F18F88F}"/>
    <cellStyle name="Note 3 2 2 2 9" xfId="4913" xr:uid="{00000000-0005-0000-0000-000066210000}"/>
    <cellStyle name="Note 3 2 2 2 9 2" xfId="13355" xr:uid="{0EC7CF5F-4AA3-40E1-B53F-E205AE70D0BB}"/>
    <cellStyle name="Note 3 2 2 2 9 3" xfId="21790" xr:uid="{B2849A7F-D49A-432E-ABB0-BE27FC6D184D}"/>
    <cellStyle name="Note 3 2 2 3" xfId="1015" xr:uid="{00000000-0005-0000-0000-000067210000}"/>
    <cellStyle name="Note 3 2 2 3 2" xfId="3247" xr:uid="{00000000-0005-0000-0000-000068210000}"/>
    <cellStyle name="Note 3 2 2 3 2 2" xfId="7470" xr:uid="{00000000-0005-0000-0000-000069210000}"/>
    <cellStyle name="Note 3 2 2 3 2 2 2" xfId="15912" xr:uid="{7E65573B-1357-431C-BEE0-BC92797E3598}"/>
    <cellStyle name="Note 3 2 2 3 2 2 3" xfId="24347" xr:uid="{48FFD9B6-EC2A-4713-904B-018E700EA405}"/>
    <cellStyle name="Note 3 2 2 3 2 3" xfId="11694" xr:uid="{82567CB0-7F4D-496D-A9A8-A0623A51495F}"/>
    <cellStyle name="Note 3 2 2 3 2 4" xfId="20130" xr:uid="{83ACF10A-3C70-4B6B-A1FD-957F6D277BC3}"/>
    <cellStyle name="Note 3 2 2 3 3" xfId="5325" xr:uid="{00000000-0005-0000-0000-00006A210000}"/>
    <cellStyle name="Note 3 2 2 3 3 2" xfId="13767" xr:uid="{2A925447-1F20-46FD-BF5B-B7344AC2E315}"/>
    <cellStyle name="Note 3 2 2 3 3 3" xfId="22202" xr:uid="{B3BF200D-DEC8-4629-906A-766A9970F9A8}"/>
    <cellStyle name="Note 3 2 2 3 4" xfId="9549" xr:uid="{38B8B7C1-74A6-4716-BEAA-FDA68EE115BD}"/>
    <cellStyle name="Note 3 2 2 3 5" xfId="17985" xr:uid="{DFDB143E-E5F0-46B0-9E06-293A40E75FFE}"/>
    <cellStyle name="Note 3 2 2 4" xfId="1430" xr:uid="{00000000-0005-0000-0000-00006B210000}"/>
    <cellStyle name="Note 3 2 2 4 2" xfId="3660" xr:uid="{00000000-0005-0000-0000-00006C210000}"/>
    <cellStyle name="Note 3 2 2 4 2 2" xfId="7883" xr:uid="{00000000-0005-0000-0000-00006D210000}"/>
    <cellStyle name="Note 3 2 2 4 2 2 2" xfId="16325" xr:uid="{5F9E966D-6FFB-496E-A449-BE88B87FEC2E}"/>
    <cellStyle name="Note 3 2 2 4 2 2 3" xfId="24760" xr:uid="{F16F6C45-D57F-47E0-9B63-F1E1073C8343}"/>
    <cellStyle name="Note 3 2 2 4 2 3" xfId="12107" xr:uid="{1E441AA2-1EE3-4D93-96D2-7A049A4C7DB1}"/>
    <cellStyle name="Note 3 2 2 4 2 4" xfId="20543" xr:uid="{0F01B7F7-2C57-4DC9-AAE6-B55F545D9C68}"/>
    <cellStyle name="Note 3 2 2 4 3" xfId="5738" xr:uid="{00000000-0005-0000-0000-00006E210000}"/>
    <cellStyle name="Note 3 2 2 4 3 2" xfId="14180" xr:uid="{4E8346BF-E701-49DD-A817-0B8232F80F25}"/>
    <cellStyle name="Note 3 2 2 4 3 3" xfId="22615" xr:uid="{25EE54B8-8A45-4425-9BF6-EC414EEACD10}"/>
    <cellStyle name="Note 3 2 2 4 4" xfId="9962" xr:uid="{37ABE5BB-C35B-4253-93E9-CF5C7E338E3E}"/>
    <cellStyle name="Note 3 2 2 4 5" xfId="18398" xr:uid="{11FF38CB-1DEA-41E7-A6D2-BF88AD5B7091}"/>
    <cellStyle name="Note 3 2 2 5" xfId="1844" xr:uid="{00000000-0005-0000-0000-00006F210000}"/>
    <cellStyle name="Note 3 2 2 5 2" xfId="4073" xr:uid="{00000000-0005-0000-0000-000070210000}"/>
    <cellStyle name="Note 3 2 2 5 2 2" xfId="8296" xr:uid="{00000000-0005-0000-0000-000071210000}"/>
    <cellStyle name="Note 3 2 2 5 2 2 2" xfId="16738" xr:uid="{F2774545-19DE-4B23-8259-F73E9FD552FA}"/>
    <cellStyle name="Note 3 2 2 5 2 2 3" xfId="25173" xr:uid="{C76B7115-3690-4875-A768-A4367D759080}"/>
    <cellStyle name="Note 3 2 2 5 2 3" xfId="12520" xr:uid="{9B161589-24B8-4A32-B257-D851C601B258}"/>
    <cellStyle name="Note 3 2 2 5 2 4" xfId="20956" xr:uid="{3AF59DAA-0714-4171-B19D-0577E1871C68}"/>
    <cellStyle name="Note 3 2 2 5 3" xfId="6151" xr:uid="{00000000-0005-0000-0000-000072210000}"/>
    <cellStyle name="Note 3 2 2 5 3 2" xfId="14593" xr:uid="{975D335E-DA4C-4691-954F-8AE07E6884B7}"/>
    <cellStyle name="Note 3 2 2 5 3 3" xfId="23028" xr:uid="{9E76CA0C-504A-46D5-AAA7-1627A6C9DEEF}"/>
    <cellStyle name="Note 3 2 2 5 4" xfId="10375" xr:uid="{3BC23E1D-0579-455F-B025-0A963A4049B8}"/>
    <cellStyle name="Note 3 2 2 5 5" xfId="18811" xr:uid="{DBD65CC5-6701-4B53-856D-449B682B9D72}"/>
    <cellStyle name="Note 3 2 2 6" xfId="2257" xr:uid="{00000000-0005-0000-0000-000073210000}"/>
    <cellStyle name="Note 3 2 2 6 2" xfId="4486" xr:uid="{00000000-0005-0000-0000-000074210000}"/>
    <cellStyle name="Note 3 2 2 6 2 2" xfId="8709" xr:uid="{00000000-0005-0000-0000-000075210000}"/>
    <cellStyle name="Note 3 2 2 6 2 2 2" xfId="17151" xr:uid="{C3E670D8-2E3D-49FD-AE55-9D1AE8C00A7B}"/>
    <cellStyle name="Note 3 2 2 6 2 2 3" xfId="25586" xr:uid="{21381212-E4DA-4DCA-BFF2-A6CDB42D92EB}"/>
    <cellStyle name="Note 3 2 2 6 2 3" xfId="12933" xr:uid="{F1F9904D-75A7-4C07-83AC-B87A325A8D0E}"/>
    <cellStyle name="Note 3 2 2 6 2 4" xfId="21369" xr:uid="{F4EAE1EC-43A7-4A2B-B953-3626F61432E9}"/>
    <cellStyle name="Note 3 2 2 6 3" xfId="6564" xr:uid="{00000000-0005-0000-0000-000076210000}"/>
    <cellStyle name="Note 3 2 2 6 3 2" xfId="15006" xr:uid="{083ED62C-C375-4730-866B-F82E8A373013}"/>
    <cellStyle name="Note 3 2 2 6 3 3" xfId="23441" xr:uid="{50B937B2-210A-4C0A-9369-CA82DA6B64C0}"/>
    <cellStyle name="Note 3 2 2 6 4" xfId="10788" xr:uid="{D94EF76D-73B1-47BB-920F-D8139D34090D}"/>
    <cellStyle name="Note 3 2 2 6 5" xfId="19224" xr:uid="{1E917AAB-DDB7-4D81-A425-58D67F1C25ED}"/>
    <cellStyle name="Note 3 2 2 7" xfId="2693" xr:uid="{00000000-0005-0000-0000-000077210000}"/>
    <cellStyle name="Note 3 2 2 7 2" xfId="6977" xr:uid="{00000000-0005-0000-0000-000078210000}"/>
    <cellStyle name="Note 3 2 2 7 2 2" xfId="15419" xr:uid="{59816124-CD35-46B0-9BCB-0DB3434D9216}"/>
    <cellStyle name="Note 3 2 2 7 2 3" xfId="23854" xr:uid="{3C1D8F4C-CBC6-46BD-AC57-AA14C9CD57B3}"/>
    <cellStyle name="Note 3 2 2 7 3" xfId="11201" xr:uid="{0962CEF8-5853-41E8-8184-75B3BCDEB403}"/>
    <cellStyle name="Note 3 2 2 7 4" xfId="19637" xr:uid="{9905569F-6E5D-4D2E-A3D8-DC11CCFE4811}"/>
    <cellStyle name="Note 3 2 2 8" xfId="2752" xr:uid="{00000000-0005-0000-0000-000079210000}"/>
    <cellStyle name="Note 3 2 2 9" xfId="2833" xr:uid="{00000000-0005-0000-0000-00007A210000}"/>
    <cellStyle name="Note 3 2 2 9 2" xfId="7057" xr:uid="{00000000-0005-0000-0000-00007B210000}"/>
    <cellStyle name="Note 3 2 2 9 2 2" xfId="15499" xr:uid="{595653CF-8BFF-4A90-A014-0A8931E53BA9}"/>
    <cellStyle name="Note 3 2 2 9 2 3" xfId="23934" xr:uid="{2AEEC005-585F-4736-8C4E-15542CE747E3}"/>
    <cellStyle name="Note 3 2 2 9 3" xfId="11281" xr:uid="{14BC7BE2-728E-426B-AF71-FE7E93034157}"/>
    <cellStyle name="Note 3 2 2 9 4" xfId="19717" xr:uid="{ECED0D55-6CB6-4111-85C2-66FE22F0EA38}"/>
    <cellStyle name="Note 3 2 3" xfId="557" xr:uid="{00000000-0005-0000-0000-00007C210000}"/>
    <cellStyle name="Note 3 2 3 10" xfId="9138" xr:uid="{8E0FB4B2-91BA-4312-8A2B-DDB10AE2ACC7}"/>
    <cellStyle name="Note 3 2 3 11" xfId="17574" xr:uid="{7C07195C-D124-4836-861D-BDC5FF782689}"/>
    <cellStyle name="Note 3 2 3 2" xfId="1017" xr:uid="{00000000-0005-0000-0000-00007D210000}"/>
    <cellStyle name="Note 3 2 3 2 2" xfId="3249" xr:uid="{00000000-0005-0000-0000-00007E210000}"/>
    <cellStyle name="Note 3 2 3 2 2 2" xfId="7472" xr:uid="{00000000-0005-0000-0000-00007F210000}"/>
    <cellStyle name="Note 3 2 3 2 2 2 2" xfId="15914" xr:uid="{654357DA-CA7F-419A-BEF3-6C3DE5ED571B}"/>
    <cellStyle name="Note 3 2 3 2 2 2 3" xfId="24349" xr:uid="{6475C9BA-CF8B-4CD0-8646-C61F157D376F}"/>
    <cellStyle name="Note 3 2 3 2 2 3" xfId="11696" xr:uid="{A43AAFA7-EB1A-460B-81F9-D7C8EE032FD0}"/>
    <cellStyle name="Note 3 2 3 2 2 4" xfId="20132" xr:uid="{B627ACC3-D33D-4B47-B02F-D5E85125647E}"/>
    <cellStyle name="Note 3 2 3 2 3" xfId="5327" xr:uid="{00000000-0005-0000-0000-000080210000}"/>
    <cellStyle name="Note 3 2 3 2 3 2" xfId="13769" xr:uid="{B7061446-4969-41B7-8ACC-DB37FB13FA23}"/>
    <cellStyle name="Note 3 2 3 2 3 3" xfId="22204" xr:uid="{0814FD93-887C-4453-89C6-6CEBFED5EA9D}"/>
    <cellStyle name="Note 3 2 3 2 4" xfId="9551" xr:uid="{3D8B9673-B966-42F2-8145-822BC609AD71}"/>
    <cellStyle name="Note 3 2 3 2 5" xfId="17987" xr:uid="{EE536EAE-8BFB-4434-886C-E25D13D8BF25}"/>
    <cellStyle name="Note 3 2 3 3" xfId="1432" xr:uid="{00000000-0005-0000-0000-000081210000}"/>
    <cellStyle name="Note 3 2 3 3 2" xfId="3662" xr:uid="{00000000-0005-0000-0000-000082210000}"/>
    <cellStyle name="Note 3 2 3 3 2 2" xfId="7885" xr:uid="{00000000-0005-0000-0000-000083210000}"/>
    <cellStyle name="Note 3 2 3 3 2 2 2" xfId="16327" xr:uid="{0C6F00FB-D973-4A33-B2C5-FF55F0E5BCAE}"/>
    <cellStyle name="Note 3 2 3 3 2 2 3" xfId="24762" xr:uid="{30AAE874-BBA8-40FE-81AD-EDDF802AB564}"/>
    <cellStyle name="Note 3 2 3 3 2 3" xfId="12109" xr:uid="{BED98C4E-F5B7-4CEB-9E93-34F0142135D1}"/>
    <cellStyle name="Note 3 2 3 3 2 4" xfId="20545" xr:uid="{0F62B8F7-F834-4AFA-9A8A-AE540CF96D76}"/>
    <cellStyle name="Note 3 2 3 3 3" xfId="5740" xr:uid="{00000000-0005-0000-0000-000084210000}"/>
    <cellStyle name="Note 3 2 3 3 3 2" xfId="14182" xr:uid="{B41DB587-F7A2-465D-BF64-408C74173F26}"/>
    <cellStyle name="Note 3 2 3 3 3 3" xfId="22617" xr:uid="{C4A2C2CF-00ED-472C-9360-3B11E68DFDEF}"/>
    <cellStyle name="Note 3 2 3 3 4" xfId="9964" xr:uid="{1F0951A2-9B44-4AA4-AC9B-4F6E38396A54}"/>
    <cellStyle name="Note 3 2 3 3 5" xfId="18400" xr:uid="{83F56485-FAB6-4D7F-91EB-9B8B835F8723}"/>
    <cellStyle name="Note 3 2 3 4" xfId="1846" xr:uid="{00000000-0005-0000-0000-000085210000}"/>
    <cellStyle name="Note 3 2 3 4 2" xfId="4075" xr:uid="{00000000-0005-0000-0000-000086210000}"/>
    <cellStyle name="Note 3 2 3 4 2 2" xfId="8298" xr:uid="{00000000-0005-0000-0000-000087210000}"/>
    <cellStyle name="Note 3 2 3 4 2 2 2" xfId="16740" xr:uid="{E333D4FE-550B-4182-ADA9-0EFF37A9C526}"/>
    <cellStyle name="Note 3 2 3 4 2 2 3" xfId="25175" xr:uid="{0A45CB33-6ACB-4771-B198-C94BC26E8BF1}"/>
    <cellStyle name="Note 3 2 3 4 2 3" xfId="12522" xr:uid="{21FE58A4-6018-457A-AADF-935BD4520BE5}"/>
    <cellStyle name="Note 3 2 3 4 2 4" xfId="20958" xr:uid="{FAEA95DF-49AD-44E3-83CD-674382B2C706}"/>
    <cellStyle name="Note 3 2 3 4 3" xfId="6153" xr:uid="{00000000-0005-0000-0000-000088210000}"/>
    <cellStyle name="Note 3 2 3 4 3 2" xfId="14595" xr:uid="{29FF7E36-8A74-4BC6-9419-30F0ED8B6B28}"/>
    <cellStyle name="Note 3 2 3 4 3 3" xfId="23030" xr:uid="{00813C93-EE08-4BBF-8AEB-EF5E1056B842}"/>
    <cellStyle name="Note 3 2 3 4 4" xfId="10377" xr:uid="{F233F72D-4C97-4530-A4BE-1CF6A9F163AA}"/>
    <cellStyle name="Note 3 2 3 4 5" xfId="18813" xr:uid="{AFAE3776-A19F-4C5A-B1EF-659D8DEA36A8}"/>
    <cellStyle name="Note 3 2 3 5" xfId="2259" xr:uid="{00000000-0005-0000-0000-000089210000}"/>
    <cellStyle name="Note 3 2 3 5 2" xfId="4488" xr:uid="{00000000-0005-0000-0000-00008A210000}"/>
    <cellStyle name="Note 3 2 3 5 2 2" xfId="8711" xr:uid="{00000000-0005-0000-0000-00008B210000}"/>
    <cellStyle name="Note 3 2 3 5 2 2 2" xfId="17153" xr:uid="{46CF1EBC-92B0-4515-BC5C-9D486037375B}"/>
    <cellStyle name="Note 3 2 3 5 2 2 3" xfId="25588" xr:uid="{792D20DA-2D4A-40E4-A0A5-C3145705462E}"/>
    <cellStyle name="Note 3 2 3 5 2 3" xfId="12935" xr:uid="{2AC4B365-4ACE-4A36-B5E8-63BFC94E2FE8}"/>
    <cellStyle name="Note 3 2 3 5 2 4" xfId="21371" xr:uid="{359793BB-740A-4933-8FF4-32FA12B6B5F0}"/>
    <cellStyle name="Note 3 2 3 5 3" xfId="6566" xr:uid="{00000000-0005-0000-0000-00008C210000}"/>
    <cellStyle name="Note 3 2 3 5 3 2" xfId="15008" xr:uid="{5903073A-CD2A-4334-87D0-700A0B4A18C0}"/>
    <cellStyle name="Note 3 2 3 5 3 3" xfId="23443" xr:uid="{8FE960BF-88FB-4AA1-8BB2-92DC4BE7B723}"/>
    <cellStyle name="Note 3 2 3 5 4" xfId="10790" xr:uid="{73210412-58C3-4BE1-AD80-4901887C15D8}"/>
    <cellStyle name="Note 3 2 3 5 5" xfId="19226" xr:uid="{AA1CBAE9-391E-4E18-B3F9-8CE6A31FAE5B}"/>
    <cellStyle name="Note 3 2 3 6" xfId="2695" xr:uid="{00000000-0005-0000-0000-00008D210000}"/>
    <cellStyle name="Note 3 2 3 6 2" xfId="6979" xr:uid="{00000000-0005-0000-0000-00008E210000}"/>
    <cellStyle name="Note 3 2 3 6 2 2" xfId="15421" xr:uid="{640C59E5-E0C8-4714-A44E-3989DF38CFA0}"/>
    <cellStyle name="Note 3 2 3 6 2 3" xfId="23856" xr:uid="{AB3CA1DD-46F5-4844-9933-A869195D9EA5}"/>
    <cellStyle name="Note 3 2 3 6 3" xfId="11203" xr:uid="{C244FD41-DD25-4733-AA34-66CA625A28C2}"/>
    <cellStyle name="Note 3 2 3 6 4" xfId="19639" xr:uid="{5ACCCC41-01F0-437B-9E42-84D358499590}"/>
    <cellStyle name="Note 3 2 3 7" xfId="2754" xr:uid="{00000000-0005-0000-0000-00008F210000}"/>
    <cellStyle name="Note 3 2 3 8" xfId="2835" xr:uid="{00000000-0005-0000-0000-000090210000}"/>
    <cellStyle name="Note 3 2 3 8 2" xfId="7059" xr:uid="{00000000-0005-0000-0000-000091210000}"/>
    <cellStyle name="Note 3 2 3 8 2 2" xfId="15501" xr:uid="{80620E9D-FAD2-47FB-B9E7-1BB7FB7B0744}"/>
    <cellStyle name="Note 3 2 3 8 2 3" xfId="23936" xr:uid="{F031B9CF-C592-4959-9F60-D1142A7C8B02}"/>
    <cellStyle name="Note 3 2 3 8 3" xfId="11283" xr:uid="{93AA5CC8-9E84-4036-B2E9-75FA5DC0819A}"/>
    <cellStyle name="Note 3 2 3 8 4" xfId="19719" xr:uid="{20C053A9-CF21-4ABD-A056-D224E020E6DA}"/>
    <cellStyle name="Note 3 2 3 9" xfId="4914" xr:uid="{00000000-0005-0000-0000-000092210000}"/>
    <cellStyle name="Note 3 2 3 9 2" xfId="13356" xr:uid="{83440D82-EB1A-443F-A4E3-DE2DB3B5A903}"/>
    <cellStyle name="Note 3 2 3 9 3" xfId="21791" xr:uid="{FC9C4B6A-DC79-48BB-8F71-7F5581BC08F5}"/>
    <cellStyle name="Note 3 2 4" xfId="1014" xr:uid="{00000000-0005-0000-0000-000093210000}"/>
    <cellStyle name="Note 3 2 4 2" xfId="3246" xr:uid="{00000000-0005-0000-0000-000094210000}"/>
    <cellStyle name="Note 3 2 4 2 2" xfId="7469" xr:uid="{00000000-0005-0000-0000-000095210000}"/>
    <cellStyle name="Note 3 2 4 2 2 2" xfId="15911" xr:uid="{0D0335CE-6451-4AA4-8930-AB786ACC96E4}"/>
    <cellStyle name="Note 3 2 4 2 2 3" xfId="24346" xr:uid="{114EA448-AD8E-47AA-BAB0-2F29C4F8B066}"/>
    <cellStyle name="Note 3 2 4 2 3" xfId="11693" xr:uid="{54836187-6C09-49BA-AFB9-3E2C230B2D34}"/>
    <cellStyle name="Note 3 2 4 2 4" xfId="20129" xr:uid="{6E1DAA91-C3E4-4C20-8949-2E292D37AF7A}"/>
    <cellStyle name="Note 3 2 4 3" xfId="5324" xr:uid="{00000000-0005-0000-0000-000096210000}"/>
    <cellStyle name="Note 3 2 4 3 2" xfId="13766" xr:uid="{9F79DEA3-3663-4FAE-8B0D-2B91414BE4A3}"/>
    <cellStyle name="Note 3 2 4 3 3" xfId="22201" xr:uid="{365676B4-C192-41B6-B84D-834CDCB12CE8}"/>
    <cellStyle name="Note 3 2 4 4" xfId="9548" xr:uid="{A4FF2E14-47FC-4C1D-AD29-256789EEE126}"/>
    <cellStyle name="Note 3 2 4 5" xfId="17984" xr:uid="{CC266DE4-9A53-4C41-8B56-000DA9320A57}"/>
    <cellStyle name="Note 3 2 5" xfId="1429" xr:uid="{00000000-0005-0000-0000-000097210000}"/>
    <cellStyle name="Note 3 2 5 2" xfId="3659" xr:uid="{00000000-0005-0000-0000-000098210000}"/>
    <cellStyle name="Note 3 2 5 2 2" xfId="7882" xr:uid="{00000000-0005-0000-0000-000099210000}"/>
    <cellStyle name="Note 3 2 5 2 2 2" xfId="16324" xr:uid="{E1F62AD3-56D9-4DFC-93F9-7626514A616D}"/>
    <cellStyle name="Note 3 2 5 2 2 3" xfId="24759" xr:uid="{95BDA53E-2A56-44B9-9466-335AC7732B4C}"/>
    <cellStyle name="Note 3 2 5 2 3" xfId="12106" xr:uid="{E5A6725C-2C04-49BB-A431-45312615CF47}"/>
    <cellStyle name="Note 3 2 5 2 4" xfId="20542" xr:uid="{A3C700EE-BBE2-457E-BA18-CEADE6B3F6EC}"/>
    <cellStyle name="Note 3 2 5 3" xfId="5737" xr:uid="{00000000-0005-0000-0000-00009A210000}"/>
    <cellStyle name="Note 3 2 5 3 2" xfId="14179" xr:uid="{152C7344-8F36-4283-8590-95005B48B088}"/>
    <cellStyle name="Note 3 2 5 3 3" xfId="22614" xr:uid="{B1592DE8-B833-4761-AC0E-56F3DAD4EBD3}"/>
    <cellStyle name="Note 3 2 5 4" xfId="9961" xr:uid="{7F9CEED6-642C-4F0B-9282-FE08EC2FE6D7}"/>
    <cellStyle name="Note 3 2 5 5" xfId="18397" xr:uid="{A70B0737-30AA-4748-B970-EE17CAC89E83}"/>
    <cellStyle name="Note 3 2 6" xfId="1843" xr:uid="{00000000-0005-0000-0000-00009B210000}"/>
    <cellStyle name="Note 3 2 6 2" xfId="4072" xr:uid="{00000000-0005-0000-0000-00009C210000}"/>
    <cellStyle name="Note 3 2 6 2 2" xfId="8295" xr:uid="{00000000-0005-0000-0000-00009D210000}"/>
    <cellStyle name="Note 3 2 6 2 2 2" xfId="16737" xr:uid="{B76A4EFC-DA90-4618-A040-359F08C0DE2C}"/>
    <cellStyle name="Note 3 2 6 2 2 3" xfId="25172" xr:uid="{6BF5C980-977C-4127-85E0-7153EF056859}"/>
    <cellStyle name="Note 3 2 6 2 3" xfId="12519" xr:uid="{30F6402E-FDD1-415D-8B8E-3BC082150AC8}"/>
    <cellStyle name="Note 3 2 6 2 4" xfId="20955" xr:uid="{A046293C-D1F8-4BE1-BBAE-DDCE983CDF69}"/>
    <cellStyle name="Note 3 2 6 3" xfId="6150" xr:uid="{00000000-0005-0000-0000-00009E210000}"/>
    <cellStyle name="Note 3 2 6 3 2" xfId="14592" xr:uid="{ED598B7D-97C7-48CB-8F93-FE610B401D3A}"/>
    <cellStyle name="Note 3 2 6 3 3" xfId="23027" xr:uid="{AEBDAFFD-78BA-45E1-9DF1-4F873E4DD204}"/>
    <cellStyle name="Note 3 2 6 4" xfId="10374" xr:uid="{9AF13676-3598-4F65-B992-30294FA07E86}"/>
    <cellStyle name="Note 3 2 6 5" xfId="18810" xr:uid="{47365129-EEED-4414-A1CE-F4AD04C018AA}"/>
    <cellStyle name="Note 3 2 7" xfId="2256" xr:uid="{00000000-0005-0000-0000-00009F210000}"/>
    <cellStyle name="Note 3 2 7 2" xfId="4485" xr:uid="{00000000-0005-0000-0000-0000A0210000}"/>
    <cellStyle name="Note 3 2 7 2 2" xfId="8708" xr:uid="{00000000-0005-0000-0000-0000A1210000}"/>
    <cellStyle name="Note 3 2 7 2 2 2" xfId="17150" xr:uid="{2F4CAF91-495E-4406-BDA2-1B833C02099D}"/>
    <cellStyle name="Note 3 2 7 2 2 3" xfId="25585" xr:uid="{8D1DDA0A-736F-4E24-8566-CA90303175D5}"/>
    <cellStyle name="Note 3 2 7 2 3" xfId="12932" xr:uid="{0DDC6E52-0D0D-4B35-B3E6-AD8C3E53BFBE}"/>
    <cellStyle name="Note 3 2 7 2 4" xfId="21368" xr:uid="{EB52B7CE-D407-405C-B0A6-470D03F81A88}"/>
    <cellStyle name="Note 3 2 7 3" xfId="6563" xr:uid="{00000000-0005-0000-0000-0000A2210000}"/>
    <cellStyle name="Note 3 2 7 3 2" xfId="15005" xr:uid="{8E162396-F297-43FF-8DE1-16430691B2DF}"/>
    <cellStyle name="Note 3 2 7 3 3" xfId="23440" xr:uid="{511E3A84-691C-437A-B521-238F17D2A149}"/>
    <cellStyle name="Note 3 2 7 4" xfId="10787" xr:uid="{DE8CCA3D-E510-4D70-B954-1ECA485EEF67}"/>
    <cellStyle name="Note 3 2 7 5" xfId="19223" xr:uid="{E67EA2ED-9485-4D8D-B523-54F049FB3656}"/>
    <cellStyle name="Note 3 2 8" xfId="2692" xr:uid="{00000000-0005-0000-0000-0000A3210000}"/>
    <cellStyle name="Note 3 2 8 2" xfId="6976" xr:uid="{00000000-0005-0000-0000-0000A4210000}"/>
    <cellStyle name="Note 3 2 8 2 2" xfId="15418" xr:uid="{8846D6E7-B2EE-4491-8D3A-43D079FB2A2A}"/>
    <cellStyle name="Note 3 2 8 2 3" xfId="23853" xr:uid="{86AF67B1-6A39-4AC2-91B7-2A3EB4BBCBC6}"/>
    <cellStyle name="Note 3 2 8 3" xfId="11200" xr:uid="{63E46577-2C32-408B-84A2-D56FD55F2C15}"/>
    <cellStyle name="Note 3 2 8 4" xfId="19636" xr:uid="{1B51EC90-2B1A-420F-A4A4-CCCFA0EB3A3D}"/>
    <cellStyle name="Note 3 2 9" xfId="2751" xr:uid="{00000000-0005-0000-0000-0000A5210000}"/>
    <cellStyle name="Note 3 3" xfId="558" xr:uid="{00000000-0005-0000-0000-0000A6210000}"/>
    <cellStyle name="Note 3 3 10" xfId="4915" xr:uid="{00000000-0005-0000-0000-0000A7210000}"/>
    <cellStyle name="Note 3 3 10 2" xfId="13357" xr:uid="{C2AF02F2-019B-4731-A3D8-5983EE7EA4CA}"/>
    <cellStyle name="Note 3 3 10 3" xfId="21792" xr:uid="{4A0AB2DA-BC55-4827-9F60-8D2CE6F7548F}"/>
    <cellStyle name="Note 3 3 11" xfId="9139" xr:uid="{BDD4E148-1D37-42EE-8235-FF18D3D572BD}"/>
    <cellStyle name="Note 3 3 12" xfId="17575" xr:uid="{294CE773-C205-41B9-A8BA-7CB8F13499C8}"/>
    <cellStyle name="Note 3 3 2" xfId="559" xr:uid="{00000000-0005-0000-0000-0000A8210000}"/>
    <cellStyle name="Note 3 3 2 10" xfId="9140" xr:uid="{024A95A6-1975-443F-BA04-8ADABF33D735}"/>
    <cellStyle name="Note 3 3 2 11" xfId="17576" xr:uid="{18B2BE4D-E085-472E-941C-B4EBDFB64663}"/>
    <cellStyle name="Note 3 3 2 2" xfId="1019" xr:uid="{00000000-0005-0000-0000-0000A9210000}"/>
    <cellStyle name="Note 3 3 2 2 2" xfId="3251" xr:uid="{00000000-0005-0000-0000-0000AA210000}"/>
    <cellStyle name="Note 3 3 2 2 2 2" xfId="7474" xr:uid="{00000000-0005-0000-0000-0000AB210000}"/>
    <cellStyle name="Note 3 3 2 2 2 2 2" xfId="15916" xr:uid="{321A373C-34F4-4AC5-BAB1-A1F2B51DB75F}"/>
    <cellStyle name="Note 3 3 2 2 2 2 3" xfId="24351" xr:uid="{C50A3E55-16FE-4647-B8B6-B4187FFC6302}"/>
    <cellStyle name="Note 3 3 2 2 2 3" xfId="11698" xr:uid="{C786D11F-C88A-4324-9C47-17E241B2F086}"/>
    <cellStyle name="Note 3 3 2 2 2 4" xfId="20134" xr:uid="{5F00A725-4863-4F58-BBE2-509BE2DB93F4}"/>
    <cellStyle name="Note 3 3 2 2 3" xfId="5329" xr:uid="{00000000-0005-0000-0000-0000AC210000}"/>
    <cellStyle name="Note 3 3 2 2 3 2" xfId="13771" xr:uid="{E73158D9-CEE0-4596-B663-2DAD43638F97}"/>
    <cellStyle name="Note 3 3 2 2 3 3" xfId="22206" xr:uid="{16E9E649-CF81-4629-BB05-3E14847D9977}"/>
    <cellStyle name="Note 3 3 2 2 4" xfId="9553" xr:uid="{F201DA51-C284-4C83-B76F-6C6D7C28B4D6}"/>
    <cellStyle name="Note 3 3 2 2 5" xfId="17989" xr:uid="{933EEFCB-0A69-463B-892C-12EB3B7C07E8}"/>
    <cellStyle name="Note 3 3 2 3" xfId="1434" xr:uid="{00000000-0005-0000-0000-0000AD210000}"/>
    <cellStyle name="Note 3 3 2 3 2" xfId="3664" xr:uid="{00000000-0005-0000-0000-0000AE210000}"/>
    <cellStyle name="Note 3 3 2 3 2 2" xfId="7887" xr:uid="{00000000-0005-0000-0000-0000AF210000}"/>
    <cellStyle name="Note 3 3 2 3 2 2 2" xfId="16329" xr:uid="{C5E9BFB0-CFE8-47F1-9F5E-1E0FD2A96FA9}"/>
    <cellStyle name="Note 3 3 2 3 2 2 3" xfId="24764" xr:uid="{0C0E5E54-59AC-4159-B997-B0A2A6ADDD83}"/>
    <cellStyle name="Note 3 3 2 3 2 3" xfId="12111" xr:uid="{A8170CAD-61E1-4281-B85F-4DA378435279}"/>
    <cellStyle name="Note 3 3 2 3 2 4" xfId="20547" xr:uid="{E0DC4871-922C-472F-8E45-3FF988C4FC52}"/>
    <cellStyle name="Note 3 3 2 3 3" xfId="5742" xr:uid="{00000000-0005-0000-0000-0000B0210000}"/>
    <cellStyle name="Note 3 3 2 3 3 2" xfId="14184" xr:uid="{DDADC3CD-65D0-4080-B437-1A2E11D7D976}"/>
    <cellStyle name="Note 3 3 2 3 3 3" xfId="22619" xr:uid="{E2FA3ACD-5C6B-433D-8E70-C14B7EDD4497}"/>
    <cellStyle name="Note 3 3 2 3 4" xfId="9966" xr:uid="{BE6D1CF1-1CE9-4097-88B5-839DD9B5384D}"/>
    <cellStyle name="Note 3 3 2 3 5" xfId="18402" xr:uid="{A0368DE0-D1C3-4649-8299-F87BCDB23FEE}"/>
    <cellStyle name="Note 3 3 2 4" xfId="1848" xr:uid="{00000000-0005-0000-0000-0000B1210000}"/>
    <cellStyle name="Note 3 3 2 4 2" xfId="4077" xr:uid="{00000000-0005-0000-0000-0000B2210000}"/>
    <cellStyle name="Note 3 3 2 4 2 2" xfId="8300" xr:uid="{00000000-0005-0000-0000-0000B3210000}"/>
    <cellStyle name="Note 3 3 2 4 2 2 2" xfId="16742" xr:uid="{7D0C06D6-4E4F-4E34-9EC3-C1B1E0170D41}"/>
    <cellStyle name="Note 3 3 2 4 2 2 3" xfId="25177" xr:uid="{93FD70E1-44AD-4F47-B40D-BFDB92F525A6}"/>
    <cellStyle name="Note 3 3 2 4 2 3" xfId="12524" xr:uid="{4E15D09E-3CFD-4BBC-82AA-0505D22B606A}"/>
    <cellStyle name="Note 3 3 2 4 2 4" xfId="20960" xr:uid="{564AE4E2-06B9-460B-B758-2517F425A554}"/>
    <cellStyle name="Note 3 3 2 4 3" xfId="6155" xr:uid="{00000000-0005-0000-0000-0000B4210000}"/>
    <cellStyle name="Note 3 3 2 4 3 2" xfId="14597" xr:uid="{EF70DCD7-863D-47CE-8375-CD08005E5E61}"/>
    <cellStyle name="Note 3 3 2 4 3 3" xfId="23032" xr:uid="{B2F40A1B-CD8E-4E54-9E25-9BCC1DA79B1E}"/>
    <cellStyle name="Note 3 3 2 4 4" xfId="10379" xr:uid="{90B6E4B8-9628-4ED2-BF20-875B8B60FCF6}"/>
    <cellStyle name="Note 3 3 2 4 5" xfId="18815" xr:uid="{B6A4CFC7-E01D-47C0-8822-38CC4E9720C6}"/>
    <cellStyle name="Note 3 3 2 5" xfId="2261" xr:uid="{00000000-0005-0000-0000-0000B5210000}"/>
    <cellStyle name="Note 3 3 2 5 2" xfId="4490" xr:uid="{00000000-0005-0000-0000-0000B6210000}"/>
    <cellStyle name="Note 3 3 2 5 2 2" xfId="8713" xr:uid="{00000000-0005-0000-0000-0000B7210000}"/>
    <cellStyle name="Note 3 3 2 5 2 2 2" xfId="17155" xr:uid="{C868C0E6-AA11-4314-BF6B-6A779682E18B}"/>
    <cellStyle name="Note 3 3 2 5 2 2 3" xfId="25590" xr:uid="{7A6335E9-E344-4D2C-A450-FD5FAB1421FF}"/>
    <cellStyle name="Note 3 3 2 5 2 3" xfId="12937" xr:uid="{E26A82D2-48D9-4E96-96C2-6ECC984E7AC3}"/>
    <cellStyle name="Note 3 3 2 5 2 4" xfId="21373" xr:uid="{479E22E6-E3CC-40BC-B714-F37A70A8A575}"/>
    <cellStyle name="Note 3 3 2 5 3" xfId="6568" xr:uid="{00000000-0005-0000-0000-0000B8210000}"/>
    <cellStyle name="Note 3 3 2 5 3 2" xfId="15010" xr:uid="{D6E32ACF-34C4-47AF-AF90-7B87735E8B11}"/>
    <cellStyle name="Note 3 3 2 5 3 3" xfId="23445" xr:uid="{E30BE6C1-1541-44ED-84C3-E614B27041B2}"/>
    <cellStyle name="Note 3 3 2 5 4" xfId="10792" xr:uid="{20CF650C-CDD8-4CFD-B02A-2E39142E42B8}"/>
    <cellStyle name="Note 3 3 2 5 5" xfId="19228" xr:uid="{F9666C34-0DB4-4937-B922-67287611C613}"/>
    <cellStyle name="Note 3 3 2 6" xfId="2697" xr:uid="{00000000-0005-0000-0000-0000B9210000}"/>
    <cellStyle name="Note 3 3 2 6 2" xfId="6981" xr:uid="{00000000-0005-0000-0000-0000BA210000}"/>
    <cellStyle name="Note 3 3 2 6 2 2" xfId="15423" xr:uid="{0B1D29A8-6B7D-4421-AFBC-17434D07A4D8}"/>
    <cellStyle name="Note 3 3 2 6 2 3" xfId="23858" xr:uid="{62494F60-17D3-40D7-BB5D-0599B4BCB365}"/>
    <cellStyle name="Note 3 3 2 6 3" xfId="11205" xr:uid="{9CED3FB5-B3BA-4B10-851D-7D016775E9A6}"/>
    <cellStyle name="Note 3 3 2 6 4" xfId="19641" xr:uid="{6DE123B6-CB23-436D-A570-87C3973ADC23}"/>
    <cellStyle name="Note 3 3 2 7" xfId="2756" xr:uid="{00000000-0005-0000-0000-0000BB210000}"/>
    <cellStyle name="Note 3 3 2 8" xfId="2837" xr:uid="{00000000-0005-0000-0000-0000BC210000}"/>
    <cellStyle name="Note 3 3 2 8 2" xfId="7061" xr:uid="{00000000-0005-0000-0000-0000BD210000}"/>
    <cellStyle name="Note 3 3 2 8 2 2" xfId="15503" xr:uid="{5532764E-858A-4CBA-B65A-4CBACE1755FE}"/>
    <cellStyle name="Note 3 3 2 8 2 3" xfId="23938" xr:uid="{4A5ECE65-2165-41EB-8CBC-6F85B0934DF3}"/>
    <cellStyle name="Note 3 3 2 8 3" xfId="11285" xr:uid="{C8B21C2C-A26B-432D-9AF4-08A9336F3477}"/>
    <cellStyle name="Note 3 3 2 8 4" xfId="19721" xr:uid="{6E2CCFC5-3CA0-4C48-AA5C-9886538E45FC}"/>
    <cellStyle name="Note 3 3 2 9" xfId="4916" xr:uid="{00000000-0005-0000-0000-0000BE210000}"/>
    <cellStyle name="Note 3 3 2 9 2" xfId="13358" xr:uid="{8D1C1DFA-6735-4B34-B21B-ACC963C305C2}"/>
    <cellStyle name="Note 3 3 2 9 3" xfId="21793" xr:uid="{2D51BB8C-15F1-437D-B960-ABE5E448989A}"/>
    <cellStyle name="Note 3 3 3" xfId="1018" xr:uid="{00000000-0005-0000-0000-0000BF210000}"/>
    <cellStyle name="Note 3 3 3 2" xfId="3250" xr:uid="{00000000-0005-0000-0000-0000C0210000}"/>
    <cellStyle name="Note 3 3 3 2 2" xfId="7473" xr:uid="{00000000-0005-0000-0000-0000C1210000}"/>
    <cellStyle name="Note 3 3 3 2 2 2" xfId="15915" xr:uid="{743B679C-55DF-4A5D-A475-D0489AB77D17}"/>
    <cellStyle name="Note 3 3 3 2 2 3" xfId="24350" xr:uid="{1BCE5FEC-E116-45B7-98DF-29903193C4F6}"/>
    <cellStyle name="Note 3 3 3 2 3" xfId="11697" xr:uid="{1FD5CF03-BDF4-4791-A45D-B99694C2EEF7}"/>
    <cellStyle name="Note 3 3 3 2 4" xfId="20133" xr:uid="{0F196CA4-A4AB-4044-BC5E-615D38589908}"/>
    <cellStyle name="Note 3 3 3 3" xfId="5328" xr:uid="{00000000-0005-0000-0000-0000C2210000}"/>
    <cellStyle name="Note 3 3 3 3 2" xfId="13770" xr:uid="{E3367565-1DD5-4534-AD0A-444FE9E423CF}"/>
    <cellStyle name="Note 3 3 3 3 3" xfId="22205" xr:uid="{AB6CCD74-C5A3-4E85-9A1A-476E0D377743}"/>
    <cellStyle name="Note 3 3 3 4" xfId="9552" xr:uid="{CFA547F5-160C-4223-AF90-158CE2A3F556}"/>
    <cellStyle name="Note 3 3 3 5" xfId="17988" xr:uid="{1E80BF1F-9F39-4E4A-A362-42E531682E8C}"/>
    <cellStyle name="Note 3 3 4" xfId="1433" xr:uid="{00000000-0005-0000-0000-0000C3210000}"/>
    <cellStyle name="Note 3 3 4 2" xfId="3663" xr:uid="{00000000-0005-0000-0000-0000C4210000}"/>
    <cellStyle name="Note 3 3 4 2 2" xfId="7886" xr:uid="{00000000-0005-0000-0000-0000C5210000}"/>
    <cellStyle name="Note 3 3 4 2 2 2" xfId="16328" xr:uid="{A6AF296D-570A-4091-85CE-9D58E1AAD9A2}"/>
    <cellStyle name="Note 3 3 4 2 2 3" xfId="24763" xr:uid="{EEDF1A78-AC1A-447A-AE88-DE168EC7F42C}"/>
    <cellStyle name="Note 3 3 4 2 3" xfId="12110" xr:uid="{5249444D-BDAB-4D44-BD0A-43E8591E2B01}"/>
    <cellStyle name="Note 3 3 4 2 4" xfId="20546" xr:uid="{D98A083C-4947-4D04-83F7-5DDDE309A6D5}"/>
    <cellStyle name="Note 3 3 4 3" xfId="5741" xr:uid="{00000000-0005-0000-0000-0000C6210000}"/>
    <cellStyle name="Note 3 3 4 3 2" xfId="14183" xr:uid="{E97AF23C-44B6-40A0-B0A3-440B1801CB2F}"/>
    <cellStyle name="Note 3 3 4 3 3" xfId="22618" xr:uid="{AEE9969D-F8D8-4CA9-84C4-A1A888119170}"/>
    <cellStyle name="Note 3 3 4 4" xfId="9965" xr:uid="{156125BE-4D3C-4E77-9E06-F67BCEB95288}"/>
    <cellStyle name="Note 3 3 4 5" xfId="18401" xr:uid="{4CF07B6E-7EFF-409C-87B7-474A2230BF12}"/>
    <cellStyle name="Note 3 3 5" xfId="1847" xr:uid="{00000000-0005-0000-0000-0000C7210000}"/>
    <cellStyle name="Note 3 3 5 2" xfId="4076" xr:uid="{00000000-0005-0000-0000-0000C8210000}"/>
    <cellStyle name="Note 3 3 5 2 2" xfId="8299" xr:uid="{00000000-0005-0000-0000-0000C9210000}"/>
    <cellStyle name="Note 3 3 5 2 2 2" xfId="16741" xr:uid="{E22D43F4-943C-4A14-B36D-689A54B1073F}"/>
    <cellStyle name="Note 3 3 5 2 2 3" xfId="25176" xr:uid="{4FDB01B9-9327-4E56-AA14-CFD1BA844B2E}"/>
    <cellStyle name="Note 3 3 5 2 3" xfId="12523" xr:uid="{DB4386B0-7AE7-4964-9F0B-7872A4C288A0}"/>
    <cellStyle name="Note 3 3 5 2 4" xfId="20959" xr:uid="{288E2B21-6A19-4920-BD8C-E62A521E2EC5}"/>
    <cellStyle name="Note 3 3 5 3" xfId="6154" xr:uid="{00000000-0005-0000-0000-0000CA210000}"/>
    <cellStyle name="Note 3 3 5 3 2" xfId="14596" xr:uid="{0257570B-1B37-4189-B0BF-79FF599DB504}"/>
    <cellStyle name="Note 3 3 5 3 3" xfId="23031" xr:uid="{47D2D04C-7C0F-432C-9BE9-82FADD6D10A8}"/>
    <cellStyle name="Note 3 3 5 4" xfId="10378" xr:uid="{FE9B7C3B-E924-4DBE-B2A9-E8F248F0C4D8}"/>
    <cellStyle name="Note 3 3 5 5" xfId="18814" xr:uid="{0FF79EAC-FE67-486F-8B68-B333B60ADB20}"/>
    <cellStyle name="Note 3 3 6" xfId="2260" xr:uid="{00000000-0005-0000-0000-0000CB210000}"/>
    <cellStyle name="Note 3 3 6 2" xfId="4489" xr:uid="{00000000-0005-0000-0000-0000CC210000}"/>
    <cellStyle name="Note 3 3 6 2 2" xfId="8712" xr:uid="{00000000-0005-0000-0000-0000CD210000}"/>
    <cellStyle name="Note 3 3 6 2 2 2" xfId="17154" xr:uid="{B7B1D650-6A78-48B5-93BE-45518957CBDF}"/>
    <cellStyle name="Note 3 3 6 2 2 3" xfId="25589" xr:uid="{A1296249-9C27-4679-BF68-F6BC59C85D2A}"/>
    <cellStyle name="Note 3 3 6 2 3" xfId="12936" xr:uid="{656C53FE-6CC4-4654-8784-90FB80CE0F2D}"/>
    <cellStyle name="Note 3 3 6 2 4" xfId="21372" xr:uid="{DD15BC71-9401-46ED-97E5-7A97B5BFF67F}"/>
    <cellStyle name="Note 3 3 6 3" xfId="6567" xr:uid="{00000000-0005-0000-0000-0000CE210000}"/>
    <cellStyle name="Note 3 3 6 3 2" xfId="15009" xr:uid="{549D8749-7A0D-4F63-9BC6-42E6FBA43EB2}"/>
    <cellStyle name="Note 3 3 6 3 3" xfId="23444" xr:uid="{B3CABD5D-D516-4334-B2E0-62880517244B}"/>
    <cellStyle name="Note 3 3 6 4" xfId="10791" xr:uid="{7E36135E-AF35-4F4B-A720-0E7E66178C22}"/>
    <cellStyle name="Note 3 3 6 5" xfId="19227" xr:uid="{590C5EC1-B636-4BC3-AF2E-3C14E95881B7}"/>
    <cellStyle name="Note 3 3 7" xfId="2696" xr:uid="{00000000-0005-0000-0000-0000CF210000}"/>
    <cellStyle name="Note 3 3 7 2" xfId="6980" xr:uid="{00000000-0005-0000-0000-0000D0210000}"/>
    <cellStyle name="Note 3 3 7 2 2" xfId="15422" xr:uid="{AAE5CB35-3F88-4043-B17A-B6D23597EAF5}"/>
    <cellStyle name="Note 3 3 7 2 3" xfId="23857" xr:uid="{80C8486F-79B8-42CC-938B-AF5A406C2791}"/>
    <cellStyle name="Note 3 3 7 3" xfId="11204" xr:uid="{1D2D7B61-92DF-4A7E-89E2-F2D6417DC92F}"/>
    <cellStyle name="Note 3 3 7 4" xfId="19640" xr:uid="{A7D5D4DF-4D1A-409F-A50E-A61356F6B059}"/>
    <cellStyle name="Note 3 3 8" xfId="2755" xr:uid="{00000000-0005-0000-0000-0000D1210000}"/>
    <cellStyle name="Note 3 3 9" xfId="2836" xr:uid="{00000000-0005-0000-0000-0000D2210000}"/>
    <cellStyle name="Note 3 3 9 2" xfId="7060" xr:uid="{00000000-0005-0000-0000-0000D3210000}"/>
    <cellStyle name="Note 3 3 9 2 2" xfId="15502" xr:uid="{B2FF6C8D-B76A-4540-B4EF-22304E3E1CD0}"/>
    <cellStyle name="Note 3 3 9 2 3" xfId="23937" xr:uid="{DC7AC6EE-3A26-4AE3-A1C9-5FF5654B432A}"/>
    <cellStyle name="Note 3 3 9 3" xfId="11284" xr:uid="{3A316904-A6F0-43B3-89F1-C955AEC558E1}"/>
    <cellStyle name="Note 3 3 9 4" xfId="19720" xr:uid="{C10FE481-B46E-41E0-9036-DCA2031D316C}"/>
    <cellStyle name="Note 3 4" xfId="560" xr:uid="{00000000-0005-0000-0000-0000D4210000}"/>
    <cellStyle name="Note 3 4 10" xfId="9141" xr:uid="{09DC69FB-5ADD-4D3E-9478-86A25853F1BC}"/>
    <cellStyle name="Note 3 4 11" xfId="17577" xr:uid="{11BB1331-AE57-4BDD-941E-27B0A2822C86}"/>
    <cellStyle name="Note 3 4 2" xfId="1020" xr:uid="{00000000-0005-0000-0000-0000D5210000}"/>
    <cellStyle name="Note 3 4 2 2" xfId="3252" xr:uid="{00000000-0005-0000-0000-0000D6210000}"/>
    <cellStyle name="Note 3 4 2 2 2" xfId="7475" xr:uid="{00000000-0005-0000-0000-0000D7210000}"/>
    <cellStyle name="Note 3 4 2 2 2 2" xfId="15917" xr:uid="{8AF3AD6A-8E1D-4CD8-A163-0FE54CADC30F}"/>
    <cellStyle name="Note 3 4 2 2 2 3" xfId="24352" xr:uid="{53657F5A-CF61-4547-99E5-4A0E95BD693C}"/>
    <cellStyle name="Note 3 4 2 2 3" xfId="11699" xr:uid="{949FDD08-1E1A-4ECE-8539-85E359383030}"/>
    <cellStyle name="Note 3 4 2 2 4" xfId="20135" xr:uid="{573C4876-015B-45D6-BC02-A58102FBF01A}"/>
    <cellStyle name="Note 3 4 2 3" xfId="5330" xr:uid="{00000000-0005-0000-0000-0000D8210000}"/>
    <cellStyle name="Note 3 4 2 3 2" xfId="13772" xr:uid="{066F9AC9-D9D1-4F6E-9D81-0349455F829F}"/>
    <cellStyle name="Note 3 4 2 3 3" xfId="22207" xr:uid="{C243A6CB-A4BA-4D8B-9AEA-8CEA7C84714A}"/>
    <cellStyle name="Note 3 4 2 4" xfId="9554" xr:uid="{9B228FB6-714C-40B5-9191-4ED995B45A54}"/>
    <cellStyle name="Note 3 4 2 5" xfId="17990" xr:uid="{26096408-ED8E-43B6-9269-6A55FF05D720}"/>
    <cellStyle name="Note 3 4 3" xfId="1435" xr:uid="{00000000-0005-0000-0000-0000D9210000}"/>
    <cellStyle name="Note 3 4 3 2" xfId="3665" xr:uid="{00000000-0005-0000-0000-0000DA210000}"/>
    <cellStyle name="Note 3 4 3 2 2" xfId="7888" xr:uid="{00000000-0005-0000-0000-0000DB210000}"/>
    <cellStyle name="Note 3 4 3 2 2 2" xfId="16330" xr:uid="{7E44C42D-A676-4EBF-8846-844F5CFCF5B2}"/>
    <cellStyle name="Note 3 4 3 2 2 3" xfId="24765" xr:uid="{71D5A126-55E9-4E05-82B5-8418A0C64356}"/>
    <cellStyle name="Note 3 4 3 2 3" xfId="12112" xr:uid="{40DB0770-EBC8-41A5-BA55-CAD687179CD3}"/>
    <cellStyle name="Note 3 4 3 2 4" xfId="20548" xr:uid="{0F75FB43-1BDC-42B2-99CA-63BDB153BBC7}"/>
    <cellStyle name="Note 3 4 3 3" xfId="5743" xr:uid="{00000000-0005-0000-0000-0000DC210000}"/>
    <cellStyle name="Note 3 4 3 3 2" xfId="14185" xr:uid="{8F9627EB-0152-44AC-8B29-02CA0E389F41}"/>
    <cellStyle name="Note 3 4 3 3 3" xfId="22620" xr:uid="{9AB44555-1C71-4147-8835-3E76B2E1EDB6}"/>
    <cellStyle name="Note 3 4 3 4" xfId="9967" xr:uid="{3DA1FED5-4898-46A4-8BFB-282AB9D06FEA}"/>
    <cellStyle name="Note 3 4 3 5" xfId="18403" xr:uid="{F2F955DF-4A05-4BF8-A38F-360CD29BE852}"/>
    <cellStyle name="Note 3 4 4" xfId="1849" xr:uid="{00000000-0005-0000-0000-0000DD210000}"/>
    <cellStyle name="Note 3 4 4 2" xfId="4078" xr:uid="{00000000-0005-0000-0000-0000DE210000}"/>
    <cellStyle name="Note 3 4 4 2 2" xfId="8301" xr:uid="{00000000-0005-0000-0000-0000DF210000}"/>
    <cellStyle name="Note 3 4 4 2 2 2" xfId="16743" xr:uid="{FA02D0FC-A5F1-4966-AA0B-836035792344}"/>
    <cellStyle name="Note 3 4 4 2 2 3" xfId="25178" xr:uid="{DDB27A4A-1C0D-46E9-BDCB-FC1E402698E7}"/>
    <cellStyle name="Note 3 4 4 2 3" xfId="12525" xr:uid="{BF6C3C72-384F-42EE-B23E-946BAEF863F3}"/>
    <cellStyle name="Note 3 4 4 2 4" xfId="20961" xr:uid="{1C3FA08A-50CF-4DB8-A4D5-3ED729462078}"/>
    <cellStyle name="Note 3 4 4 3" xfId="6156" xr:uid="{00000000-0005-0000-0000-0000E0210000}"/>
    <cellStyle name="Note 3 4 4 3 2" xfId="14598" xr:uid="{C5B9607F-3E72-4061-AE2D-4F303A2A35EF}"/>
    <cellStyle name="Note 3 4 4 3 3" xfId="23033" xr:uid="{0E826674-7175-47EE-BD49-BF9CB9041888}"/>
    <cellStyle name="Note 3 4 4 4" xfId="10380" xr:uid="{C097CBCB-BE78-4CF1-88EA-307DD14F93D8}"/>
    <cellStyle name="Note 3 4 4 5" xfId="18816" xr:uid="{0C04B06F-CAF6-4869-9EAE-2F285547E3BB}"/>
    <cellStyle name="Note 3 4 5" xfId="2262" xr:uid="{00000000-0005-0000-0000-0000E1210000}"/>
    <cellStyle name="Note 3 4 5 2" xfId="4491" xr:uid="{00000000-0005-0000-0000-0000E2210000}"/>
    <cellStyle name="Note 3 4 5 2 2" xfId="8714" xr:uid="{00000000-0005-0000-0000-0000E3210000}"/>
    <cellStyle name="Note 3 4 5 2 2 2" xfId="17156" xr:uid="{BA91E48A-3970-4ECC-BDD8-86E080E9D68E}"/>
    <cellStyle name="Note 3 4 5 2 2 3" xfId="25591" xr:uid="{E5FB81BF-CDF7-4B13-898A-B8293933BD15}"/>
    <cellStyle name="Note 3 4 5 2 3" xfId="12938" xr:uid="{C99B49F4-3090-4727-AA66-63875A284132}"/>
    <cellStyle name="Note 3 4 5 2 4" xfId="21374" xr:uid="{168C3819-E96E-478A-9751-A9BE2D8E10D3}"/>
    <cellStyle name="Note 3 4 5 3" xfId="6569" xr:uid="{00000000-0005-0000-0000-0000E4210000}"/>
    <cellStyle name="Note 3 4 5 3 2" xfId="15011" xr:uid="{EC3671E8-90B8-4810-A5AF-E838250AAA83}"/>
    <cellStyle name="Note 3 4 5 3 3" xfId="23446" xr:uid="{9430677F-298D-490F-BADD-4CCDD91EFC40}"/>
    <cellStyle name="Note 3 4 5 4" xfId="10793" xr:uid="{CC5B21DB-09DF-4E01-B48C-723E639D1B4F}"/>
    <cellStyle name="Note 3 4 5 5" xfId="19229" xr:uid="{0B08F590-CEBC-4DCE-9AD5-E8326AFA21BE}"/>
    <cellStyle name="Note 3 4 6" xfId="2698" xr:uid="{00000000-0005-0000-0000-0000E5210000}"/>
    <cellStyle name="Note 3 4 6 2" xfId="6982" xr:uid="{00000000-0005-0000-0000-0000E6210000}"/>
    <cellStyle name="Note 3 4 6 2 2" xfId="15424" xr:uid="{EF492B15-9562-4565-8A48-F7D0D7C844CD}"/>
    <cellStyle name="Note 3 4 6 2 3" xfId="23859" xr:uid="{D9F757D4-9F2A-460C-8AF1-0FCB5318F8BA}"/>
    <cellStyle name="Note 3 4 6 3" xfId="11206" xr:uid="{C8EC474E-A2CF-4C65-B8F4-C626292C17B5}"/>
    <cellStyle name="Note 3 4 6 4" xfId="19642" xr:uid="{F6C84898-BF00-44E6-804A-67EFBC87D674}"/>
    <cellStyle name="Note 3 4 7" xfId="2757" xr:uid="{00000000-0005-0000-0000-0000E7210000}"/>
    <cellStyle name="Note 3 4 8" xfId="2838" xr:uid="{00000000-0005-0000-0000-0000E8210000}"/>
    <cellStyle name="Note 3 4 8 2" xfId="7062" xr:uid="{00000000-0005-0000-0000-0000E9210000}"/>
    <cellStyle name="Note 3 4 8 2 2" xfId="15504" xr:uid="{29EC7256-8209-440F-B24D-B912918A88DA}"/>
    <cellStyle name="Note 3 4 8 2 3" xfId="23939" xr:uid="{102A53A6-3F60-49AB-B1BD-24F586F1E3C9}"/>
    <cellStyle name="Note 3 4 8 3" xfId="11286" xr:uid="{C32EB50C-F40F-4981-89FC-16F4606E0664}"/>
    <cellStyle name="Note 3 4 8 4" xfId="19722" xr:uid="{FFB7BB62-7A1F-48EB-924B-94E897ED34D2}"/>
    <cellStyle name="Note 3 4 9" xfId="4917" xr:uid="{00000000-0005-0000-0000-0000EA210000}"/>
    <cellStyle name="Note 3 4 9 2" xfId="13359" xr:uid="{EED2C585-233E-452B-A6C4-CABAD93D19D7}"/>
    <cellStyle name="Note 3 4 9 3" xfId="21794" xr:uid="{5A1FE315-FFEF-48E6-A65E-87086DB21CF4}"/>
    <cellStyle name="Note 3 5" xfId="561" xr:uid="{00000000-0005-0000-0000-0000EB210000}"/>
    <cellStyle name="Note 3 5 10" xfId="9142" xr:uid="{29DA87F2-002D-4CDD-AC3C-831D90471617}"/>
    <cellStyle name="Note 3 5 11" xfId="17578" xr:uid="{43A7B6FE-0150-4A71-8E4B-B0C205F5F1CF}"/>
    <cellStyle name="Note 3 5 2" xfId="1021" xr:uid="{00000000-0005-0000-0000-0000EC210000}"/>
    <cellStyle name="Note 3 5 2 2" xfId="3253" xr:uid="{00000000-0005-0000-0000-0000ED210000}"/>
    <cellStyle name="Note 3 5 2 2 2" xfId="7476" xr:uid="{00000000-0005-0000-0000-0000EE210000}"/>
    <cellStyle name="Note 3 5 2 2 2 2" xfId="15918" xr:uid="{67A4FCFC-245A-4B1E-AF9B-18EB799D81A8}"/>
    <cellStyle name="Note 3 5 2 2 2 3" xfId="24353" xr:uid="{7F08B77E-BEF6-41BB-8132-19F13A571F4F}"/>
    <cellStyle name="Note 3 5 2 2 3" xfId="11700" xr:uid="{E8372E8A-463C-4572-83F3-539F777FF73F}"/>
    <cellStyle name="Note 3 5 2 2 4" xfId="20136" xr:uid="{711720F0-9EE1-4E51-9266-7D3C6BBD3DC1}"/>
    <cellStyle name="Note 3 5 2 3" xfId="5331" xr:uid="{00000000-0005-0000-0000-0000EF210000}"/>
    <cellStyle name="Note 3 5 2 3 2" xfId="13773" xr:uid="{3CC40EEE-4662-4D67-BB9E-A59E865A0EC0}"/>
    <cellStyle name="Note 3 5 2 3 3" xfId="22208" xr:uid="{00D6AD54-10AA-4B2A-932B-616BE4415FA5}"/>
    <cellStyle name="Note 3 5 2 4" xfId="9555" xr:uid="{24FB61CC-BFD7-4E4A-8553-63E32553983C}"/>
    <cellStyle name="Note 3 5 2 5" xfId="17991" xr:uid="{FA5C521B-17BB-4C5A-BA33-947DF9A99618}"/>
    <cellStyle name="Note 3 5 3" xfId="1436" xr:uid="{00000000-0005-0000-0000-0000F0210000}"/>
    <cellStyle name="Note 3 5 3 2" xfId="3666" xr:uid="{00000000-0005-0000-0000-0000F1210000}"/>
    <cellStyle name="Note 3 5 3 2 2" xfId="7889" xr:uid="{00000000-0005-0000-0000-0000F2210000}"/>
    <cellStyle name="Note 3 5 3 2 2 2" xfId="16331" xr:uid="{6664A3CC-6063-4A1B-9382-61C336E6C865}"/>
    <cellStyle name="Note 3 5 3 2 2 3" xfId="24766" xr:uid="{ECC1A724-B348-450C-969E-C2F510EE07DC}"/>
    <cellStyle name="Note 3 5 3 2 3" xfId="12113" xr:uid="{36393821-CE76-4E27-B4C9-84296D7E94D1}"/>
    <cellStyle name="Note 3 5 3 2 4" xfId="20549" xr:uid="{4DBB8BDA-CFA8-4F4C-B14D-D2E8F06546AF}"/>
    <cellStyle name="Note 3 5 3 3" xfId="5744" xr:uid="{00000000-0005-0000-0000-0000F3210000}"/>
    <cellStyle name="Note 3 5 3 3 2" xfId="14186" xr:uid="{DA053AC7-2B1E-4BD0-A437-58FEE1EB7607}"/>
    <cellStyle name="Note 3 5 3 3 3" xfId="22621" xr:uid="{8F9A97B8-E33C-4113-BB04-C777929872B4}"/>
    <cellStyle name="Note 3 5 3 4" xfId="9968" xr:uid="{B44B5A86-CCE5-42BC-B618-108F0033B992}"/>
    <cellStyle name="Note 3 5 3 5" xfId="18404" xr:uid="{A81BC5C7-30E8-4ECB-BB1D-B2DB0B4E2E6C}"/>
    <cellStyle name="Note 3 5 4" xfId="1850" xr:uid="{00000000-0005-0000-0000-0000F4210000}"/>
    <cellStyle name="Note 3 5 4 2" xfId="4079" xr:uid="{00000000-0005-0000-0000-0000F5210000}"/>
    <cellStyle name="Note 3 5 4 2 2" xfId="8302" xr:uid="{00000000-0005-0000-0000-0000F6210000}"/>
    <cellStyle name="Note 3 5 4 2 2 2" xfId="16744" xr:uid="{67437807-E484-4E35-A4FB-DFCB098698EB}"/>
    <cellStyle name="Note 3 5 4 2 2 3" xfId="25179" xr:uid="{28796BCC-7A88-4EEB-B427-23CA0A3E8999}"/>
    <cellStyle name="Note 3 5 4 2 3" xfId="12526" xr:uid="{CE95EAE7-EA6D-43F5-A2BB-BCDE599122BD}"/>
    <cellStyle name="Note 3 5 4 2 4" xfId="20962" xr:uid="{710B359B-1AE3-4FAA-916B-039087CE0E72}"/>
    <cellStyle name="Note 3 5 4 3" xfId="6157" xr:uid="{00000000-0005-0000-0000-0000F7210000}"/>
    <cellStyle name="Note 3 5 4 3 2" xfId="14599" xr:uid="{9D3BCEAB-AA4D-451F-9439-3E7AA261538D}"/>
    <cellStyle name="Note 3 5 4 3 3" xfId="23034" xr:uid="{2786D60D-9335-46BF-A709-FB792FC74FD5}"/>
    <cellStyle name="Note 3 5 4 4" xfId="10381" xr:uid="{FCA05763-8791-4854-800D-B4E852E248F0}"/>
    <cellStyle name="Note 3 5 4 5" xfId="18817" xr:uid="{004E5151-6B57-4368-A018-085C31690B5B}"/>
    <cellStyle name="Note 3 5 5" xfId="2263" xr:uid="{00000000-0005-0000-0000-0000F8210000}"/>
    <cellStyle name="Note 3 5 5 2" xfId="4492" xr:uid="{00000000-0005-0000-0000-0000F9210000}"/>
    <cellStyle name="Note 3 5 5 2 2" xfId="8715" xr:uid="{00000000-0005-0000-0000-0000FA210000}"/>
    <cellStyle name="Note 3 5 5 2 2 2" xfId="17157" xr:uid="{33C4A60E-2742-48C4-B5A8-EB757A45F063}"/>
    <cellStyle name="Note 3 5 5 2 2 3" xfId="25592" xr:uid="{AD69D4D7-6652-450C-AD48-10D83036E530}"/>
    <cellStyle name="Note 3 5 5 2 3" xfId="12939" xr:uid="{D0AC2CDD-0D60-428B-BEBF-2CC666DD432B}"/>
    <cellStyle name="Note 3 5 5 2 4" xfId="21375" xr:uid="{2F986003-25A5-4CBD-A422-D3DF657A248D}"/>
    <cellStyle name="Note 3 5 5 3" xfId="6570" xr:uid="{00000000-0005-0000-0000-0000FB210000}"/>
    <cellStyle name="Note 3 5 5 3 2" xfId="15012" xr:uid="{51948883-6D24-4A7A-9DCA-588297A70263}"/>
    <cellStyle name="Note 3 5 5 3 3" xfId="23447" xr:uid="{FF8FF15C-6C4B-4483-BBC8-4EC90971ACCF}"/>
    <cellStyle name="Note 3 5 5 4" xfId="10794" xr:uid="{3C933EAA-4C43-470D-AABB-E471D03953CC}"/>
    <cellStyle name="Note 3 5 5 5" xfId="19230" xr:uid="{8740F0CD-DAB6-477F-8420-214BBA59DEFE}"/>
    <cellStyle name="Note 3 5 6" xfId="2699" xr:uid="{00000000-0005-0000-0000-0000FC210000}"/>
    <cellStyle name="Note 3 5 6 2" xfId="6983" xr:uid="{00000000-0005-0000-0000-0000FD210000}"/>
    <cellStyle name="Note 3 5 6 2 2" xfId="15425" xr:uid="{E04E0793-790B-46AD-B928-8DD1959885B0}"/>
    <cellStyle name="Note 3 5 6 2 3" xfId="23860" xr:uid="{32D13D5C-5C45-436D-8FBD-47B5EE348AAF}"/>
    <cellStyle name="Note 3 5 6 3" xfId="11207" xr:uid="{70178E58-2EA7-4687-B614-7BD4AC0A00F2}"/>
    <cellStyle name="Note 3 5 6 4" xfId="19643" xr:uid="{69913AA5-D82D-472A-A9DF-43AC7D0CEBAF}"/>
    <cellStyle name="Note 3 5 7" xfId="2758" xr:uid="{00000000-0005-0000-0000-0000FE210000}"/>
    <cellStyle name="Note 3 5 8" xfId="2839" xr:uid="{00000000-0005-0000-0000-0000FF210000}"/>
    <cellStyle name="Note 3 5 8 2" xfId="7063" xr:uid="{00000000-0005-0000-0000-000000220000}"/>
    <cellStyle name="Note 3 5 8 2 2" xfId="15505" xr:uid="{305B3BAB-01AB-4980-AF27-02921554D2BA}"/>
    <cellStyle name="Note 3 5 8 2 3" xfId="23940" xr:uid="{DD75036A-1D9C-405B-ADB3-4284FE5BE34C}"/>
    <cellStyle name="Note 3 5 8 3" xfId="11287" xr:uid="{2842CCB8-9B6C-4986-8466-EFCC09962CB7}"/>
    <cellStyle name="Note 3 5 8 4" xfId="19723" xr:uid="{1B7B5154-C57A-43D8-AAA0-6D7609D317CA}"/>
    <cellStyle name="Note 3 5 9" xfId="4918" xr:uid="{00000000-0005-0000-0000-000001220000}"/>
    <cellStyle name="Note 3 5 9 2" xfId="13360" xr:uid="{06ECA1CE-279B-4A7E-8D1A-FB4720629773}"/>
    <cellStyle name="Note 3 5 9 3" xfId="21795" xr:uid="{29AA0A82-2405-4575-AB40-B4EBCEB76DB8}"/>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12943" xr:uid="{8CFFCE9C-18BA-49BB-8977-0EE646D5FA84}"/>
    <cellStyle name="Percent 3 3" xfId="21378" xr:uid="{1E880D13-8C2B-439B-B79C-B8EA88E10D9E}"/>
    <cellStyle name="Percent 4" xfId="4502" xr:uid="{00000000-0005-0000-0000-000007220000}"/>
    <cellStyle name="Percent 4 2" xfId="8718" xr:uid="{00000000-0005-0000-0000-000008220000}"/>
    <cellStyle name="Percent 4 2 2" xfId="17160" xr:uid="{CDDD1671-D0B5-4137-A54F-E57C55A2C536}"/>
    <cellStyle name="Percent 4 2 3" xfId="25595" xr:uid="{DDD8E4B3-FDC3-43E7-97A3-91CE68FD7D46}"/>
    <cellStyle name="Percent 4 3" xfId="8721" xr:uid="{D09CD3FC-D632-4B66-A68A-5CC92F993799}"/>
    <cellStyle name="Percent 4 3 2" xfId="8725" xr:uid="{D57AE941-8E59-43F0-AB73-09B3BCCFA234}"/>
    <cellStyle name="Percent 4 3 2 2" xfId="8728" xr:uid="{D24D76A7-D076-4554-9944-551B122393DE}"/>
    <cellStyle name="Percent 4 3 3" xfId="17163" xr:uid="{D142A980-DC07-4ACD-A5BF-8E2C105420D1}"/>
    <cellStyle name="Percent 4 3 4" xfId="25598" xr:uid="{0C50FFFB-43EB-436B-B31B-F8DE1DD86550}"/>
    <cellStyle name="Percent 4 4" xfId="12946" xr:uid="{7128662D-E12B-4F8B-9CCA-F695DA6D1988}"/>
    <cellStyle name="Percent 4 5" xfId="21381" xr:uid="{C9489F5E-4286-4CD1-AB73-7FF9C9ED2485}"/>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18194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364"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266" t="s">
        <v>557</v>
      </c>
      <c r="B1" s="1266"/>
      <c r="C1" s="1266"/>
      <c r="D1" s="1266"/>
      <c r="E1" s="1266"/>
      <c r="F1" s="1266"/>
      <c r="G1" s="1266"/>
      <c r="H1" s="1266"/>
      <c r="I1" s="1266"/>
      <c r="J1" s="1266"/>
      <c r="K1" s="1266"/>
      <c r="L1" s="1266"/>
      <c r="M1" s="1266"/>
      <c r="N1" s="1266"/>
      <c r="O1" s="1266"/>
      <c r="P1" s="1266"/>
      <c r="Q1" s="1266"/>
      <c r="R1" s="1266"/>
      <c r="S1" s="1266"/>
      <c r="T1" s="1266"/>
      <c r="U1" s="1266"/>
      <c r="V1" s="1266"/>
      <c r="W1" s="1266"/>
      <c r="X1" s="1266"/>
      <c r="Y1" s="1266"/>
      <c r="Z1" s="1266"/>
      <c r="AA1" s="1266"/>
      <c r="AB1" s="1266"/>
      <c r="AC1" s="1266"/>
      <c r="AD1" s="1266"/>
      <c r="AE1" s="1266"/>
      <c r="AF1" s="1266"/>
      <c r="AG1" s="1266"/>
      <c r="AH1" s="1266"/>
      <c r="AI1" s="1266"/>
      <c r="AJ1" s="1266"/>
      <c r="AK1" s="1266"/>
      <c r="AL1" s="1266"/>
    </row>
    <row r="2" spans="1:38" ht="13.5" thickBot="1">
      <c r="A2" s="1267"/>
      <c r="B2" s="1267"/>
      <c r="C2" s="1267"/>
      <c r="D2" s="1267"/>
      <c r="E2" s="1267"/>
      <c r="F2" s="1267"/>
      <c r="G2" s="1267"/>
      <c r="H2" s="1267"/>
      <c r="I2" s="1267"/>
      <c r="J2" s="1267"/>
      <c r="K2" s="1267"/>
      <c r="L2" s="1267"/>
      <c r="M2" s="1267"/>
      <c r="N2" s="1267"/>
      <c r="O2" s="1267"/>
      <c r="P2" s="1267"/>
      <c r="Q2" s="1267"/>
      <c r="R2" s="1267"/>
      <c r="S2" s="1267"/>
      <c r="T2" s="1267"/>
      <c r="U2" s="1267"/>
      <c r="V2" s="1267"/>
      <c r="W2" s="1267"/>
      <c r="X2" s="1267"/>
      <c r="Y2" s="1267"/>
      <c r="Z2" s="1267"/>
      <c r="AA2" s="1267"/>
      <c r="AB2" s="1267"/>
      <c r="AC2" s="1267"/>
      <c r="AD2" s="1267"/>
      <c r="AE2" s="1267"/>
      <c r="AF2" s="1267"/>
      <c r="AG2" s="1267"/>
      <c r="AH2" s="1267"/>
      <c r="AI2" s="1267"/>
      <c r="AJ2" s="1267"/>
      <c r="AK2" s="1267"/>
      <c r="AL2" s="1267"/>
    </row>
    <row r="3" spans="1:38" ht="13.5" thickTop="1"/>
    <row r="4" spans="1:38" s="5" customFormat="1">
      <c r="B4" s="11" t="s">
        <v>563</v>
      </c>
      <c r="C4" s="11" t="s">
        <v>515</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35" customHeight="1">
      <c r="A7" s="218"/>
      <c r="B7" s="218"/>
      <c r="C7" s="219"/>
      <c r="D7" s="1268" t="s">
        <v>2347</v>
      </c>
      <c r="E7" s="1268"/>
      <c r="F7" s="1268"/>
      <c r="G7" s="1268"/>
      <c r="H7" s="1268"/>
      <c r="I7" s="1268"/>
      <c r="J7" s="1268"/>
      <c r="K7" s="1268"/>
      <c r="L7" s="1268"/>
      <c r="M7" s="1268"/>
      <c r="N7" s="1268"/>
      <c r="O7" s="1268"/>
      <c r="P7" s="1268"/>
      <c r="Q7" s="1268"/>
      <c r="R7" s="1268"/>
      <c r="S7" s="1268"/>
      <c r="T7" s="1268"/>
      <c r="U7" s="1268"/>
      <c r="V7" s="1268"/>
      <c r="W7" s="1268"/>
      <c r="X7" s="1268"/>
      <c r="Y7" s="1268"/>
      <c r="Z7" s="1268"/>
      <c r="AA7" s="1268"/>
      <c r="AB7" s="1268"/>
      <c r="AC7" s="1268"/>
      <c r="AD7" s="1268"/>
      <c r="AE7" s="1268"/>
      <c r="AF7" s="1268"/>
      <c r="AG7" s="1268"/>
      <c r="AH7" s="1268"/>
      <c r="AI7" s="1268"/>
      <c r="AJ7" s="1268"/>
      <c r="AK7" s="1268"/>
      <c r="AL7" s="489"/>
    </row>
    <row r="8" spans="1:38">
      <c r="A8" s="218"/>
      <c r="B8" s="218"/>
      <c r="C8" s="219"/>
      <c r="D8" s="1268"/>
      <c r="E8" s="1268"/>
      <c r="F8" s="1268"/>
      <c r="G8" s="1268"/>
      <c r="H8" s="1268"/>
      <c r="I8" s="1268"/>
      <c r="J8" s="1268"/>
      <c r="K8" s="1268"/>
      <c r="L8" s="1268"/>
      <c r="M8" s="1268"/>
      <c r="N8" s="1268"/>
      <c r="O8" s="1268"/>
      <c r="P8" s="1268"/>
      <c r="Q8" s="1268"/>
      <c r="R8" s="1268"/>
      <c r="S8" s="1268"/>
      <c r="T8" s="1268"/>
      <c r="U8" s="1268"/>
      <c r="V8" s="1268"/>
      <c r="W8" s="1268"/>
      <c r="X8" s="1268"/>
      <c r="Y8" s="1268"/>
      <c r="Z8" s="1268"/>
      <c r="AA8" s="1268"/>
      <c r="AB8" s="1268"/>
      <c r="AC8" s="1268"/>
      <c r="AD8" s="1268"/>
      <c r="AE8" s="1268"/>
      <c r="AF8" s="1268"/>
      <c r="AG8" s="1268"/>
      <c r="AH8" s="1268"/>
      <c r="AI8" s="1268"/>
      <c r="AJ8" s="1268"/>
      <c r="AK8" s="1268"/>
      <c r="AL8" s="489"/>
    </row>
    <row r="9" spans="1:38">
      <c r="A9" s="218"/>
      <c r="B9" s="218"/>
      <c r="C9" s="219"/>
      <c r="D9" s="1268"/>
      <c r="E9" s="1268"/>
      <c r="F9" s="1268"/>
      <c r="G9" s="1268"/>
      <c r="H9" s="1268"/>
      <c r="I9" s="1268"/>
      <c r="J9" s="1268"/>
      <c r="K9" s="1268"/>
      <c r="L9" s="1268"/>
      <c r="M9" s="1268"/>
      <c r="N9" s="1268"/>
      <c r="O9" s="1268"/>
      <c r="P9" s="1268"/>
      <c r="Q9" s="1268"/>
      <c r="R9" s="1268"/>
      <c r="S9" s="1268"/>
      <c r="T9" s="1268"/>
      <c r="U9" s="1268"/>
      <c r="V9" s="1268"/>
      <c r="W9" s="1268"/>
      <c r="X9" s="1268"/>
      <c r="Y9" s="1268"/>
      <c r="Z9" s="1268"/>
      <c r="AA9" s="1268"/>
      <c r="AB9" s="1268"/>
      <c r="AC9" s="1268"/>
      <c r="AD9" s="1268"/>
      <c r="AE9" s="1268"/>
      <c r="AF9" s="1268"/>
      <c r="AG9" s="1268"/>
      <c r="AH9" s="1268"/>
      <c r="AI9" s="1268"/>
      <c r="AJ9" s="1268"/>
      <c r="AK9" s="1268"/>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8" t="s">
        <v>2348</v>
      </c>
      <c r="E11" s="1268"/>
      <c r="F11" s="1268"/>
      <c r="G11" s="1268"/>
      <c r="H11" s="1268"/>
      <c r="I11" s="1268"/>
      <c r="J11" s="1268"/>
      <c r="K11" s="1268"/>
      <c r="L11" s="1268"/>
      <c r="M11" s="1268"/>
      <c r="N11" s="1268"/>
      <c r="O11" s="1268"/>
      <c r="P11" s="1268"/>
      <c r="Q11" s="1268"/>
      <c r="R11" s="1268"/>
      <c r="S11" s="1268"/>
      <c r="T11" s="1268"/>
      <c r="U11" s="1268"/>
      <c r="V11" s="1268"/>
      <c r="W11" s="1268"/>
      <c r="X11" s="1268"/>
      <c r="Y11" s="1268"/>
      <c r="Z11" s="1268"/>
      <c r="AA11" s="1268"/>
      <c r="AB11" s="1268"/>
      <c r="AC11" s="1268"/>
      <c r="AD11" s="1268"/>
      <c r="AE11" s="1268"/>
      <c r="AF11" s="1268"/>
      <c r="AG11" s="1268"/>
      <c r="AH11" s="1268"/>
      <c r="AI11" s="1268"/>
      <c r="AJ11" s="1268"/>
      <c r="AK11" s="1268"/>
      <c r="AL11" s="489"/>
    </row>
    <row r="12" spans="1:38">
      <c r="A12" s="218"/>
      <c r="B12" s="218"/>
      <c r="C12" s="219"/>
      <c r="D12" s="1268"/>
      <c r="E12" s="1268"/>
      <c r="F12" s="1268"/>
      <c r="G12" s="1268"/>
      <c r="H12" s="1268"/>
      <c r="I12" s="1268"/>
      <c r="J12" s="1268"/>
      <c r="K12" s="1268"/>
      <c r="L12" s="1268"/>
      <c r="M12" s="1268"/>
      <c r="N12" s="1268"/>
      <c r="O12" s="1268"/>
      <c r="P12" s="1268"/>
      <c r="Q12" s="1268"/>
      <c r="R12" s="1268"/>
      <c r="S12" s="1268"/>
      <c r="T12" s="1268"/>
      <c r="U12" s="1268"/>
      <c r="V12" s="1268"/>
      <c r="W12" s="1268"/>
      <c r="X12" s="1268"/>
      <c r="Y12" s="1268"/>
      <c r="Z12" s="1268"/>
      <c r="AA12" s="1268"/>
      <c r="AB12" s="1268"/>
      <c r="AC12" s="1268"/>
      <c r="AD12" s="1268"/>
      <c r="AE12" s="1268"/>
      <c r="AF12" s="1268"/>
      <c r="AG12" s="1268"/>
      <c r="AH12" s="1268"/>
      <c r="AI12" s="1268"/>
      <c r="AJ12" s="1268"/>
      <c r="AK12" s="1268"/>
      <c r="AL12" s="489"/>
    </row>
    <row r="13" spans="1:38">
      <c r="A13" s="218"/>
      <c r="B13" s="218"/>
      <c r="C13" s="219"/>
      <c r="D13" s="1268"/>
      <c r="E13" s="1268"/>
      <c r="F13" s="1268"/>
      <c r="G13" s="1268"/>
      <c r="H13" s="1268"/>
      <c r="I13" s="1268"/>
      <c r="J13" s="1268"/>
      <c r="K13" s="1268"/>
      <c r="L13" s="1268"/>
      <c r="M13" s="1268"/>
      <c r="N13" s="1268"/>
      <c r="O13" s="1268"/>
      <c r="P13" s="1268"/>
      <c r="Q13" s="1268"/>
      <c r="R13" s="1268"/>
      <c r="S13" s="1268"/>
      <c r="T13" s="1268"/>
      <c r="U13" s="1268"/>
      <c r="V13" s="1268"/>
      <c r="W13" s="1268"/>
      <c r="X13" s="1268"/>
      <c r="Y13" s="1268"/>
      <c r="Z13" s="1268"/>
      <c r="AA13" s="1268"/>
      <c r="AB13" s="1268"/>
      <c r="AC13" s="1268"/>
      <c r="AD13" s="1268"/>
      <c r="AE13" s="1268"/>
      <c r="AF13" s="1268"/>
      <c r="AG13" s="1268"/>
      <c r="AH13" s="1268"/>
      <c r="AI13" s="1268"/>
      <c r="AJ13" s="1268"/>
      <c r="AK13" s="1268"/>
      <c r="AL13" s="489"/>
    </row>
    <row r="14" spans="1:38" ht="13.35" customHeight="1">
      <c r="A14" s="218"/>
      <c r="B14" s="218"/>
      <c r="C14" s="219"/>
      <c r="E14" s="1268" t="s">
        <v>2577</v>
      </c>
      <c r="F14" s="1268"/>
      <c r="G14" s="1268"/>
      <c r="H14" s="1268"/>
      <c r="I14" s="1268"/>
      <c r="J14" s="1268"/>
      <c r="K14" s="1268"/>
      <c r="L14" s="1268"/>
      <c r="M14" s="1268"/>
      <c r="N14" s="1268"/>
      <c r="O14" s="1268"/>
      <c r="P14" s="1268"/>
      <c r="Q14" s="1268"/>
      <c r="R14" s="1268"/>
      <c r="S14" s="1268"/>
      <c r="T14" s="1268"/>
      <c r="U14" s="1268"/>
      <c r="V14" s="1268"/>
      <c r="W14" s="1268"/>
      <c r="X14" s="1268"/>
      <c r="Y14" s="1268"/>
      <c r="Z14" s="1268"/>
      <c r="AA14" s="1268"/>
      <c r="AB14" s="1268"/>
      <c r="AC14" s="1268"/>
      <c r="AD14" s="1268"/>
      <c r="AE14" s="1268"/>
      <c r="AF14" s="1268"/>
      <c r="AG14" s="1268"/>
      <c r="AH14" s="1268"/>
      <c r="AI14" s="1268"/>
      <c r="AJ14" s="1268"/>
      <c r="AK14" s="1268"/>
      <c r="AL14" s="489"/>
    </row>
    <row r="15" spans="1:38" ht="13.35" customHeight="1">
      <c r="A15" s="218"/>
      <c r="B15" s="218"/>
      <c r="C15" s="219"/>
      <c r="E15" s="1268"/>
      <c r="F15" s="1268"/>
      <c r="G15" s="1268"/>
      <c r="H15" s="1268"/>
      <c r="I15" s="1268"/>
      <c r="J15" s="1268"/>
      <c r="K15" s="1268"/>
      <c r="L15" s="1268"/>
      <c r="M15" s="1268"/>
      <c r="N15" s="1268"/>
      <c r="O15" s="1268"/>
      <c r="P15" s="1268"/>
      <c r="Q15" s="1268"/>
      <c r="R15" s="1268"/>
      <c r="S15" s="1268"/>
      <c r="T15" s="1268"/>
      <c r="U15" s="1268"/>
      <c r="V15" s="1268"/>
      <c r="W15" s="1268"/>
      <c r="X15" s="1268"/>
      <c r="Y15" s="1268"/>
      <c r="Z15" s="1268"/>
      <c r="AA15" s="1268"/>
      <c r="AB15" s="1268"/>
      <c r="AC15" s="1268"/>
      <c r="AD15" s="1268"/>
      <c r="AE15" s="1268"/>
      <c r="AF15" s="1268"/>
      <c r="AG15" s="1268"/>
      <c r="AH15" s="1268"/>
      <c r="AI15" s="1268"/>
      <c r="AJ15" s="1268"/>
      <c r="AK15" s="1268"/>
      <c r="AL15" s="489"/>
    </row>
    <row r="16" spans="1:38">
      <c r="A16" s="218"/>
      <c r="B16" s="218"/>
      <c r="C16" s="219"/>
      <c r="D16" s="489"/>
      <c r="E16" s="1268"/>
      <c r="F16" s="1268"/>
      <c r="G16" s="1268"/>
      <c r="H16" s="1268"/>
      <c r="I16" s="1268"/>
      <c r="J16" s="1268"/>
      <c r="K16" s="1268"/>
      <c r="L16" s="1268"/>
      <c r="M16" s="1268"/>
      <c r="N16" s="1268"/>
      <c r="O16" s="1268"/>
      <c r="P16" s="1268"/>
      <c r="Q16" s="1268"/>
      <c r="R16" s="1268"/>
      <c r="S16" s="1268"/>
      <c r="T16" s="1268"/>
      <c r="U16" s="1268"/>
      <c r="V16" s="1268"/>
      <c r="W16" s="1268"/>
      <c r="X16" s="1268"/>
      <c r="Y16" s="1268"/>
      <c r="Z16" s="1268"/>
      <c r="AA16" s="1268"/>
      <c r="AB16" s="1268"/>
      <c r="AC16" s="1268"/>
      <c r="AD16" s="1268"/>
      <c r="AE16" s="1268"/>
      <c r="AF16" s="1268"/>
      <c r="AG16" s="1268"/>
      <c r="AH16" s="1268"/>
      <c r="AI16" s="1268"/>
      <c r="AJ16" s="1268"/>
      <c r="AK16" s="1268"/>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35" customHeight="1">
      <c r="A18" s="218"/>
      <c r="B18" s="218"/>
      <c r="C18" s="219"/>
      <c r="D18" s="1268" t="s">
        <v>2349</v>
      </c>
      <c r="E18" s="1268"/>
      <c r="F18" s="1268"/>
      <c r="G18" s="1268"/>
      <c r="H18" s="1268"/>
      <c r="I18" s="1268"/>
      <c r="J18" s="1268"/>
      <c r="K18" s="1268"/>
      <c r="L18" s="1268"/>
      <c r="M18" s="1268"/>
      <c r="N18" s="1268"/>
      <c r="O18" s="1268"/>
      <c r="P18" s="1268"/>
      <c r="Q18" s="1268"/>
      <c r="R18" s="1268"/>
      <c r="S18" s="1268"/>
      <c r="T18" s="1268"/>
      <c r="U18" s="1268"/>
      <c r="V18" s="1268"/>
      <c r="W18" s="1268"/>
      <c r="X18" s="1268"/>
      <c r="Y18" s="1268"/>
      <c r="Z18" s="1268"/>
      <c r="AA18" s="1268"/>
      <c r="AB18" s="1268"/>
      <c r="AC18" s="1268"/>
      <c r="AD18" s="1268"/>
      <c r="AE18" s="1268"/>
      <c r="AF18" s="1268"/>
      <c r="AG18" s="1268"/>
      <c r="AH18" s="1268"/>
      <c r="AI18" s="1268"/>
      <c r="AJ18" s="1268"/>
      <c r="AK18" s="1268"/>
      <c r="AL18" s="218"/>
    </row>
    <row r="19" spans="1:38">
      <c r="A19" s="218"/>
      <c r="B19" s="218"/>
      <c r="C19" s="219"/>
      <c r="D19" s="1268"/>
      <c r="E19" s="1268"/>
      <c r="F19" s="1268"/>
      <c r="G19" s="1268"/>
      <c r="H19" s="1268"/>
      <c r="I19" s="1268"/>
      <c r="J19" s="1268"/>
      <c r="K19" s="1268"/>
      <c r="L19" s="1268"/>
      <c r="M19" s="1268"/>
      <c r="N19" s="1268"/>
      <c r="O19" s="1268"/>
      <c r="P19" s="1268"/>
      <c r="Q19" s="1268"/>
      <c r="R19" s="1268"/>
      <c r="S19" s="1268"/>
      <c r="T19" s="1268"/>
      <c r="U19" s="1268"/>
      <c r="V19" s="1268"/>
      <c r="W19" s="1268"/>
      <c r="X19" s="1268"/>
      <c r="Y19" s="1268"/>
      <c r="Z19" s="1268"/>
      <c r="AA19" s="1268"/>
      <c r="AB19" s="1268"/>
      <c r="AC19" s="1268"/>
      <c r="AD19" s="1268"/>
      <c r="AE19" s="1268"/>
      <c r="AF19" s="1268"/>
      <c r="AG19" s="1268"/>
      <c r="AH19" s="1268"/>
      <c r="AI19" s="1268"/>
      <c r="AJ19" s="1268"/>
      <c r="AK19" s="1268"/>
      <c r="AL19" s="218"/>
    </row>
    <row r="20" spans="1:38">
      <c r="A20" s="218"/>
      <c r="B20" s="218"/>
      <c r="C20" s="219"/>
      <c r="D20" s="1268"/>
      <c r="E20" s="1268"/>
      <c r="F20" s="1268"/>
      <c r="G20" s="1268"/>
      <c r="H20" s="1268"/>
      <c r="I20" s="1268"/>
      <c r="J20" s="1268"/>
      <c r="K20" s="1268"/>
      <c r="L20" s="1268"/>
      <c r="M20" s="1268"/>
      <c r="N20" s="1268"/>
      <c r="O20" s="1268"/>
      <c r="P20" s="1268"/>
      <c r="Q20" s="1268"/>
      <c r="R20" s="1268"/>
      <c r="S20" s="1268"/>
      <c r="T20" s="1268"/>
      <c r="U20" s="1268"/>
      <c r="V20" s="1268"/>
      <c r="W20" s="1268"/>
      <c r="X20" s="1268"/>
      <c r="Y20" s="1268"/>
      <c r="Z20" s="1268"/>
      <c r="AA20" s="1268"/>
      <c r="AB20" s="1268"/>
      <c r="AC20" s="1268"/>
      <c r="AD20" s="1268"/>
      <c r="AE20" s="1268"/>
      <c r="AF20" s="1268"/>
      <c r="AG20" s="1268"/>
      <c r="AH20" s="1268"/>
      <c r="AI20" s="1268"/>
      <c r="AJ20" s="1268"/>
      <c r="AK20" s="1268"/>
      <c r="AL20" s="218"/>
    </row>
    <row r="21" spans="1:38" ht="13.35" customHeight="1">
      <c r="A21" s="218"/>
      <c r="B21" s="218"/>
      <c r="C21" s="219"/>
      <c r="D21" s="1268"/>
      <c r="E21" s="1268"/>
      <c r="F21" s="1268"/>
      <c r="G21" s="1268"/>
      <c r="H21" s="1268"/>
      <c r="I21" s="1268"/>
      <c r="J21" s="1268"/>
      <c r="K21" s="1268"/>
      <c r="L21" s="1268"/>
      <c r="M21" s="1268"/>
      <c r="N21" s="1268"/>
      <c r="O21" s="1268"/>
      <c r="P21" s="1268"/>
      <c r="Q21" s="1268"/>
      <c r="R21" s="1268"/>
      <c r="S21" s="1268"/>
      <c r="T21" s="1268"/>
      <c r="U21" s="1268"/>
      <c r="V21" s="1268"/>
      <c r="W21" s="1268"/>
      <c r="X21" s="1268"/>
      <c r="Y21" s="1268"/>
      <c r="Z21" s="1268"/>
      <c r="AA21" s="1268"/>
      <c r="AB21" s="1268"/>
      <c r="AC21" s="1268"/>
      <c r="AD21" s="1268"/>
      <c r="AE21" s="1268"/>
      <c r="AF21" s="1268"/>
      <c r="AG21" s="1268"/>
      <c r="AH21" s="1268"/>
      <c r="AI21" s="1268"/>
      <c r="AJ21" s="1268"/>
      <c r="AK21" s="1268"/>
      <c r="AL21" s="218"/>
    </row>
    <row r="22" spans="1:38">
      <c r="A22" s="218"/>
      <c r="B22" s="218"/>
      <c r="C22" s="219"/>
      <c r="D22" s="1268"/>
      <c r="E22" s="1268"/>
      <c r="F22" s="1268"/>
      <c r="G22" s="1268"/>
      <c r="H22" s="1268"/>
      <c r="I22" s="1268"/>
      <c r="J22" s="1268"/>
      <c r="K22" s="1268"/>
      <c r="L22" s="1268"/>
      <c r="M22" s="1268"/>
      <c r="N22" s="1268"/>
      <c r="O22" s="1268"/>
      <c r="P22" s="1268"/>
      <c r="Q22" s="1268"/>
      <c r="R22" s="1268"/>
      <c r="S22" s="1268"/>
      <c r="T22" s="1268"/>
      <c r="U22" s="1268"/>
      <c r="V22" s="1268"/>
      <c r="W22" s="1268"/>
      <c r="X22" s="1268"/>
      <c r="Y22" s="1268"/>
      <c r="Z22" s="1268"/>
      <c r="AA22" s="1268"/>
      <c r="AB22" s="1268"/>
      <c r="AC22" s="1268"/>
      <c r="AD22" s="1268"/>
      <c r="AE22" s="1268"/>
      <c r="AF22" s="1268"/>
      <c r="AG22" s="1268"/>
      <c r="AH22" s="1268"/>
      <c r="AI22" s="1268"/>
      <c r="AJ22" s="1268"/>
      <c r="AK22" s="1268"/>
      <c r="AL22" s="218"/>
    </row>
    <row r="23" spans="1:38">
      <c r="A23" s="218"/>
      <c r="B23" s="218"/>
      <c r="C23" s="219"/>
      <c r="D23" s="1268"/>
      <c r="E23" s="1268"/>
      <c r="F23" s="1268"/>
      <c r="G23" s="1268"/>
      <c r="H23" s="1268"/>
      <c r="I23" s="1268"/>
      <c r="J23" s="1268"/>
      <c r="K23" s="1268"/>
      <c r="L23" s="1268"/>
      <c r="M23" s="1268"/>
      <c r="N23" s="1268"/>
      <c r="O23" s="1268"/>
      <c r="P23" s="1268"/>
      <c r="Q23" s="1268"/>
      <c r="R23" s="1268"/>
      <c r="S23" s="1268"/>
      <c r="T23" s="1268"/>
      <c r="U23" s="1268"/>
      <c r="V23" s="1268"/>
      <c r="W23" s="1268"/>
      <c r="X23" s="1268"/>
      <c r="Y23" s="1268"/>
      <c r="Z23" s="1268"/>
      <c r="AA23" s="1268"/>
      <c r="AB23" s="1268"/>
      <c r="AC23" s="1268"/>
      <c r="AD23" s="1268"/>
      <c r="AE23" s="1268"/>
      <c r="AF23" s="1268"/>
      <c r="AG23" s="1268"/>
      <c r="AH23" s="1268"/>
      <c r="AI23" s="1268"/>
      <c r="AJ23" s="1268"/>
      <c r="AK23" s="1268"/>
      <c r="AL23" s="218"/>
    </row>
    <row r="24" spans="1:38">
      <c r="A24" s="218"/>
      <c r="B24" s="218"/>
      <c r="C24" s="219"/>
      <c r="D24" s="1268"/>
      <c r="E24" s="1268"/>
      <c r="F24" s="1268"/>
      <c r="G24" s="1268"/>
      <c r="H24" s="1268"/>
      <c r="I24" s="1268"/>
      <c r="J24" s="1268"/>
      <c r="K24" s="1268"/>
      <c r="L24" s="1268"/>
      <c r="M24" s="1268"/>
      <c r="N24" s="1268"/>
      <c r="O24" s="1268"/>
      <c r="P24" s="1268"/>
      <c r="Q24" s="1268"/>
      <c r="R24" s="1268"/>
      <c r="S24" s="1268"/>
      <c r="T24" s="1268"/>
      <c r="U24" s="1268"/>
      <c r="V24" s="1268"/>
      <c r="W24" s="1268"/>
      <c r="X24" s="1268"/>
      <c r="Y24" s="1268"/>
      <c r="Z24" s="1268"/>
      <c r="AA24" s="1268"/>
      <c r="AB24" s="1268"/>
      <c r="AC24" s="1268"/>
      <c r="AD24" s="1268"/>
      <c r="AE24" s="1268"/>
      <c r="AF24" s="1268"/>
      <c r="AG24" s="1268"/>
      <c r="AH24" s="1268"/>
      <c r="AI24" s="1268"/>
      <c r="AJ24" s="1268"/>
      <c r="AK24" s="1268"/>
      <c r="AL24" s="218"/>
    </row>
    <row r="25" spans="1:38">
      <c r="A25" s="218"/>
      <c r="B25" s="218"/>
      <c r="C25" s="219"/>
      <c r="D25" s="1268"/>
      <c r="E25" s="1268"/>
      <c r="F25" s="1268"/>
      <c r="G25" s="1268"/>
      <c r="H25" s="1268"/>
      <c r="I25" s="1268"/>
      <c r="J25" s="1268"/>
      <c r="K25" s="1268"/>
      <c r="L25" s="1268"/>
      <c r="M25" s="1268"/>
      <c r="N25" s="1268"/>
      <c r="O25" s="1268"/>
      <c r="P25" s="1268"/>
      <c r="Q25" s="1268"/>
      <c r="R25" s="1268"/>
      <c r="S25" s="1268"/>
      <c r="T25" s="1268"/>
      <c r="U25" s="1268"/>
      <c r="V25" s="1268"/>
      <c r="W25" s="1268"/>
      <c r="X25" s="1268"/>
      <c r="Y25" s="1268"/>
      <c r="Z25" s="1268"/>
      <c r="AA25" s="1268"/>
      <c r="AB25" s="1268"/>
      <c r="AC25" s="1268"/>
      <c r="AD25" s="1268"/>
      <c r="AE25" s="1268"/>
      <c r="AF25" s="1268"/>
      <c r="AG25" s="1268"/>
      <c r="AH25" s="1268"/>
      <c r="AI25" s="1268"/>
      <c r="AJ25" s="1268"/>
      <c r="AK25" s="1268"/>
      <c r="AL25" s="218"/>
    </row>
    <row r="26" spans="1:38">
      <c r="A26" s="218"/>
      <c r="B26" s="218"/>
      <c r="C26" s="219"/>
      <c r="D26" s="1268"/>
      <c r="E26" s="1268"/>
      <c r="F26" s="1268"/>
      <c r="G26" s="1268"/>
      <c r="H26" s="1268"/>
      <c r="I26" s="1268"/>
      <c r="J26" s="1268"/>
      <c r="K26" s="1268"/>
      <c r="L26" s="1268"/>
      <c r="M26" s="1268"/>
      <c r="N26" s="1268"/>
      <c r="O26" s="1268"/>
      <c r="P26" s="1268"/>
      <c r="Q26" s="1268"/>
      <c r="R26" s="1268"/>
      <c r="S26" s="1268"/>
      <c r="T26" s="1268"/>
      <c r="U26" s="1268"/>
      <c r="V26" s="1268"/>
      <c r="W26" s="1268"/>
      <c r="X26" s="1268"/>
      <c r="Y26" s="1268"/>
      <c r="Z26" s="1268"/>
      <c r="AA26" s="1268"/>
      <c r="AB26" s="1268"/>
      <c r="AC26" s="1268"/>
      <c r="AD26" s="1268"/>
      <c r="AE26" s="1268"/>
      <c r="AF26" s="1268"/>
      <c r="AG26" s="1268"/>
      <c r="AH26" s="1268"/>
      <c r="AI26" s="1268"/>
      <c r="AJ26" s="1268"/>
      <c r="AK26" s="1268"/>
      <c r="AL26" s="218"/>
    </row>
    <row r="27" spans="1:38" ht="11.85" customHeight="1">
      <c r="A27" s="218"/>
      <c r="B27" s="218"/>
      <c r="C27" s="219"/>
      <c r="D27" s="1268"/>
      <c r="E27" s="1268"/>
      <c r="F27" s="1268"/>
      <c r="G27" s="1268"/>
      <c r="H27" s="1268"/>
      <c r="I27" s="1268"/>
      <c r="J27" s="1268"/>
      <c r="K27" s="1268"/>
      <c r="L27" s="1268"/>
      <c r="M27" s="1268"/>
      <c r="N27" s="1268"/>
      <c r="O27" s="1268"/>
      <c r="P27" s="1268"/>
      <c r="Q27" s="1268"/>
      <c r="R27" s="1268"/>
      <c r="S27" s="1268"/>
      <c r="T27" s="1268"/>
      <c r="U27" s="1268"/>
      <c r="V27" s="1268"/>
      <c r="W27" s="1268"/>
      <c r="X27" s="1268"/>
      <c r="Y27" s="1268"/>
      <c r="Z27" s="1268"/>
      <c r="AA27" s="1268"/>
      <c r="AB27" s="1268"/>
      <c r="AC27" s="1268"/>
      <c r="AD27" s="1268"/>
      <c r="AE27" s="1268"/>
      <c r="AF27" s="1268"/>
      <c r="AG27" s="1268"/>
      <c r="AH27" s="1268"/>
      <c r="AI27" s="1268"/>
      <c r="AJ27" s="1268"/>
      <c r="AK27" s="1268"/>
      <c r="AL27" s="218"/>
    </row>
    <row r="28" spans="1:38" ht="13.35" hidden="1" customHeight="1">
      <c r="A28" s="218"/>
      <c r="B28" s="218"/>
      <c r="C28" s="219"/>
      <c r="E28" s="1268" t="s">
        <v>2504</v>
      </c>
      <c r="F28" s="1268"/>
      <c r="G28" s="1268"/>
      <c r="H28" s="1268"/>
      <c r="I28" s="1268"/>
      <c r="J28" s="1268"/>
      <c r="K28" s="1268"/>
      <c r="L28" s="1268"/>
      <c r="M28" s="1268"/>
      <c r="N28" s="1268"/>
      <c r="O28" s="1268"/>
      <c r="P28" s="1268"/>
      <c r="Q28" s="1268"/>
      <c r="R28" s="1268"/>
      <c r="S28" s="1268"/>
      <c r="T28" s="1268"/>
      <c r="U28" s="1268"/>
      <c r="V28" s="1268"/>
      <c r="W28" s="1268"/>
      <c r="X28" s="1268"/>
      <c r="Y28" s="1268"/>
      <c r="Z28" s="1268"/>
      <c r="AA28" s="1268"/>
      <c r="AB28" s="1268"/>
      <c r="AC28" s="1268"/>
      <c r="AD28" s="1268"/>
      <c r="AE28" s="1268"/>
      <c r="AF28" s="1268"/>
      <c r="AG28" s="1268"/>
      <c r="AH28" s="1268"/>
      <c r="AI28" s="1268"/>
      <c r="AJ28" s="1268"/>
      <c r="AK28" s="1268"/>
      <c r="AL28" s="218"/>
    </row>
    <row r="29" spans="1:38" ht="13.35" hidden="1" customHeight="1">
      <c r="A29" s="218"/>
      <c r="B29" s="218"/>
      <c r="C29" s="219"/>
      <c r="E29" s="1268"/>
      <c r="F29" s="1268"/>
      <c r="G29" s="1268"/>
      <c r="H29" s="1268"/>
      <c r="I29" s="1268"/>
      <c r="J29" s="1268"/>
      <c r="K29" s="1268"/>
      <c r="L29" s="1268"/>
      <c r="M29" s="1268"/>
      <c r="N29" s="1268"/>
      <c r="O29" s="1268"/>
      <c r="P29" s="1268"/>
      <c r="Q29" s="1268"/>
      <c r="R29" s="1268"/>
      <c r="S29" s="1268"/>
      <c r="T29" s="1268"/>
      <c r="U29" s="1268"/>
      <c r="V29" s="1268"/>
      <c r="W29" s="1268"/>
      <c r="X29" s="1268"/>
      <c r="Y29" s="1268"/>
      <c r="Z29" s="1268"/>
      <c r="AA29" s="1268"/>
      <c r="AB29" s="1268"/>
      <c r="AC29" s="1268"/>
      <c r="AD29" s="1268"/>
      <c r="AE29" s="1268"/>
      <c r="AF29" s="1268"/>
      <c r="AG29" s="1268"/>
      <c r="AH29" s="1268"/>
      <c r="AI29" s="1268"/>
      <c r="AJ29" s="1268"/>
      <c r="AK29" s="1268"/>
      <c r="AL29" s="218"/>
    </row>
    <row r="30" spans="1:38" hidden="1">
      <c r="A30" s="218"/>
      <c r="B30" s="218"/>
      <c r="C30" s="219"/>
      <c r="D30" s="489"/>
      <c r="E30" s="1268"/>
      <c r="F30" s="1268"/>
      <c r="G30" s="1268"/>
      <c r="H30" s="1268"/>
      <c r="I30" s="1268"/>
      <c r="J30" s="1268"/>
      <c r="K30" s="1268"/>
      <c r="L30" s="1268"/>
      <c r="M30" s="1268"/>
      <c r="N30" s="1268"/>
      <c r="O30" s="1268"/>
      <c r="P30" s="1268"/>
      <c r="Q30" s="1268"/>
      <c r="R30" s="1268"/>
      <c r="S30" s="1268"/>
      <c r="T30" s="1268"/>
      <c r="U30" s="1268"/>
      <c r="V30" s="1268"/>
      <c r="W30" s="1268"/>
      <c r="X30" s="1268"/>
      <c r="Y30" s="1268"/>
      <c r="Z30" s="1268"/>
      <c r="AA30" s="1268"/>
      <c r="AB30" s="1268"/>
      <c r="AC30" s="1268"/>
      <c r="AD30" s="1268"/>
      <c r="AE30" s="1268"/>
      <c r="AF30" s="1268"/>
      <c r="AG30" s="1268"/>
      <c r="AH30" s="1268"/>
      <c r="AI30" s="1268"/>
      <c r="AJ30" s="1268"/>
      <c r="AK30" s="1268"/>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35" customHeight="1">
      <c r="A32" s="218"/>
      <c r="B32" s="218"/>
      <c r="C32" s="219"/>
      <c r="D32" s="1268" t="s">
        <v>2350</v>
      </c>
      <c r="E32" s="1268"/>
      <c r="F32" s="1268"/>
      <c r="G32" s="1268"/>
      <c r="H32" s="1268"/>
      <c r="I32" s="1268"/>
      <c r="J32" s="1268"/>
      <c r="K32" s="1268"/>
      <c r="L32" s="1268"/>
      <c r="M32" s="1268"/>
      <c r="N32" s="1268"/>
      <c r="O32" s="1268"/>
      <c r="P32" s="1268"/>
      <c r="Q32" s="1268"/>
      <c r="R32" s="1268"/>
      <c r="S32" s="1268"/>
      <c r="T32" s="1268"/>
      <c r="U32" s="1268"/>
      <c r="V32" s="1268"/>
      <c r="W32" s="1268"/>
      <c r="X32" s="1268"/>
      <c r="Y32" s="1268"/>
      <c r="Z32" s="1268"/>
      <c r="AA32" s="1268"/>
      <c r="AB32" s="1268"/>
      <c r="AC32" s="1268"/>
      <c r="AD32" s="1268"/>
      <c r="AE32" s="1268"/>
      <c r="AF32" s="1268"/>
      <c r="AG32" s="1268"/>
      <c r="AH32" s="1268"/>
      <c r="AI32" s="1268"/>
      <c r="AJ32" s="1268"/>
      <c r="AK32" s="1268"/>
      <c r="AL32" s="218"/>
    </row>
    <row r="33" spans="1:38">
      <c r="A33" s="218"/>
      <c r="B33" s="218"/>
      <c r="C33" s="219"/>
      <c r="D33" s="489"/>
      <c r="E33" s="1275" t="s">
        <v>2583</v>
      </c>
      <c r="F33" s="1276"/>
      <c r="G33" s="1276"/>
      <c r="H33" s="1276"/>
      <c r="I33" s="1276"/>
      <c r="J33" s="1276"/>
      <c r="K33" s="1276"/>
      <c r="L33" s="1276"/>
      <c r="M33" s="1276"/>
      <c r="N33" s="1276"/>
      <c r="O33" s="1276"/>
      <c r="P33" s="1276"/>
      <c r="Q33" s="1276"/>
      <c r="R33" s="1276"/>
      <c r="S33" s="1276"/>
      <c r="T33" s="1276"/>
      <c r="U33" s="1276"/>
      <c r="V33" s="1276"/>
      <c r="W33" s="1276"/>
      <c r="X33" s="1276"/>
      <c r="Y33" s="1276"/>
      <c r="Z33" s="1276"/>
      <c r="AA33" s="1276"/>
      <c r="AB33" s="1276"/>
      <c r="AC33" s="1276"/>
      <c r="AD33" s="1276"/>
      <c r="AE33" s="1276"/>
      <c r="AF33" s="1276"/>
      <c r="AG33" s="1276"/>
      <c r="AH33" s="1276"/>
      <c r="AI33" s="1276"/>
      <c r="AJ33" s="1276"/>
      <c r="AK33" s="1276"/>
      <c r="AL33" s="218"/>
    </row>
    <row r="34" spans="1:38">
      <c r="A34" s="4"/>
      <c r="C34" s="2"/>
    </row>
    <row r="35" spans="1:38">
      <c r="A35" s="4"/>
      <c r="D35" s="1269" t="s">
        <v>2499</v>
      </c>
      <c r="E35" s="1269"/>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69"/>
      <c r="E36" s="1269"/>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D37" s="120"/>
      <c r="E37" s="1274" t="s">
        <v>2357</v>
      </c>
      <c r="F37" s="1274"/>
      <c r="G37" s="1274"/>
      <c r="H37" s="1274"/>
      <c r="I37" s="1274"/>
      <c r="J37" s="1274"/>
      <c r="K37" s="1274"/>
      <c r="L37" s="1274"/>
      <c r="M37" s="1274"/>
      <c r="N37" s="1274"/>
      <c r="O37" s="1274"/>
      <c r="P37" s="1274"/>
      <c r="Q37" s="1274"/>
      <c r="R37" s="1274"/>
      <c r="S37" s="1274"/>
      <c r="T37" s="1274"/>
      <c r="U37" s="1274"/>
      <c r="V37" s="1274"/>
      <c r="W37" s="1274"/>
      <c r="X37" s="1274"/>
      <c r="Y37" s="1274"/>
      <c r="Z37" s="1274"/>
      <c r="AA37" s="1274"/>
      <c r="AB37" s="1274"/>
      <c r="AC37" s="1274"/>
      <c r="AD37" s="1274"/>
      <c r="AE37" s="1274"/>
      <c r="AF37" s="1274"/>
      <c r="AG37" s="1274"/>
      <c r="AH37" s="1274"/>
      <c r="AI37" s="1274"/>
      <c r="AJ37" s="1274"/>
      <c r="AK37" s="1274"/>
    </row>
    <row r="38" spans="1:38">
      <c r="A38" s="4"/>
      <c r="D38" s="120"/>
      <c r="E38" s="1274" t="s">
        <v>2358</v>
      </c>
      <c r="F38" s="1274"/>
      <c r="G38" s="1274"/>
      <c r="H38" s="1274"/>
      <c r="I38" s="1274"/>
      <c r="J38" s="1274"/>
      <c r="K38" s="1274"/>
      <c r="L38" s="1274"/>
      <c r="M38" s="1274"/>
      <c r="N38" s="1274"/>
      <c r="O38" s="1274"/>
      <c r="P38" s="1274"/>
      <c r="Q38" s="1274"/>
      <c r="R38" s="1274"/>
      <c r="S38" s="1274"/>
      <c r="T38" s="1274"/>
      <c r="U38" s="1274"/>
      <c r="V38" s="1274"/>
      <c r="W38" s="1274"/>
      <c r="X38" s="1274"/>
      <c r="Y38" s="1274"/>
      <c r="Z38" s="1274"/>
      <c r="AA38" s="1274"/>
      <c r="AB38" s="1274"/>
      <c r="AC38" s="1274"/>
      <c r="AD38" s="1274"/>
      <c r="AE38" s="1274"/>
      <c r="AF38" s="1274"/>
      <c r="AG38" s="1274"/>
      <c r="AH38" s="1274"/>
      <c r="AI38" s="1274"/>
      <c r="AJ38" s="1274"/>
      <c r="AK38" s="1274"/>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341</v>
      </c>
      <c r="D40" s="2" t="s">
        <v>745</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746</v>
      </c>
      <c r="F41" s="4"/>
      <c r="G41" s="4"/>
      <c r="H41" s="4"/>
      <c r="I41" s="4"/>
      <c r="J41" s="4"/>
      <c r="K41" s="4"/>
      <c r="L41" s="4"/>
      <c r="M41" s="4"/>
      <c r="N41" s="4"/>
      <c r="O41" s="4"/>
      <c r="P41" s="4"/>
      <c r="Q41" s="4"/>
      <c r="R41" s="4"/>
      <c r="S41" s="4"/>
      <c r="T41" s="4"/>
      <c r="U41" s="4"/>
      <c r="V41" s="4"/>
      <c r="W41" s="4"/>
      <c r="X41" s="4"/>
      <c r="Y41" s="4"/>
      <c r="Z41" s="4"/>
      <c r="AA41" s="4"/>
      <c r="AB41" s="4"/>
    </row>
    <row r="42" spans="1:38" s="1268" customFormat="1" ht="13.35" customHeight="1">
      <c r="A42" s="4"/>
      <c r="B42"/>
      <c r="C42" s="2"/>
      <c r="D42" s="4"/>
      <c r="E42" s="4" t="s">
        <v>660</v>
      </c>
      <c r="F42" s="1268" t="s">
        <v>1268</v>
      </c>
    </row>
    <row r="43" spans="1:38" s="1268" customFormat="1" ht="13.35" customHeight="1">
      <c r="A43" s="4"/>
      <c r="B43"/>
      <c r="C43" s="2"/>
      <c r="D43" s="4"/>
      <c r="E43" s="4"/>
    </row>
    <row r="44" spans="1:38">
      <c r="A44" s="4"/>
      <c r="C44" s="2"/>
      <c r="D44" s="4"/>
      <c r="E44" s="4"/>
      <c r="F44" s="35" t="s">
        <v>695</v>
      </c>
      <c r="G44" s="4" t="s">
        <v>175</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35" customHeight="1">
      <c r="A45" s="4"/>
      <c r="B45"/>
      <c r="C45" s="2"/>
      <c r="D45" s="4"/>
      <c r="E45" s="3" t="s">
        <v>348</v>
      </c>
      <c r="F45" s="1272" t="s">
        <v>1352</v>
      </c>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s="118" customFormat="1">
      <c r="A46" s="4"/>
      <c r="B46"/>
      <c r="C46" s="2"/>
      <c r="D46" s="4"/>
      <c r="E46" s="4"/>
      <c r="F46" s="1272"/>
      <c r="G46" s="1272"/>
      <c r="H46" s="1272"/>
      <c r="I46" s="1272"/>
      <c r="J46" s="1272"/>
      <c r="K46" s="1272"/>
      <c r="L46" s="1272"/>
      <c r="M46" s="1272"/>
      <c r="N46" s="1272"/>
      <c r="O46" s="1272"/>
      <c r="P46" s="1272"/>
      <c r="Q46" s="1272"/>
      <c r="R46" s="1272"/>
      <c r="S46" s="1272"/>
      <c r="T46" s="1272"/>
      <c r="U46" s="1272"/>
      <c r="V46" s="1272"/>
      <c r="W46" s="1272"/>
      <c r="X46" s="1272"/>
      <c r="Y46" s="1272"/>
      <c r="Z46" s="1272"/>
      <c r="AA46" s="1272"/>
      <c r="AB46" s="1272"/>
      <c r="AC46" s="1272"/>
      <c r="AD46" s="1272"/>
      <c r="AE46" s="1272"/>
      <c r="AF46" s="1272"/>
      <c r="AG46" s="1272"/>
      <c r="AH46" s="1272"/>
      <c r="AI46" s="1272"/>
      <c r="AJ46" s="1272"/>
      <c r="AK46" s="1272"/>
      <c r="AL46" s="1272"/>
    </row>
    <row r="47" spans="1:38" s="118" customFormat="1" ht="13.35" customHeight="1">
      <c r="A47" s="4"/>
      <c r="B47"/>
      <c r="C47" s="2"/>
      <c r="D47" s="4"/>
      <c r="E47" s="4"/>
      <c r="F47" s="1272"/>
      <c r="G47" s="1272"/>
      <c r="H47" s="1272"/>
      <c r="I47" s="1272"/>
      <c r="J47" s="1272"/>
      <c r="K47" s="1272"/>
      <c r="L47" s="1272"/>
      <c r="M47" s="1272"/>
      <c r="N47" s="1272"/>
      <c r="O47" s="1272"/>
      <c r="P47" s="1272"/>
      <c r="Q47" s="1272"/>
      <c r="R47" s="1272"/>
      <c r="S47" s="1272"/>
      <c r="T47" s="1272"/>
      <c r="U47" s="1272"/>
      <c r="V47" s="1272"/>
      <c r="W47" s="1272"/>
      <c r="X47" s="1272"/>
      <c r="Y47" s="1272"/>
      <c r="Z47" s="1272"/>
      <c r="AA47" s="1272"/>
      <c r="AB47" s="1272"/>
      <c r="AC47" s="1272"/>
      <c r="AD47" s="1272"/>
      <c r="AE47" s="1272"/>
      <c r="AF47" s="1272"/>
      <c r="AG47" s="1272"/>
      <c r="AH47" s="1272"/>
      <c r="AI47" s="1272"/>
      <c r="AJ47" s="1272"/>
      <c r="AK47" s="1272"/>
      <c r="AL47" s="1272"/>
    </row>
    <row r="48" spans="1:38">
      <c r="A48" s="4"/>
      <c r="C48" s="2"/>
      <c r="D48" s="4"/>
      <c r="E48" s="4"/>
      <c r="F48" s="118" t="s">
        <v>695</v>
      </c>
      <c r="G48" s="3" t="s">
        <v>2351</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516</v>
      </c>
      <c r="G49" s="4" t="s">
        <v>554</v>
      </c>
      <c r="I49" s="4"/>
      <c r="J49" s="4"/>
      <c r="K49" s="4"/>
      <c r="L49" s="4"/>
      <c r="O49" s="4"/>
      <c r="P49" s="4"/>
      <c r="Q49" s="4"/>
      <c r="R49" s="4"/>
      <c r="S49" s="4"/>
      <c r="T49" s="4"/>
      <c r="U49" s="4"/>
      <c r="V49" s="4"/>
      <c r="W49" s="4"/>
      <c r="X49" s="4"/>
      <c r="Y49" s="4"/>
      <c r="Z49" s="4"/>
      <c r="AA49" s="4"/>
      <c r="AB49" s="4"/>
    </row>
    <row r="50" spans="1:38">
      <c r="A50" s="4"/>
      <c r="C50" s="2"/>
      <c r="D50" s="4"/>
      <c r="E50" s="3" t="s">
        <v>349</v>
      </c>
      <c r="F50" s="1268" t="s">
        <v>2352</v>
      </c>
      <c r="G50" s="1268"/>
      <c r="H50" s="1268"/>
      <c r="I50" s="1268"/>
      <c r="J50" s="1268"/>
      <c r="K50" s="1268"/>
      <c r="L50" s="1268"/>
      <c r="M50" s="1268"/>
      <c r="N50" s="1268"/>
      <c r="O50" s="1268"/>
      <c r="P50" s="1268"/>
      <c r="Q50" s="1268"/>
      <c r="R50" s="1268"/>
      <c r="S50" s="1268"/>
      <c r="T50" s="1268"/>
      <c r="U50" s="1268"/>
      <c r="V50" s="1268"/>
      <c r="W50" s="1268"/>
      <c r="X50" s="1268"/>
      <c r="Y50" s="1268"/>
      <c r="Z50" s="1268"/>
      <c r="AA50" s="1268"/>
      <c r="AB50" s="1268"/>
      <c r="AC50" s="1268"/>
      <c r="AD50" s="1268"/>
      <c r="AE50" s="1268"/>
      <c r="AF50" s="1268"/>
      <c r="AG50" s="1268"/>
      <c r="AH50" s="1268"/>
      <c r="AI50" s="1268"/>
      <c r="AJ50" s="1268"/>
      <c r="AK50" s="1268"/>
    </row>
    <row r="51" spans="1:38">
      <c r="A51" s="4"/>
      <c r="C51" s="2"/>
      <c r="D51" s="4"/>
      <c r="E51" s="4"/>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row>
    <row r="52" spans="1:38">
      <c r="A52" s="4"/>
      <c r="C52" s="2"/>
      <c r="D52" s="4"/>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658</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660</v>
      </c>
      <c r="F55" s="3" t="s">
        <v>1296</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35" customHeight="1">
      <c r="A56" s="218"/>
      <c r="B56" s="218"/>
      <c r="C56" s="219"/>
      <c r="D56" s="219"/>
      <c r="E56" s="218"/>
      <c r="F56" s="220" t="s">
        <v>695</v>
      </c>
      <c r="G56" s="1270" t="s">
        <v>1295</v>
      </c>
      <c r="H56" s="1270"/>
      <c r="I56" s="1270"/>
      <c r="J56" s="1270"/>
      <c r="K56" s="1270"/>
      <c r="L56" s="1270"/>
      <c r="M56" s="1270"/>
      <c r="N56" s="1270"/>
      <c r="O56" s="1270"/>
      <c r="P56" s="1270"/>
      <c r="Q56" s="1270"/>
      <c r="R56" s="1270"/>
      <c r="S56" s="1270"/>
      <c r="T56" s="1270"/>
      <c r="U56" s="1270"/>
      <c r="V56" s="1270"/>
      <c r="W56" s="1270"/>
      <c r="X56" s="1270"/>
      <c r="Y56" s="1270"/>
      <c r="Z56" s="1270"/>
      <c r="AA56" s="1270"/>
      <c r="AB56" s="1270"/>
      <c r="AC56" s="1270"/>
      <c r="AD56" s="1270"/>
      <c r="AE56" s="1270"/>
      <c r="AF56" s="1270"/>
      <c r="AG56" s="1270"/>
      <c r="AH56" s="1270"/>
      <c r="AI56" s="1270"/>
      <c r="AJ56" s="1270"/>
      <c r="AK56" s="1270"/>
      <c r="AL56" s="218"/>
    </row>
    <row r="57" spans="1:38" ht="13.35" customHeight="1">
      <c r="A57" s="218"/>
      <c r="B57" s="218"/>
      <c r="C57" s="219"/>
      <c r="D57" s="219"/>
      <c r="E57" s="218"/>
      <c r="F57" s="220"/>
      <c r="G57" s="512" t="s">
        <v>1297</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0" t="s">
        <v>582</v>
      </c>
      <c r="H58" s="1270"/>
      <c r="I58" s="1270"/>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35" customHeight="1">
      <c r="A59" s="218"/>
      <c r="B59" s="219"/>
      <c r="C59" s="219"/>
      <c r="D59" s="219"/>
      <c r="E59" s="218"/>
      <c r="F59" s="220" t="s">
        <v>516</v>
      </c>
      <c r="G59" s="1270" t="s">
        <v>2353</v>
      </c>
      <c r="H59" s="1270"/>
      <c r="I59" s="1270"/>
      <c r="J59" s="1270"/>
      <c r="K59" s="1270"/>
      <c r="L59" s="1270"/>
      <c r="M59" s="1270"/>
      <c r="N59" s="1270"/>
      <c r="O59" s="1270"/>
      <c r="P59" s="1270"/>
      <c r="Q59" s="1270"/>
      <c r="R59" s="1270"/>
      <c r="S59" s="1270"/>
      <c r="T59" s="1270"/>
      <c r="U59" s="1270"/>
      <c r="V59" s="1270"/>
      <c r="W59" s="1270"/>
      <c r="X59" s="1270"/>
      <c r="Y59" s="1270"/>
      <c r="Z59" s="1270"/>
      <c r="AA59" s="1270"/>
      <c r="AB59" s="1270"/>
      <c r="AC59" s="1270"/>
      <c r="AD59" s="1270"/>
      <c r="AE59" s="1270"/>
      <c r="AF59" s="1270"/>
      <c r="AG59" s="1270"/>
      <c r="AH59" s="1270"/>
      <c r="AI59" s="1270"/>
      <c r="AJ59" s="1270"/>
      <c r="AK59" s="1270"/>
      <c r="AL59" s="1270"/>
    </row>
    <row r="60" spans="1:38">
      <c r="A60" s="218"/>
      <c r="B60" s="218"/>
      <c r="C60" s="219"/>
      <c r="D60" s="219"/>
      <c r="E60" s="218"/>
      <c r="F60" s="220"/>
      <c r="G60" s="1270"/>
      <c r="H60" s="1270"/>
      <c r="I60" s="1270"/>
      <c r="J60" s="1270"/>
      <c r="K60" s="1270"/>
      <c r="L60" s="1270"/>
      <c r="M60" s="1270"/>
      <c r="N60" s="1270"/>
      <c r="O60" s="1270"/>
      <c r="P60" s="1270"/>
      <c r="Q60" s="1270"/>
      <c r="R60" s="1270"/>
      <c r="S60" s="1270"/>
      <c r="T60" s="1270"/>
      <c r="U60" s="1270"/>
      <c r="V60" s="1270"/>
      <c r="W60" s="1270"/>
      <c r="X60" s="1270"/>
      <c r="Y60" s="1270"/>
      <c r="Z60" s="1270"/>
      <c r="AA60" s="1270"/>
      <c r="AB60" s="1270"/>
      <c r="AC60" s="1270"/>
      <c r="AD60" s="1270"/>
      <c r="AE60" s="1270"/>
      <c r="AF60" s="1270"/>
      <c r="AG60" s="1270"/>
      <c r="AH60" s="1270"/>
      <c r="AI60" s="1270"/>
      <c r="AJ60" s="1270"/>
      <c r="AK60" s="1270"/>
      <c r="AL60" s="1270"/>
    </row>
    <row r="61" spans="1:38">
      <c r="A61" s="218"/>
      <c r="B61" s="218"/>
      <c r="C61" s="219"/>
      <c r="D61" s="219"/>
      <c r="E61" s="218"/>
      <c r="F61" s="220"/>
      <c r="G61" s="513" t="s">
        <v>1387</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174</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1269</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660</v>
      </c>
      <c r="F65" s="4" t="s">
        <v>515</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695</v>
      </c>
      <c r="G66" s="1268" t="s">
        <v>1270</v>
      </c>
      <c r="H66" s="1268"/>
      <c r="I66" s="1268"/>
      <c r="J66" s="1268"/>
      <c r="K66" s="1268"/>
      <c r="L66" s="1268"/>
      <c r="M66" s="1268"/>
      <c r="N66" s="1268"/>
      <c r="O66" s="1268"/>
      <c r="P66" s="1268"/>
      <c r="Q66" s="1268"/>
      <c r="R66" s="1268"/>
      <c r="S66" s="1268"/>
      <c r="T66" s="1268"/>
      <c r="U66" s="1268"/>
      <c r="V66" s="1268"/>
      <c r="W66" s="1268"/>
      <c r="X66" s="1268"/>
      <c r="Y66" s="1268"/>
      <c r="Z66" s="1268"/>
      <c r="AA66" s="1268"/>
      <c r="AB66" s="1268"/>
      <c r="AC66" s="1268"/>
      <c r="AD66" s="1268"/>
      <c r="AE66" s="1268"/>
      <c r="AF66" s="1268"/>
      <c r="AG66" s="1268"/>
      <c r="AH66" s="1268"/>
      <c r="AI66" s="1268"/>
      <c r="AJ66" s="1268"/>
      <c r="AK66" s="1268"/>
    </row>
    <row r="67" spans="1:37">
      <c r="A67" s="4"/>
      <c r="C67" s="2"/>
      <c r="D67" s="4"/>
      <c r="E67" s="4"/>
      <c r="G67" s="1268"/>
      <c r="H67" s="1268"/>
      <c r="I67" s="1268"/>
      <c r="J67" s="1268"/>
      <c r="K67" s="1268"/>
      <c r="L67" s="1268"/>
      <c r="M67" s="1268"/>
      <c r="N67" s="1268"/>
      <c r="O67" s="1268"/>
      <c r="P67" s="1268"/>
      <c r="Q67" s="1268"/>
      <c r="R67" s="1268"/>
      <c r="S67" s="1268"/>
      <c r="T67" s="1268"/>
      <c r="U67" s="1268"/>
      <c r="V67" s="1268"/>
      <c r="W67" s="1268"/>
      <c r="X67" s="1268"/>
      <c r="Y67" s="1268"/>
      <c r="Z67" s="1268"/>
      <c r="AA67" s="1268"/>
      <c r="AB67" s="1268"/>
      <c r="AC67" s="1268"/>
      <c r="AD67" s="1268"/>
      <c r="AE67" s="1268"/>
      <c r="AF67" s="1268"/>
      <c r="AG67" s="1268"/>
      <c r="AH67" s="1268"/>
      <c r="AI67" s="1268"/>
      <c r="AJ67" s="1268"/>
      <c r="AK67" s="1268"/>
    </row>
    <row r="68" spans="1:37">
      <c r="A68" s="4"/>
      <c r="C68" s="2"/>
      <c r="D68" s="4"/>
      <c r="E68" s="4"/>
      <c r="G68" s="1268"/>
      <c r="H68" s="1268"/>
      <c r="I68" s="1268"/>
      <c r="J68" s="1268"/>
      <c r="K68" s="1268"/>
      <c r="L68" s="1268"/>
      <c r="M68" s="1268"/>
      <c r="N68" s="1268"/>
      <c r="O68" s="1268"/>
      <c r="P68" s="1268"/>
      <c r="Q68" s="1268"/>
      <c r="R68" s="1268"/>
      <c r="S68" s="1268"/>
      <c r="T68" s="1268"/>
      <c r="U68" s="1268"/>
      <c r="V68" s="1268"/>
      <c r="W68" s="1268"/>
      <c r="X68" s="1268"/>
      <c r="Y68" s="1268"/>
      <c r="Z68" s="1268"/>
      <c r="AA68" s="1268"/>
      <c r="AB68" s="1268"/>
      <c r="AC68" s="1268"/>
      <c r="AD68" s="1268"/>
      <c r="AE68" s="1268"/>
      <c r="AF68" s="1268"/>
      <c r="AG68" s="1268"/>
      <c r="AH68" s="1268"/>
      <c r="AI68" s="1268"/>
      <c r="AJ68" s="1268"/>
      <c r="AK68" s="1268"/>
    </row>
    <row r="69" spans="1:37" ht="13.35" customHeight="1">
      <c r="A69" s="4"/>
      <c r="C69" s="2"/>
      <c r="D69" s="4"/>
      <c r="E69" s="4"/>
      <c r="F69" t="s">
        <v>516</v>
      </c>
      <c r="G69" s="1268" t="s">
        <v>1271</v>
      </c>
      <c r="H69" s="1268"/>
      <c r="I69" s="1268"/>
      <c r="J69" s="1268"/>
      <c r="K69" s="1268"/>
      <c r="L69" s="1268"/>
      <c r="M69" s="1268"/>
      <c r="N69" s="1268"/>
      <c r="O69" s="1268"/>
      <c r="P69" s="1268"/>
      <c r="Q69" s="1268"/>
      <c r="R69" s="1268"/>
      <c r="S69" s="1268"/>
      <c r="T69" s="1268"/>
      <c r="U69" s="1268"/>
      <c r="V69" s="1268"/>
      <c r="W69" s="1268"/>
      <c r="X69" s="1268"/>
      <c r="Y69" s="1268"/>
      <c r="Z69" s="1268"/>
      <c r="AA69" s="1268"/>
      <c r="AB69" s="1268"/>
      <c r="AC69" s="1268"/>
      <c r="AD69" s="1268"/>
      <c r="AE69" s="1268"/>
      <c r="AF69" s="1268"/>
      <c r="AG69" s="1268"/>
      <c r="AH69" s="1268"/>
      <c r="AI69" s="1268"/>
      <c r="AJ69" s="1268"/>
      <c r="AK69" s="1268"/>
    </row>
    <row r="70" spans="1:37">
      <c r="A70" s="4"/>
      <c r="C70" s="2"/>
      <c r="D70" s="4"/>
      <c r="E70" s="4"/>
      <c r="F70" s="27"/>
      <c r="G70" s="1268"/>
      <c r="H70" s="1268"/>
      <c r="I70" s="1268"/>
      <c r="J70" s="1268"/>
      <c r="K70" s="1268"/>
      <c r="L70" s="1268"/>
      <c r="M70" s="1268"/>
      <c r="N70" s="1268"/>
      <c r="O70" s="1268"/>
      <c r="P70" s="1268"/>
      <c r="Q70" s="1268"/>
      <c r="R70" s="1268"/>
      <c r="S70" s="1268"/>
      <c r="T70" s="1268"/>
      <c r="U70" s="1268"/>
      <c r="V70" s="1268"/>
      <c r="W70" s="1268"/>
      <c r="X70" s="1268"/>
      <c r="Y70" s="1268"/>
      <c r="Z70" s="1268"/>
      <c r="AA70" s="1268"/>
      <c r="AB70" s="1268"/>
      <c r="AC70" s="1268"/>
      <c r="AD70" s="1268"/>
      <c r="AE70" s="1268"/>
      <c r="AF70" s="1268"/>
      <c r="AG70" s="1268"/>
      <c r="AH70" s="1268"/>
      <c r="AI70" s="1268"/>
      <c r="AJ70" s="1268"/>
      <c r="AK70" s="1268"/>
    </row>
    <row r="71" spans="1:37">
      <c r="A71" s="4"/>
      <c r="C71" s="2"/>
      <c r="D71" s="4"/>
      <c r="E71" s="4" t="s">
        <v>348</v>
      </c>
      <c r="F71" s="4" t="s">
        <v>421</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695</v>
      </c>
      <c r="G72" s="1268" t="s">
        <v>1272</v>
      </c>
      <c r="H72" s="1268"/>
      <c r="I72" s="1268"/>
      <c r="J72" s="1268"/>
      <c r="K72" s="1268"/>
      <c r="L72" s="1268"/>
      <c r="M72" s="1268"/>
      <c r="N72" s="1268"/>
      <c r="O72" s="1268"/>
      <c r="P72" s="1268"/>
      <c r="Q72" s="1268"/>
      <c r="R72" s="1268"/>
      <c r="S72" s="1268"/>
      <c r="T72" s="1268"/>
      <c r="U72" s="1268"/>
      <c r="V72" s="1268"/>
      <c r="W72" s="1268"/>
      <c r="X72" s="1268"/>
      <c r="Y72" s="1268"/>
      <c r="Z72" s="1268"/>
      <c r="AA72" s="1268"/>
      <c r="AB72" s="1268"/>
      <c r="AC72" s="1268"/>
      <c r="AD72" s="1268"/>
      <c r="AE72" s="1268"/>
      <c r="AF72" s="1268"/>
      <c r="AG72" s="1268"/>
      <c r="AH72" s="1268"/>
      <c r="AI72" s="1268"/>
      <c r="AJ72" s="1268"/>
      <c r="AK72" s="1268"/>
    </row>
    <row r="73" spans="1:37">
      <c r="A73" s="4"/>
      <c r="C73" s="2"/>
      <c r="D73" s="4"/>
      <c r="E73" s="4"/>
      <c r="F73" s="8"/>
      <c r="G73" s="1268"/>
      <c r="H73" s="1268"/>
      <c r="I73" s="1268"/>
      <c r="J73" s="1268"/>
      <c r="K73" s="1268"/>
      <c r="L73" s="1268"/>
      <c r="M73" s="1268"/>
      <c r="N73" s="1268"/>
      <c r="O73" s="1268"/>
      <c r="P73" s="1268"/>
      <c r="Q73" s="1268"/>
      <c r="R73" s="1268"/>
      <c r="S73" s="1268"/>
      <c r="T73" s="1268"/>
      <c r="U73" s="1268"/>
      <c r="V73" s="1268"/>
      <c r="W73" s="1268"/>
      <c r="X73" s="1268"/>
      <c r="Y73" s="1268"/>
      <c r="Z73" s="1268"/>
      <c r="AA73" s="1268"/>
      <c r="AB73" s="1268"/>
      <c r="AC73" s="1268"/>
      <c r="AD73" s="1268"/>
      <c r="AE73" s="1268"/>
      <c r="AF73" s="1268"/>
      <c r="AG73" s="1268"/>
      <c r="AH73" s="1268"/>
      <c r="AI73" s="1268"/>
      <c r="AJ73" s="1268"/>
      <c r="AK73" s="1268"/>
    </row>
    <row r="74" spans="1:37">
      <c r="A74" s="4"/>
      <c r="C74" s="2"/>
      <c r="D74" s="4"/>
      <c r="E74" s="4"/>
      <c r="F74" s="8" t="s">
        <v>516</v>
      </c>
      <c r="G74" s="1268" t="s">
        <v>1273</v>
      </c>
      <c r="H74" s="1268"/>
      <c r="I74" s="1268"/>
      <c r="J74" s="1268"/>
      <c r="K74" s="1268"/>
      <c r="L74" s="1268"/>
      <c r="M74" s="1268"/>
      <c r="N74" s="1268"/>
      <c r="O74" s="1268"/>
      <c r="P74" s="1268"/>
      <c r="Q74" s="1268"/>
      <c r="R74" s="1268"/>
      <c r="S74" s="1268"/>
      <c r="T74" s="1268"/>
      <c r="U74" s="1268"/>
      <c r="V74" s="1268"/>
      <c r="W74" s="1268"/>
      <c r="X74" s="1268"/>
      <c r="Y74" s="1268"/>
      <c r="Z74" s="1268"/>
      <c r="AA74" s="1268"/>
      <c r="AB74" s="1268"/>
      <c r="AC74" s="1268"/>
      <c r="AD74" s="1268"/>
      <c r="AE74" s="1268"/>
      <c r="AF74" s="1268"/>
      <c r="AG74" s="1268"/>
      <c r="AH74" s="1268"/>
      <c r="AI74" s="1268"/>
      <c r="AJ74" s="1268"/>
      <c r="AK74" s="1268"/>
    </row>
    <row r="75" spans="1:37">
      <c r="A75" s="4"/>
      <c r="C75" s="2"/>
      <c r="D75" s="4"/>
      <c r="E75" s="4"/>
      <c r="F75" s="8"/>
      <c r="G75" s="1268"/>
      <c r="H75" s="1268"/>
      <c r="I75" s="1268"/>
      <c r="J75" s="1268"/>
      <c r="K75" s="1268"/>
      <c r="L75" s="1268"/>
      <c r="M75" s="1268"/>
      <c r="N75" s="1268"/>
      <c r="O75" s="1268"/>
      <c r="P75" s="1268"/>
      <c r="Q75" s="1268"/>
      <c r="R75" s="1268"/>
      <c r="S75" s="1268"/>
      <c r="T75" s="1268"/>
      <c r="U75" s="1268"/>
      <c r="V75" s="1268"/>
      <c r="W75" s="1268"/>
      <c r="X75" s="1268"/>
      <c r="Y75" s="1268"/>
      <c r="Z75" s="1268"/>
      <c r="AA75" s="1268"/>
      <c r="AB75" s="1268"/>
      <c r="AC75" s="1268"/>
      <c r="AD75" s="1268"/>
      <c r="AE75" s="1268"/>
      <c r="AF75" s="1268"/>
      <c r="AG75" s="1268"/>
      <c r="AH75" s="1268"/>
      <c r="AI75" s="1268"/>
      <c r="AJ75" s="1268"/>
      <c r="AK75" s="1268"/>
    </row>
    <row r="76" spans="1:37">
      <c r="A76" s="4"/>
      <c r="C76" s="2"/>
      <c r="D76" s="4"/>
      <c r="E76" s="4"/>
      <c r="F76" s="8"/>
      <c r="G76" s="120" t="s">
        <v>758</v>
      </c>
      <c r="H76" s="4"/>
      <c r="J76" s="120"/>
      <c r="K76" s="120"/>
      <c r="L76" s="120"/>
      <c r="P76" s="4"/>
      <c r="Q76" s="4"/>
      <c r="R76" s="4"/>
      <c r="S76" s="4"/>
      <c r="T76" s="4"/>
      <c r="U76" s="4"/>
      <c r="V76" s="4"/>
      <c r="W76" s="4"/>
      <c r="X76" s="4"/>
      <c r="Y76" s="4"/>
      <c r="Z76" s="4"/>
      <c r="AA76" s="4"/>
      <c r="AB76" s="4"/>
    </row>
    <row r="77" spans="1:37">
      <c r="A77" s="4"/>
      <c r="C77" s="2"/>
      <c r="D77" s="4"/>
      <c r="E77" s="4"/>
      <c r="F77" s="8"/>
      <c r="G77" s="120" t="s">
        <v>874</v>
      </c>
      <c r="J77" s="120"/>
      <c r="K77" s="120"/>
      <c r="L77" s="120"/>
      <c r="P77" s="4"/>
      <c r="Q77" s="4"/>
      <c r="R77" s="4"/>
      <c r="S77" s="4"/>
      <c r="T77" s="4"/>
      <c r="U77" s="4"/>
      <c r="V77" s="4"/>
      <c r="W77" s="4"/>
      <c r="X77" s="4"/>
      <c r="Y77" s="4"/>
      <c r="Z77" s="4"/>
      <c r="AA77" s="4"/>
      <c r="AB77" s="4"/>
    </row>
    <row r="78" spans="1:37">
      <c r="A78" s="4"/>
      <c r="C78" s="2"/>
      <c r="D78" s="4"/>
      <c r="E78" s="4"/>
      <c r="F78" s="8" t="s">
        <v>278</v>
      </c>
      <c r="G78" s="4" t="s">
        <v>1036</v>
      </c>
      <c r="H78" s="4"/>
      <c r="I78" s="4"/>
      <c r="K78" s="4"/>
      <c r="L78" s="4"/>
      <c r="M78" s="4"/>
      <c r="P78" s="4"/>
      <c r="Q78" s="4"/>
      <c r="R78" s="4"/>
      <c r="S78" s="4"/>
      <c r="T78" s="4"/>
      <c r="U78" s="4"/>
      <c r="V78" s="4"/>
      <c r="W78" s="4"/>
      <c r="X78" s="4"/>
      <c r="Y78" s="4"/>
      <c r="Z78" s="4"/>
      <c r="AA78" s="4"/>
      <c r="AB78" s="4"/>
    </row>
    <row r="79" spans="1:37">
      <c r="A79" s="4"/>
      <c r="C79" s="2"/>
      <c r="D79" s="4"/>
      <c r="E79" s="4"/>
      <c r="F79" s="4"/>
      <c r="G79" s="4" t="s">
        <v>514</v>
      </c>
      <c r="H79" s="4" t="s">
        <v>875</v>
      </c>
      <c r="K79" s="4"/>
      <c r="L79" s="4"/>
      <c r="M79" s="4"/>
      <c r="P79" s="4"/>
      <c r="Q79" s="4"/>
      <c r="R79" s="4"/>
      <c r="S79" s="4"/>
      <c r="T79" s="4"/>
      <c r="U79" s="4"/>
      <c r="V79" s="4"/>
      <c r="W79" s="4"/>
      <c r="X79" s="4"/>
      <c r="Y79" s="4"/>
      <c r="Z79" s="4"/>
      <c r="AA79" s="4"/>
      <c r="AB79" s="4"/>
    </row>
    <row r="80" spans="1:37">
      <c r="A80" s="4"/>
      <c r="C80" s="2"/>
      <c r="D80" s="4"/>
      <c r="E80" s="4"/>
      <c r="F80" s="4"/>
      <c r="G80" s="4" t="s">
        <v>765</v>
      </c>
      <c r="H80" s="4" t="s">
        <v>761</v>
      </c>
      <c r="K80" s="4"/>
      <c r="L80" s="4"/>
      <c r="M80" s="4"/>
      <c r="P80" s="4"/>
      <c r="Q80" s="4"/>
      <c r="R80" s="4"/>
      <c r="S80" s="4"/>
      <c r="T80" s="4"/>
      <c r="U80" s="4"/>
      <c r="V80" s="4"/>
      <c r="W80" s="4"/>
      <c r="X80" s="4"/>
      <c r="Y80" s="4"/>
      <c r="Z80" s="4"/>
      <c r="AA80" s="4"/>
      <c r="AB80" s="4"/>
    </row>
    <row r="81" spans="1:37">
      <c r="A81" s="4"/>
      <c r="C81" s="2"/>
      <c r="D81" s="4"/>
      <c r="E81" s="4" t="s">
        <v>349</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8" t="s">
        <v>1274</v>
      </c>
      <c r="H82" s="1268"/>
      <c r="I82" s="1268"/>
      <c r="J82" s="1268"/>
      <c r="K82" s="1268"/>
      <c r="L82" s="1268"/>
      <c r="M82" s="1268"/>
      <c r="N82" s="1268"/>
      <c r="O82" s="1268"/>
      <c r="P82" s="1268"/>
      <c r="Q82" s="1268"/>
      <c r="R82" s="1268"/>
      <c r="S82" s="1268"/>
      <c r="T82" s="1268"/>
      <c r="U82" s="1268"/>
      <c r="V82" s="1268"/>
      <c r="W82" s="1268"/>
      <c r="X82" s="1268"/>
      <c r="Y82" s="1268"/>
      <c r="Z82" s="1268"/>
      <c r="AA82" s="1268"/>
      <c r="AB82" s="1268"/>
      <c r="AC82" s="1268"/>
      <c r="AD82" s="1268"/>
      <c r="AE82" s="1268"/>
      <c r="AF82" s="1268"/>
      <c r="AG82" s="1268"/>
      <c r="AH82" s="1268"/>
      <c r="AI82" s="1268"/>
      <c r="AJ82" s="1268"/>
      <c r="AK82" s="1268"/>
    </row>
    <row r="83" spans="1:37">
      <c r="A83" s="4"/>
      <c r="C83" s="2"/>
      <c r="D83" s="4"/>
      <c r="E83" s="4"/>
      <c r="F83" s="4"/>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row>
    <row r="84" spans="1:37">
      <c r="A84" s="4"/>
      <c r="C84" s="2"/>
      <c r="D84" s="4"/>
      <c r="E84" s="4"/>
      <c r="F84" s="4"/>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row>
    <row r="85" spans="1:37">
      <c r="A85" s="4"/>
      <c r="C85" s="2"/>
      <c r="D85" s="4"/>
      <c r="E85" s="4" t="s">
        <v>445</v>
      </c>
      <c r="F85" s="4" t="s">
        <v>623</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8" t="s">
        <v>1275</v>
      </c>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row>
    <row r="87" spans="1:37">
      <c r="A87" s="4"/>
      <c r="C87" s="2"/>
      <c r="D87" s="4"/>
      <c r="E87" s="4"/>
      <c r="F87" s="4"/>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row>
    <row r="88" spans="1:37">
      <c r="A88" s="4"/>
      <c r="C88" s="2"/>
      <c r="D88" s="4"/>
      <c r="E88" s="4"/>
      <c r="G88" s="1268"/>
      <c r="H88" s="1268"/>
      <c r="I88" s="1268"/>
      <c r="J88" s="1268"/>
      <c r="K88" s="1268"/>
      <c r="L88" s="1268"/>
      <c r="M88" s="1268"/>
      <c r="N88" s="1268"/>
      <c r="O88" s="1268"/>
      <c r="P88" s="1268"/>
      <c r="Q88" s="1268"/>
      <c r="R88" s="1268"/>
      <c r="S88" s="1268"/>
      <c r="T88" s="1268"/>
      <c r="U88" s="1268"/>
      <c r="V88" s="1268"/>
      <c r="W88" s="1268"/>
      <c r="X88" s="1268"/>
      <c r="Y88" s="1268"/>
      <c r="Z88" s="1268"/>
      <c r="AA88" s="1268"/>
      <c r="AB88" s="1268"/>
      <c r="AC88" s="1268"/>
      <c r="AD88" s="1268"/>
      <c r="AE88" s="1268"/>
      <c r="AF88" s="1268"/>
      <c r="AG88" s="1268"/>
      <c r="AH88" s="1268"/>
      <c r="AI88" s="1268"/>
      <c r="AJ88" s="1268"/>
      <c r="AK88" s="1268"/>
    </row>
    <row r="89" spans="1:37">
      <c r="A89" s="4"/>
      <c r="C89" s="2"/>
      <c r="D89" s="4"/>
      <c r="E89" s="4" t="s">
        <v>262</v>
      </c>
      <c r="F89" t="s">
        <v>876</v>
      </c>
      <c r="G89" s="4"/>
      <c r="L89" s="4"/>
      <c r="M89" s="4"/>
      <c r="P89" s="4"/>
      <c r="Q89" s="4"/>
      <c r="R89" s="4"/>
      <c r="S89" s="4"/>
      <c r="T89" s="4"/>
      <c r="U89" s="4"/>
      <c r="V89" s="4"/>
      <c r="W89" s="4"/>
      <c r="X89" s="4"/>
      <c r="Y89" s="4"/>
      <c r="Z89" s="4"/>
      <c r="AA89" s="4"/>
      <c r="AB89" s="4"/>
    </row>
    <row r="90" spans="1:37">
      <c r="A90" s="4"/>
      <c r="C90" s="2"/>
      <c r="D90" s="4"/>
      <c r="E90" s="4"/>
      <c r="G90" s="1277" t="s">
        <v>1276</v>
      </c>
      <c r="H90" s="1277"/>
      <c r="I90" s="1277"/>
      <c r="J90" s="1277"/>
      <c r="K90" s="1277"/>
      <c r="L90" s="1277"/>
      <c r="M90" s="1277"/>
      <c r="N90" s="1277"/>
      <c r="O90" s="1277"/>
      <c r="P90" s="1277"/>
      <c r="Q90" s="1277"/>
      <c r="R90" s="1277"/>
      <c r="S90" s="1277"/>
      <c r="T90" s="1277"/>
      <c r="U90" s="1277"/>
      <c r="V90" s="1277"/>
      <c r="W90" s="1277"/>
      <c r="X90" s="1277"/>
      <c r="Y90" s="1277"/>
      <c r="Z90" s="1277"/>
      <c r="AA90" s="1277"/>
      <c r="AB90" s="1277"/>
      <c r="AC90" s="1277"/>
      <c r="AD90" s="1277"/>
      <c r="AE90" s="1277"/>
      <c r="AF90" s="1277"/>
      <c r="AG90" s="1277"/>
      <c r="AH90" s="1277"/>
      <c r="AI90" s="1277"/>
      <c r="AJ90" s="1277"/>
      <c r="AK90" s="1277"/>
    </row>
    <row r="91" spans="1:37">
      <c r="A91" s="4"/>
      <c r="C91" s="2"/>
      <c r="D91" s="4"/>
      <c r="E91" s="4"/>
      <c r="G91" s="1277"/>
      <c r="H91" s="1277"/>
      <c r="I91" s="1277"/>
      <c r="J91" s="1277"/>
      <c r="K91" s="1277"/>
      <c r="L91" s="1277"/>
      <c r="M91" s="1277"/>
      <c r="N91" s="1277"/>
      <c r="O91" s="1277"/>
      <c r="P91" s="1277"/>
      <c r="Q91" s="1277"/>
      <c r="R91" s="1277"/>
      <c r="S91" s="1277"/>
      <c r="T91" s="1277"/>
      <c r="U91" s="1277"/>
      <c r="V91" s="1277"/>
      <c r="W91" s="1277"/>
      <c r="X91" s="1277"/>
      <c r="Y91" s="1277"/>
      <c r="Z91" s="1277"/>
      <c r="AA91" s="1277"/>
      <c r="AB91" s="1277"/>
      <c r="AC91" s="1277"/>
      <c r="AD91" s="1277"/>
      <c r="AE91" s="1277"/>
      <c r="AF91" s="1277"/>
      <c r="AG91" s="1277"/>
      <c r="AH91" s="1277"/>
      <c r="AI91" s="1277"/>
      <c r="AJ91" s="1277"/>
      <c r="AK91" s="1277"/>
    </row>
    <row r="92" spans="1:37">
      <c r="A92" s="4"/>
      <c r="C92" s="2"/>
      <c r="D92" s="4"/>
      <c r="E92" s="4"/>
      <c r="G92" s="1277"/>
      <c r="H92" s="1277"/>
      <c r="I92" s="1277"/>
      <c r="J92" s="1277"/>
      <c r="K92" s="1277"/>
      <c r="L92" s="1277"/>
      <c r="M92" s="1277"/>
      <c r="N92" s="1277"/>
      <c r="O92" s="1277"/>
      <c r="P92" s="1277"/>
      <c r="Q92" s="1277"/>
      <c r="R92" s="1277"/>
      <c r="S92" s="1277"/>
      <c r="T92" s="1277"/>
      <c r="U92" s="1277"/>
      <c r="V92" s="1277"/>
      <c r="W92" s="1277"/>
      <c r="X92" s="1277"/>
      <c r="Y92" s="1277"/>
      <c r="Z92" s="1277"/>
      <c r="AA92" s="1277"/>
      <c r="AB92" s="1277"/>
      <c r="AC92" s="1277"/>
      <c r="AD92" s="1277"/>
      <c r="AE92" s="1277"/>
      <c r="AF92" s="1277"/>
      <c r="AG92" s="1277"/>
      <c r="AH92" s="1277"/>
      <c r="AI92" s="1277"/>
      <c r="AJ92" s="1277"/>
      <c r="AK92" s="1277"/>
    </row>
    <row r="93" spans="1:37">
      <c r="A93" s="4"/>
      <c r="C93" s="2"/>
      <c r="D93" s="4"/>
      <c r="E93" s="4" t="s">
        <v>263</v>
      </c>
      <c r="F93" s="4" t="s">
        <v>523</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8" t="s">
        <v>1277</v>
      </c>
      <c r="H94" s="1268"/>
      <c r="I94" s="1268"/>
      <c r="J94" s="1268"/>
      <c r="K94" s="1268"/>
      <c r="L94" s="1268"/>
      <c r="M94" s="1268"/>
      <c r="N94" s="1268"/>
      <c r="O94" s="1268"/>
      <c r="P94" s="1268"/>
      <c r="Q94" s="1268"/>
      <c r="R94" s="1268"/>
      <c r="S94" s="1268"/>
      <c r="T94" s="1268"/>
      <c r="U94" s="1268"/>
      <c r="V94" s="1268"/>
      <c r="W94" s="1268"/>
      <c r="X94" s="1268"/>
      <c r="Y94" s="1268"/>
      <c r="Z94" s="1268"/>
      <c r="AA94" s="1268"/>
      <c r="AB94" s="1268"/>
      <c r="AC94" s="1268"/>
      <c r="AD94" s="1268"/>
      <c r="AE94" s="1268"/>
      <c r="AF94" s="1268"/>
      <c r="AG94" s="1268"/>
      <c r="AH94" s="1268"/>
      <c r="AI94" s="1268"/>
      <c r="AJ94" s="1268"/>
      <c r="AK94" s="1268"/>
    </row>
    <row r="95" spans="1:37">
      <c r="A95" s="4"/>
      <c r="C95" s="2"/>
      <c r="D95" s="4"/>
      <c r="E95" s="4"/>
      <c r="G95" s="1268"/>
      <c r="H95" s="1268"/>
      <c r="I95" s="1268"/>
      <c r="J95" s="1268"/>
      <c r="K95" s="1268"/>
      <c r="L95" s="1268"/>
      <c r="M95" s="1268"/>
      <c r="N95" s="1268"/>
      <c r="O95" s="1268"/>
      <c r="P95" s="1268"/>
      <c r="Q95" s="1268"/>
      <c r="R95" s="1268"/>
      <c r="S95" s="1268"/>
      <c r="T95" s="1268"/>
      <c r="U95" s="1268"/>
      <c r="V95" s="1268"/>
      <c r="W95" s="1268"/>
      <c r="X95" s="1268"/>
      <c r="Y95" s="1268"/>
      <c r="Z95" s="1268"/>
      <c r="AA95" s="1268"/>
      <c r="AB95" s="1268"/>
      <c r="AC95" s="1268"/>
      <c r="AD95" s="1268"/>
      <c r="AE95" s="1268"/>
      <c r="AF95" s="1268"/>
      <c r="AG95" s="1268"/>
      <c r="AH95" s="1268"/>
      <c r="AI95" s="1268"/>
      <c r="AJ95" s="1268"/>
      <c r="AK95" s="1268"/>
    </row>
    <row r="96" spans="1:37">
      <c r="A96" s="4"/>
      <c r="C96" s="2"/>
      <c r="D96" s="4"/>
      <c r="E96" s="4" t="s">
        <v>918</v>
      </c>
      <c r="F96" s="218" t="s">
        <v>919</v>
      </c>
      <c r="G96" s="218"/>
      <c r="L96" s="4"/>
      <c r="M96" s="4"/>
      <c r="P96" s="4"/>
      <c r="Q96" s="4"/>
      <c r="R96" s="4"/>
      <c r="S96" s="4"/>
      <c r="T96" s="4"/>
      <c r="U96" s="4"/>
      <c r="V96" s="4"/>
      <c r="W96" s="4"/>
      <c r="X96" s="4"/>
      <c r="Y96" s="4"/>
      <c r="Z96" s="4"/>
      <c r="AA96" s="4"/>
      <c r="AB96" s="4"/>
    </row>
    <row r="97" spans="1:38">
      <c r="A97" s="4"/>
      <c r="C97" s="2"/>
      <c r="D97" s="4"/>
      <c r="E97" s="4"/>
      <c r="G97" s="1268" t="s">
        <v>1278</v>
      </c>
      <c r="H97" s="1268"/>
      <c r="I97" s="1268"/>
      <c r="J97" s="1268"/>
      <c r="K97" s="1268"/>
      <c r="L97" s="1268"/>
      <c r="M97" s="1268"/>
      <c r="N97" s="1268"/>
      <c r="O97" s="1268"/>
      <c r="P97" s="1268"/>
      <c r="Q97" s="1268"/>
      <c r="R97" s="1268"/>
      <c r="S97" s="1268"/>
      <c r="T97" s="1268"/>
      <c r="U97" s="1268"/>
      <c r="V97" s="1268"/>
      <c r="W97" s="1268"/>
      <c r="X97" s="1268"/>
      <c r="Y97" s="1268"/>
      <c r="Z97" s="1268"/>
      <c r="AA97" s="1268"/>
      <c r="AB97" s="1268"/>
      <c r="AC97" s="1268"/>
      <c r="AD97" s="1268"/>
      <c r="AE97" s="1268"/>
      <c r="AF97" s="1268"/>
      <c r="AG97" s="1268"/>
      <c r="AH97" s="1268"/>
      <c r="AI97" s="1268"/>
      <c r="AJ97" s="1268"/>
      <c r="AK97" s="1268"/>
    </row>
    <row r="98" spans="1:38">
      <c r="A98" s="4"/>
      <c r="C98" s="2"/>
      <c r="D98" s="4"/>
      <c r="E98" s="4"/>
      <c r="G98" s="1268"/>
      <c r="H98" s="1268"/>
      <c r="I98" s="1268"/>
      <c r="J98" s="1268"/>
      <c r="K98" s="1268"/>
      <c r="L98" s="1268"/>
      <c r="M98" s="1268"/>
      <c r="N98" s="1268"/>
      <c r="O98" s="1268"/>
      <c r="P98" s="1268"/>
      <c r="Q98" s="1268"/>
      <c r="R98" s="1268"/>
      <c r="S98" s="1268"/>
      <c r="T98" s="1268"/>
      <c r="U98" s="1268"/>
      <c r="V98" s="1268"/>
      <c r="W98" s="1268"/>
      <c r="X98" s="1268"/>
      <c r="Y98" s="1268"/>
      <c r="Z98" s="1268"/>
      <c r="AA98" s="1268"/>
      <c r="AB98" s="1268"/>
      <c r="AC98" s="1268"/>
      <c r="AD98" s="1268"/>
      <c r="AE98" s="1268"/>
      <c r="AF98" s="1268"/>
      <c r="AG98" s="1268"/>
      <c r="AH98" s="1268"/>
      <c r="AI98" s="1268"/>
      <c r="AJ98" s="1268"/>
      <c r="AK98" s="1268"/>
    </row>
    <row r="99" spans="1:38">
      <c r="A99" s="4"/>
      <c r="C99" s="2"/>
      <c r="D99" s="4"/>
      <c r="E99" s="4"/>
      <c r="G99" s="1268"/>
      <c r="H99" s="1268"/>
      <c r="I99" s="1268"/>
      <c r="J99" s="1268"/>
      <c r="K99" s="1268"/>
      <c r="L99" s="1268"/>
      <c r="M99" s="1268"/>
      <c r="N99" s="1268"/>
      <c r="O99" s="1268"/>
      <c r="P99" s="1268"/>
      <c r="Q99" s="1268"/>
      <c r="R99" s="1268"/>
      <c r="S99" s="1268"/>
      <c r="T99" s="1268"/>
      <c r="U99" s="1268"/>
      <c r="V99" s="1268"/>
      <c r="W99" s="1268"/>
      <c r="X99" s="1268"/>
      <c r="Y99" s="1268"/>
      <c r="Z99" s="1268"/>
      <c r="AA99" s="1268"/>
      <c r="AB99" s="1268"/>
      <c r="AC99" s="1268"/>
      <c r="AD99" s="1268"/>
      <c r="AE99" s="1268"/>
      <c r="AF99" s="1268"/>
      <c r="AG99" s="1268"/>
      <c r="AH99" s="1268"/>
      <c r="AI99" s="1268"/>
      <c r="AJ99" s="1268"/>
      <c r="AK99" s="1268"/>
    </row>
    <row r="100" spans="1:38">
      <c r="A100" s="4"/>
      <c r="D100" s="99"/>
      <c r="E100" s="1278" t="s">
        <v>1279</v>
      </c>
      <c r="F100" s="1278"/>
      <c r="G100" s="1278"/>
      <c r="H100" s="1278"/>
      <c r="I100" s="1278"/>
      <c r="J100" s="1278"/>
      <c r="K100" s="1278"/>
      <c r="L100" s="1278"/>
      <c r="M100" s="1278"/>
      <c r="N100" s="1278"/>
      <c r="O100" s="1278"/>
      <c r="P100" s="1278"/>
      <c r="Q100" s="1278"/>
      <c r="R100" s="1278"/>
      <c r="S100" s="1278"/>
      <c r="T100" s="1278"/>
      <c r="U100" s="1278"/>
      <c r="V100" s="1278"/>
      <c r="W100" s="1278"/>
      <c r="X100" s="1278"/>
      <c r="Y100" s="1278"/>
      <c r="Z100" s="1278"/>
      <c r="AA100" s="1278"/>
      <c r="AB100" s="1278"/>
      <c r="AC100" s="1278"/>
      <c r="AD100" s="1278"/>
      <c r="AE100" s="1278"/>
      <c r="AF100" s="1278"/>
      <c r="AG100" s="1278"/>
      <c r="AH100" s="1278"/>
      <c r="AI100" s="1278"/>
      <c r="AJ100" s="1278"/>
      <c r="AK100" s="1278"/>
    </row>
    <row r="101" spans="1:38">
      <c r="A101" s="4"/>
      <c r="D101" s="99"/>
      <c r="E101" s="1278"/>
      <c r="F101" s="1278"/>
      <c r="G101" s="1278"/>
      <c r="H101" s="1278"/>
      <c r="I101" s="1278"/>
      <c r="J101" s="1278"/>
      <c r="K101" s="1278"/>
      <c r="L101" s="1278"/>
      <c r="M101" s="1278"/>
      <c r="N101" s="1278"/>
      <c r="O101" s="1278"/>
      <c r="P101" s="1278"/>
      <c r="Q101" s="1278"/>
      <c r="R101" s="1278"/>
      <c r="S101" s="1278"/>
      <c r="T101" s="1278"/>
      <c r="U101" s="1278"/>
      <c r="V101" s="1278"/>
      <c r="W101" s="1278"/>
      <c r="X101" s="1278"/>
      <c r="Y101" s="1278"/>
      <c r="Z101" s="1278"/>
      <c r="AA101" s="1278"/>
      <c r="AB101" s="1278"/>
      <c r="AC101" s="1278"/>
      <c r="AD101" s="1278"/>
      <c r="AE101" s="1278"/>
      <c r="AF101" s="1278"/>
      <c r="AG101" s="1278"/>
      <c r="AH101" s="1278"/>
      <c r="AI101" s="1278"/>
      <c r="AJ101" s="1278"/>
      <c r="AK101" s="1278"/>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340</v>
      </c>
      <c r="C103" s="11" t="s">
        <v>421</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430</v>
      </c>
      <c r="E105" s="2"/>
      <c r="F105" s="2"/>
      <c r="G105" s="2" t="s">
        <v>1290</v>
      </c>
      <c r="H105" s="2"/>
      <c r="I105" s="2"/>
      <c r="K105" s="2"/>
    </row>
    <row r="106" spans="1:38">
      <c r="B106" s="2"/>
      <c r="C106" s="2"/>
      <c r="D106" s="2" t="s">
        <v>207</v>
      </c>
      <c r="E106" s="2" t="s">
        <v>1292</v>
      </c>
      <c r="F106" s="2"/>
      <c r="G106" s="2"/>
      <c r="H106" s="2"/>
      <c r="I106" s="2"/>
      <c r="J106" s="2"/>
      <c r="K106" s="2"/>
      <c r="L106" s="2"/>
      <c r="M106" s="2"/>
    </row>
    <row r="107" spans="1:38">
      <c r="B107" s="2"/>
      <c r="C107" s="2"/>
      <c r="E107" s="4" t="s">
        <v>112</v>
      </c>
      <c r="F107" s="98" t="s">
        <v>659</v>
      </c>
      <c r="G107" s="2"/>
      <c r="H107" s="2"/>
      <c r="I107" s="2"/>
      <c r="J107" s="2"/>
      <c r="K107" s="2"/>
    </row>
    <row r="108" spans="1:38">
      <c r="E108" s="4"/>
      <c r="F108" t="s">
        <v>661</v>
      </c>
    </row>
    <row r="109" spans="1:38">
      <c r="E109" s="4"/>
      <c r="F109" t="s">
        <v>662</v>
      </c>
    </row>
    <row r="110" spans="1:38">
      <c r="E110" s="4"/>
    </row>
    <row r="111" spans="1:38">
      <c r="E111" s="4" t="s">
        <v>113</v>
      </c>
      <c r="F111" s="98" t="s">
        <v>663</v>
      </c>
      <c r="G111" s="2"/>
      <c r="H111" s="2"/>
      <c r="I111" s="2"/>
      <c r="J111" s="2"/>
    </row>
    <row r="112" spans="1:38">
      <c r="E112" s="4"/>
      <c r="F112" t="s">
        <v>664</v>
      </c>
    </row>
    <row r="113" spans="2:16">
      <c r="E113" s="4"/>
    </row>
    <row r="114" spans="2:16">
      <c r="E114" s="4" t="s">
        <v>119</v>
      </c>
      <c r="F114" s="98" t="s">
        <v>665</v>
      </c>
      <c r="G114" s="2"/>
      <c r="H114" s="2"/>
      <c r="I114" s="2"/>
      <c r="J114" s="2"/>
      <c r="K114" s="2"/>
      <c r="L114" s="2"/>
      <c r="M114" s="2"/>
      <c r="N114" s="2"/>
      <c r="O114" s="2"/>
      <c r="P114" s="2"/>
    </row>
    <row r="115" spans="2:16">
      <c r="E115" s="4"/>
      <c r="F115" s="4" t="s">
        <v>939</v>
      </c>
    </row>
    <row r="116" spans="2:16" ht="12.75" customHeight="1">
      <c r="F116" s="4" t="s">
        <v>969</v>
      </c>
    </row>
    <row r="117" spans="2:16"/>
    <row r="118" spans="2:16">
      <c r="E118" t="s">
        <v>588</v>
      </c>
      <c r="F118" s="98" t="s">
        <v>940</v>
      </c>
    </row>
    <row r="119" spans="2:16">
      <c r="F119" s="4" t="s">
        <v>1037</v>
      </c>
      <c r="G119" s="4"/>
    </row>
    <row r="120" spans="2:16">
      <c r="F120" s="99" t="s">
        <v>1291</v>
      </c>
      <c r="G120" s="99"/>
    </row>
    <row r="121" spans="2:16">
      <c r="G121" s="99"/>
    </row>
    <row r="122" spans="2:16">
      <c r="E122" s="4" t="s">
        <v>771</v>
      </c>
      <c r="F122" s="98" t="s">
        <v>378</v>
      </c>
    </row>
    <row r="123" spans="2:16">
      <c r="E123" s="4"/>
      <c r="F123" s="4" t="s">
        <v>1029</v>
      </c>
    </row>
    <row r="124" spans="2:16">
      <c r="B124" s="2"/>
      <c r="C124" s="2"/>
      <c r="F124" s="2"/>
    </row>
    <row r="125" spans="2:16">
      <c r="B125" s="2"/>
      <c r="C125" s="2" t="s">
        <v>431</v>
      </c>
      <c r="G125" s="2" t="s">
        <v>379</v>
      </c>
    </row>
    <row r="126" spans="2:16">
      <c r="B126" s="2"/>
      <c r="C126" s="2"/>
      <c r="D126" s="2" t="s">
        <v>207</v>
      </c>
      <c r="E126" s="2" t="s">
        <v>320</v>
      </c>
      <c r="F126" s="2"/>
      <c r="G126" s="2"/>
      <c r="H126" s="2"/>
      <c r="I126" s="2"/>
      <c r="J126" s="2"/>
    </row>
    <row r="127" spans="2:16">
      <c r="B127" s="2"/>
      <c r="C127" s="2"/>
      <c r="E127" s="4" t="s">
        <v>941</v>
      </c>
      <c r="F127" s="4"/>
    </row>
    <row r="128" spans="2:16"/>
    <row r="129" spans="4:37">
      <c r="D129" s="2" t="s">
        <v>341</v>
      </c>
      <c r="E129" s="2" t="s">
        <v>584</v>
      </c>
    </row>
    <row r="130" spans="4:37">
      <c r="E130" s="4" t="s">
        <v>941</v>
      </c>
      <c r="F130" s="4"/>
    </row>
    <row r="131" spans="4:37"/>
    <row r="132" spans="4:37">
      <c r="D132" s="2" t="s">
        <v>581</v>
      </c>
      <c r="E132" s="2" t="s">
        <v>732</v>
      </c>
      <c r="G132" s="2"/>
      <c r="H132" s="2"/>
      <c r="I132" s="2"/>
      <c r="J132" s="2"/>
      <c r="K132" s="2"/>
      <c r="L132" s="2"/>
      <c r="M132" s="2"/>
      <c r="N132" s="2"/>
    </row>
    <row r="133" spans="4:37">
      <c r="D133" s="2"/>
      <c r="E133" s="119" t="s">
        <v>1365</v>
      </c>
      <c r="G133" s="2"/>
      <c r="H133" s="2"/>
      <c r="I133" s="2"/>
      <c r="J133" s="2"/>
      <c r="K133" s="2"/>
      <c r="L133" s="2"/>
      <c r="M133" s="2"/>
      <c r="N133" s="2"/>
    </row>
    <row r="134" spans="4:37" ht="12.75" customHeight="1">
      <c r="E134" s="119" t="s">
        <v>1363</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1364</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521</v>
      </c>
      <c r="E137" s="2" t="s">
        <v>524</v>
      </c>
      <c r="F137" s="2"/>
    </row>
    <row r="138" spans="4:37">
      <c r="E138" s="3" t="s">
        <v>1317</v>
      </c>
      <c r="F138" s="4"/>
    </row>
    <row r="139" spans="4:37">
      <c r="F139" s="4"/>
    </row>
    <row r="140" spans="4:37">
      <c r="D140" s="2" t="s">
        <v>303</v>
      </c>
      <c r="E140" s="2" t="s">
        <v>2354</v>
      </c>
      <c r="F140" s="2"/>
      <c r="G140" s="2"/>
      <c r="H140" s="2"/>
    </row>
    <row r="141" spans="4:37">
      <c r="E141" t="s">
        <v>112</v>
      </c>
      <c r="F141" t="s">
        <v>52</v>
      </c>
    </row>
    <row r="142" spans="4:37">
      <c r="E142" t="s">
        <v>113</v>
      </c>
      <c r="F142" t="s">
        <v>473</v>
      </c>
    </row>
    <row r="143" spans="4:37"/>
    <row r="144" spans="4:37">
      <c r="D144" s="2" t="s">
        <v>429</v>
      </c>
      <c r="E144" s="2" t="s">
        <v>2355</v>
      </c>
    </row>
    <row r="145" spans="3:7">
      <c r="E145" s="218" t="s">
        <v>2356</v>
      </c>
      <c r="F145" s="218"/>
    </row>
    <row r="146" spans="3:7"/>
    <row r="147" spans="3:7">
      <c r="C147" s="2" t="s">
        <v>6</v>
      </c>
      <c r="G147" s="2" t="s">
        <v>380</v>
      </c>
    </row>
    <row r="148" spans="3:7">
      <c r="D148" s="2" t="s">
        <v>207</v>
      </c>
      <c r="E148" s="2" t="s">
        <v>135</v>
      </c>
    </row>
    <row r="149" spans="3:7">
      <c r="E149" t="s">
        <v>805</v>
      </c>
    </row>
    <row r="150" spans="3:7"/>
    <row r="151" spans="3:7">
      <c r="D151" s="2" t="s">
        <v>341</v>
      </c>
      <c r="E151" s="2" t="s">
        <v>531</v>
      </c>
      <c r="F151" s="2"/>
    </row>
    <row r="152" spans="3:7">
      <c r="E152" s="4" t="s">
        <v>943</v>
      </c>
      <c r="F152" s="4"/>
    </row>
    <row r="153" spans="3:7"/>
    <row r="154" spans="3:7">
      <c r="D154" s="2" t="s">
        <v>581</v>
      </c>
      <c r="E154" s="2" t="s">
        <v>560</v>
      </c>
    </row>
    <row r="155" spans="3:7">
      <c r="E155" s="4" t="s">
        <v>944</v>
      </c>
    </row>
    <row r="156" spans="3:7">
      <c r="E156" s="4" t="s">
        <v>942</v>
      </c>
      <c r="G156" s="4"/>
    </row>
    <row r="157" spans="3:7"/>
    <row r="158" spans="3:7">
      <c r="D158" s="2" t="s">
        <v>521</v>
      </c>
      <c r="E158" s="2" t="s">
        <v>540</v>
      </c>
    </row>
    <row r="159" spans="3:7">
      <c r="E159" t="s">
        <v>112</v>
      </c>
      <c r="F159" s="4" t="s">
        <v>945</v>
      </c>
    </row>
    <row r="160" spans="3:7">
      <c r="E160" s="4" t="s">
        <v>113</v>
      </c>
      <c r="F160" s="4" t="s">
        <v>946</v>
      </c>
    </row>
    <row r="161" spans="3:20">
      <c r="E161" s="4" t="s">
        <v>119</v>
      </c>
      <c r="F161" t="s">
        <v>733</v>
      </c>
    </row>
    <row r="162" spans="3:20"/>
    <row r="163" spans="3:20">
      <c r="D163" s="2" t="s">
        <v>303</v>
      </c>
      <c r="E163" s="2" t="s">
        <v>381</v>
      </c>
    </row>
    <row r="164" spans="3:20">
      <c r="E164" s="4" t="s">
        <v>947</v>
      </c>
      <c r="F164" s="4"/>
    </row>
    <row r="165" spans="3:20"/>
    <row r="166" spans="3:20">
      <c r="D166" s="2" t="s">
        <v>429</v>
      </c>
      <c r="E166" s="2" t="s">
        <v>171</v>
      </c>
    </row>
    <row r="167" spans="3:20">
      <c r="E167" s="4" t="s">
        <v>949</v>
      </c>
    </row>
    <row r="168" spans="3:20">
      <c r="E168" s="4" t="s">
        <v>948</v>
      </c>
    </row>
    <row r="169" spans="3:20"/>
    <row r="170" spans="3:20">
      <c r="D170" s="2" t="s">
        <v>564</v>
      </c>
      <c r="E170" s="2" t="s">
        <v>629</v>
      </c>
    </row>
    <row r="171" spans="3:20">
      <c r="E171" t="s">
        <v>112</v>
      </c>
      <c r="F171" t="s">
        <v>734</v>
      </c>
    </row>
    <row r="172" spans="3:20">
      <c r="E172" t="s">
        <v>113</v>
      </c>
      <c r="F172" t="s">
        <v>297</v>
      </c>
    </row>
    <row r="173" spans="3:20">
      <c r="F173" s="4"/>
    </row>
    <row r="174" spans="3:20">
      <c r="C174" s="2" t="s">
        <v>7</v>
      </c>
      <c r="E174" s="4"/>
      <c r="G174" s="2" t="s">
        <v>382</v>
      </c>
    </row>
    <row r="175" spans="3:20">
      <c r="E175" s="4" t="s">
        <v>877</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584</v>
      </c>
    </row>
    <row r="178" spans="2:19">
      <c r="D178" s="2" t="s">
        <v>207</v>
      </c>
      <c r="E178" s="2" t="s">
        <v>298</v>
      </c>
      <c r="G178" s="4"/>
      <c r="H178" s="4"/>
      <c r="I178" s="4"/>
      <c r="J178" s="4"/>
      <c r="K178" s="4"/>
      <c r="L178" s="4"/>
      <c r="M178" s="4"/>
      <c r="N178" s="4"/>
    </row>
    <row r="179" spans="2:19">
      <c r="E179" t="s">
        <v>112</v>
      </c>
      <c r="F179" s="4" t="s">
        <v>950</v>
      </c>
    </row>
    <row r="180" spans="2:19">
      <c r="F180" s="120" t="s">
        <v>1248</v>
      </c>
      <c r="I180" s="120"/>
    </row>
    <row r="181" spans="2:19">
      <c r="I181" s="120"/>
    </row>
    <row r="182" spans="2:19">
      <c r="B182" s="4"/>
      <c r="C182" s="4"/>
      <c r="E182" t="s">
        <v>113</v>
      </c>
      <c r="F182" s="3" t="s">
        <v>878</v>
      </c>
      <c r="H182" s="4"/>
    </row>
    <row r="183" spans="2:19">
      <c r="B183" s="4"/>
      <c r="C183" s="4"/>
      <c r="F183" t="s">
        <v>660</v>
      </c>
      <c r="G183" t="s">
        <v>716</v>
      </c>
      <c r="H183" s="4"/>
      <c r="O183" s="4"/>
      <c r="P183" s="4"/>
      <c r="Q183" s="4"/>
      <c r="R183" s="4"/>
      <c r="S183" s="4"/>
    </row>
    <row r="184" spans="2:19">
      <c r="B184" s="4"/>
      <c r="C184" s="4"/>
      <c r="H184" s="4"/>
      <c r="O184" s="4"/>
      <c r="P184" s="4"/>
      <c r="Q184" s="4"/>
      <c r="R184" s="4"/>
      <c r="S184" s="4"/>
    </row>
    <row r="185" spans="2:19">
      <c r="D185" s="2" t="s">
        <v>341</v>
      </c>
      <c r="E185" s="2" t="s">
        <v>1030</v>
      </c>
    </row>
    <row r="186" spans="2:19">
      <c r="B186" s="4"/>
      <c r="C186" s="4"/>
      <c r="E186" s="4" t="s">
        <v>717</v>
      </c>
      <c r="F186" s="4"/>
      <c r="I186" s="4"/>
    </row>
    <row r="187" spans="2:19">
      <c r="B187" s="4"/>
      <c r="C187" s="4"/>
      <c r="E187" s="4" t="s">
        <v>1028</v>
      </c>
      <c r="F187" s="120"/>
      <c r="G187" s="4"/>
      <c r="I187" s="120"/>
    </row>
    <row r="188" spans="2:19">
      <c r="B188" s="4"/>
      <c r="C188" s="4"/>
      <c r="F188" s="120"/>
      <c r="G188" s="4"/>
      <c r="I188" s="120"/>
    </row>
    <row r="189" spans="2:19">
      <c r="B189" s="4"/>
      <c r="C189" s="4"/>
      <c r="D189" s="2" t="s">
        <v>581</v>
      </c>
      <c r="E189" s="2" t="s">
        <v>3</v>
      </c>
      <c r="F189" s="120"/>
      <c r="G189" s="4"/>
      <c r="I189" s="120"/>
    </row>
    <row r="190" spans="2:19">
      <c r="B190" s="4"/>
      <c r="C190" s="4"/>
      <c r="D190" s="2"/>
      <c r="E190" s="4" t="s">
        <v>299</v>
      </c>
      <c r="F190" s="4"/>
      <c r="G190" s="4"/>
      <c r="I190" s="120"/>
    </row>
    <row r="191" spans="2:19">
      <c r="B191" s="4"/>
      <c r="C191" s="4"/>
      <c r="F191" s="120"/>
      <c r="G191" s="4"/>
      <c r="I191" s="120"/>
    </row>
    <row r="192" spans="2:19">
      <c r="D192" s="2" t="s">
        <v>521</v>
      </c>
      <c r="E192" s="2" t="s">
        <v>111</v>
      </c>
    </row>
    <row r="193" spans="2:37">
      <c r="B193" s="4"/>
      <c r="C193" s="2"/>
      <c r="E193" t="s">
        <v>112</v>
      </c>
      <c r="F193" s="4" t="s">
        <v>1038</v>
      </c>
      <c r="G193" s="4"/>
      <c r="H193" s="4"/>
      <c r="I193" s="4"/>
    </row>
    <row r="194" spans="2:37">
      <c r="B194" s="4"/>
      <c r="C194" s="2"/>
      <c r="F194" s="4" t="s">
        <v>660</v>
      </c>
      <c r="G194" s="3" t="s">
        <v>1311</v>
      </c>
    </row>
    <row r="195" spans="2:37">
      <c r="B195" s="4"/>
      <c r="C195" s="4"/>
      <c r="F195" s="4" t="s">
        <v>348</v>
      </c>
      <c r="G195" s="3" t="s">
        <v>1312</v>
      </c>
      <c r="I195" s="4"/>
      <c r="J195" s="4"/>
      <c r="M195" s="4"/>
      <c r="N195" s="4"/>
      <c r="O195" s="4"/>
      <c r="P195" s="4"/>
      <c r="Q195" s="4"/>
      <c r="R195" s="4"/>
      <c r="S195" s="4"/>
    </row>
    <row r="196" spans="2:37">
      <c r="B196" s="4"/>
      <c r="C196" s="4"/>
      <c r="F196" s="4" t="s">
        <v>349</v>
      </c>
      <c r="G196" s="4" t="s">
        <v>951</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303</v>
      </c>
      <c r="E198" s="2" t="s">
        <v>114</v>
      </c>
      <c r="G198" s="4"/>
      <c r="H198" s="4"/>
      <c r="I198" s="4"/>
      <c r="J198" s="4"/>
      <c r="M198" s="4"/>
      <c r="N198" s="4"/>
      <c r="O198" s="4"/>
      <c r="P198" s="4"/>
      <c r="Q198" s="4"/>
      <c r="R198" s="4"/>
      <c r="S198" s="4"/>
    </row>
    <row r="199" spans="2:37">
      <c r="B199" s="4"/>
      <c r="C199" s="4"/>
      <c r="D199" s="4"/>
      <c r="E199" s="4" t="s">
        <v>952</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429</v>
      </c>
      <c r="E201" s="2" t="s">
        <v>120</v>
      </c>
      <c r="G201" s="4"/>
      <c r="H201" s="4"/>
      <c r="I201" s="4"/>
      <c r="J201" s="4"/>
      <c r="M201" s="4"/>
      <c r="N201" s="4"/>
      <c r="O201" s="4"/>
      <c r="P201" s="4"/>
      <c r="Q201" s="4"/>
      <c r="R201" s="4"/>
      <c r="S201" s="4"/>
    </row>
    <row r="202" spans="2:37">
      <c r="B202" s="4"/>
      <c r="C202" s="4"/>
      <c r="D202" s="2"/>
      <c r="E202" s="4" t="s">
        <v>112</v>
      </c>
      <c r="F202" s="4" t="s">
        <v>953</v>
      </c>
      <c r="M202" s="4"/>
      <c r="N202" s="4"/>
      <c r="O202" s="4"/>
      <c r="P202" s="4"/>
      <c r="Q202" s="4"/>
      <c r="R202" s="4"/>
      <c r="S202" s="4"/>
    </row>
    <row r="203" spans="2:37">
      <c r="B203" s="4"/>
      <c r="C203" s="4"/>
      <c r="D203" s="2"/>
      <c r="E203" s="4" t="s">
        <v>113</v>
      </c>
      <c r="F203" s="4" t="s">
        <v>1039</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718</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660</v>
      </c>
      <c r="G205" s="4" t="s">
        <v>954</v>
      </c>
      <c r="I205" s="4"/>
      <c r="J205" s="4"/>
      <c r="M205" s="4"/>
      <c r="N205" s="4"/>
      <c r="O205" s="4"/>
      <c r="P205" s="4"/>
      <c r="Q205" s="4"/>
      <c r="R205" s="4"/>
      <c r="S205" s="4"/>
      <c r="T205" s="4"/>
      <c r="U205" s="4"/>
      <c r="V205" s="4"/>
      <c r="W205" s="4"/>
      <c r="X205" s="4"/>
      <c r="Y205" s="4"/>
    </row>
    <row r="206" spans="2:37">
      <c r="B206" s="4"/>
      <c r="C206" s="4"/>
      <c r="D206" s="2"/>
      <c r="E206" s="4" t="s">
        <v>588</v>
      </c>
      <c r="F206" s="4" t="s">
        <v>955</v>
      </c>
      <c r="M206" s="4"/>
      <c r="N206" s="4"/>
      <c r="O206" s="4"/>
      <c r="P206" s="4"/>
      <c r="Q206" s="4"/>
      <c r="R206" s="4"/>
      <c r="S206" s="4"/>
    </row>
    <row r="207" spans="2:37">
      <c r="B207" s="4"/>
      <c r="C207" s="4"/>
      <c r="D207" s="2"/>
      <c r="F207" t="s">
        <v>660</v>
      </c>
      <c r="G207" s="1268" t="s">
        <v>1280</v>
      </c>
      <c r="H207" s="1268"/>
      <c r="I207" s="1268"/>
      <c r="J207" s="1268"/>
      <c r="K207" s="1268"/>
      <c r="L207" s="1268"/>
      <c r="M207" s="1268"/>
      <c r="N207" s="1268"/>
      <c r="O207" s="1268"/>
      <c r="P207" s="1268"/>
      <c r="Q207" s="1268"/>
      <c r="R207" s="1268"/>
      <c r="S207" s="1268"/>
      <c r="T207" s="1268"/>
      <c r="U207" s="1268"/>
      <c r="V207" s="1268"/>
      <c r="W207" s="1268"/>
      <c r="X207" s="1268"/>
      <c r="Y207" s="1268"/>
      <c r="Z207" s="1268"/>
      <c r="AA207" s="1268"/>
      <c r="AB207" s="1268"/>
      <c r="AC207" s="1268"/>
      <c r="AD207" s="1268"/>
      <c r="AE207" s="1268"/>
      <c r="AF207" s="1268"/>
      <c r="AG207" s="1268"/>
      <c r="AH207" s="1268"/>
      <c r="AI207" s="1268"/>
      <c r="AJ207" s="1268"/>
      <c r="AK207" s="1268"/>
    </row>
    <row r="208" spans="2:37">
      <c r="B208" s="4"/>
      <c r="C208" s="4"/>
      <c r="D208" s="2"/>
      <c r="G208" s="1268"/>
      <c r="H208" s="1268"/>
      <c r="I208" s="1268"/>
      <c r="J208" s="1268"/>
      <c r="K208" s="1268"/>
      <c r="L208" s="1268"/>
      <c r="M208" s="1268"/>
      <c r="N208" s="1268"/>
      <c r="O208" s="1268"/>
      <c r="P208" s="1268"/>
      <c r="Q208" s="1268"/>
      <c r="R208" s="1268"/>
      <c r="S208" s="1268"/>
      <c r="T208" s="1268"/>
      <c r="U208" s="1268"/>
      <c r="V208" s="1268"/>
      <c r="W208" s="1268"/>
      <c r="X208" s="1268"/>
      <c r="Y208" s="1268"/>
      <c r="Z208" s="1268"/>
      <c r="AA208" s="1268"/>
      <c r="AB208" s="1268"/>
      <c r="AC208" s="1268"/>
      <c r="AD208" s="1268"/>
      <c r="AE208" s="1268"/>
      <c r="AF208" s="1268"/>
      <c r="AG208" s="1268"/>
      <c r="AH208" s="1268"/>
      <c r="AI208" s="1268"/>
      <c r="AJ208" s="1268"/>
      <c r="AK208" s="1268"/>
    </row>
    <row r="209" spans="1:38">
      <c r="B209" s="4"/>
      <c r="C209" s="4"/>
      <c r="D209" s="2"/>
      <c r="M209" s="4"/>
      <c r="N209" s="4"/>
      <c r="O209" s="4"/>
      <c r="P209" s="4"/>
      <c r="Q209" s="4"/>
      <c r="R209" s="4"/>
      <c r="S209" s="4"/>
    </row>
    <row r="210" spans="1:38">
      <c r="B210" s="4"/>
      <c r="C210" s="4"/>
      <c r="D210" s="2" t="s">
        <v>564</v>
      </c>
      <c r="E210" s="2" t="s">
        <v>772</v>
      </c>
      <c r="G210" s="4"/>
      <c r="H210" s="4"/>
      <c r="I210" s="4"/>
      <c r="J210" s="4"/>
      <c r="M210" s="4"/>
      <c r="N210" s="4"/>
      <c r="O210" s="4"/>
      <c r="P210" s="4"/>
      <c r="Q210" s="4"/>
      <c r="R210" s="4"/>
      <c r="S210" s="4"/>
      <c r="T210" s="4"/>
      <c r="U210" s="4"/>
      <c r="V210" s="4"/>
      <c r="W210" s="4"/>
    </row>
    <row r="211" spans="1:38">
      <c r="B211" s="4"/>
      <c r="C211" s="4"/>
      <c r="E211" s="4" t="s">
        <v>719</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562</v>
      </c>
      <c r="E213" s="2" t="s">
        <v>248</v>
      </c>
      <c r="F213" s="4"/>
      <c r="G213" s="4"/>
      <c r="I213" s="4"/>
      <c r="J213" s="4"/>
      <c r="M213" s="4"/>
      <c r="N213" s="4"/>
      <c r="O213" s="4"/>
      <c r="P213" s="4"/>
      <c r="Q213" s="4"/>
      <c r="R213" s="4"/>
      <c r="S213" s="4"/>
      <c r="T213" s="4"/>
      <c r="U213" s="4"/>
      <c r="V213" s="4"/>
      <c r="W213" s="4"/>
    </row>
    <row r="214" spans="1:38">
      <c r="B214" s="4"/>
      <c r="C214" s="4"/>
      <c r="D214" s="2"/>
      <c r="E214" s="4" t="s">
        <v>299</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720</v>
      </c>
      <c r="D216" s="2"/>
      <c r="G216" s="2" t="s">
        <v>817</v>
      </c>
      <c r="M216" s="4"/>
      <c r="N216" s="4"/>
      <c r="O216" s="4"/>
      <c r="P216" s="4"/>
      <c r="Q216" s="4"/>
      <c r="R216" s="4"/>
      <c r="S216" s="4"/>
    </row>
    <row r="217" spans="1:38">
      <c r="B217" s="4"/>
      <c r="C217" s="4"/>
      <c r="E217" t="s">
        <v>112</v>
      </c>
      <c r="F217" s="4" t="s">
        <v>816</v>
      </c>
      <c r="G217" s="4"/>
      <c r="H217" s="4"/>
      <c r="I217" s="4"/>
      <c r="L217" s="4"/>
      <c r="N217" s="4"/>
      <c r="O217" s="4"/>
      <c r="P217" s="4"/>
      <c r="Q217" s="4"/>
      <c r="R217" s="4"/>
      <c r="S217" s="4"/>
    </row>
    <row r="218" spans="1:38">
      <c r="B218" s="4"/>
      <c r="C218" s="4"/>
      <c r="F218" s="4" t="s">
        <v>660</v>
      </c>
      <c r="G218" s="4" t="s">
        <v>723</v>
      </c>
      <c r="I218" s="4"/>
      <c r="M218" s="4"/>
      <c r="N218" s="4"/>
      <c r="O218" s="4"/>
      <c r="P218" s="4"/>
      <c r="Q218" s="4"/>
      <c r="R218" s="4"/>
      <c r="S218" s="4"/>
    </row>
    <row r="219" spans="1:38">
      <c r="B219" s="4"/>
      <c r="C219" s="4"/>
      <c r="E219" t="s">
        <v>113</v>
      </c>
      <c r="F219" s="4" t="s">
        <v>400</v>
      </c>
      <c r="G219" s="4"/>
      <c r="H219" s="4"/>
      <c r="I219" s="4"/>
      <c r="M219" s="4"/>
      <c r="N219" s="4"/>
      <c r="O219" s="4"/>
      <c r="P219" s="4"/>
      <c r="Q219" s="4"/>
      <c r="R219" s="4"/>
      <c r="S219" s="4"/>
    </row>
    <row r="220" spans="1:38">
      <c r="B220" s="4"/>
      <c r="C220" s="4"/>
      <c r="F220" s="4" t="s">
        <v>660</v>
      </c>
      <c r="G220" s="4" t="s">
        <v>721</v>
      </c>
      <c r="I220" s="4"/>
      <c r="M220" s="4"/>
      <c r="N220" s="4"/>
      <c r="O220" s="4"/>
      <c r="P220" s="4"/>
      <c r="Q220" s="4"/>
      <c r="R220" s="4"/>
      <c r="S220" s="4"/>
    </row>
    <row r="221" spans="1:38">
      <c r="B221" s="4"/>
      <c r="C221" s="4"/>
      <c r="F221" s="4"/>
      <c r="G221" s="4" t="s">
        <v>722</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178</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430</v>
      </c>
      <c r="D225" s="4"/>
      <c r="E225" s="4"/>
      <c r="F225" s="4"/>
      <c r="G225" s="2" t="s">
        <v>459</v>
      </c>
      <c r="I225" s="4"/>
      <c r="J225" s="4"/>
      <c r="K225" s="4"/>
      <c r="M225" s="4"/>
      <c r="N225" s="4"/>
      <c r="O225" s="4"/>
      <c r="P225" s="4"/>
      <c r="Q225" s="4"/>
      <c r="R225" s="4"/>
      <c r="S225" s="4"/>
    </row>
    <row r="226" spans="2:19">
      <c r="B226" s="2"/>
      <c r="E226" s="4" t="s">
        <v>112</v>
      </c>
      <c r="F226" s="4" t="s">
        <v>724</v>
      </c>
      <c r="G226" s="4"/>
      <c r="I226" s="4"/>
      <c r="J226" s="4"/>
      <c r="K226" s="4"/>
      <c r="L226" s="4"/>
      <c r="M226" s="4"/>
      <c r="N226" s="4"/>
      <c r="O226" s="4"/>
      <c r="P226" s="4"/>
      <c r="Q226" s="4"/>
      <c r="R226" s="4"/>
      <c r="S226" s="4"/>
    </row>
    <row r="227" spans="2:19">
      <c r="B227" s="2"/>
      <c r="E227" s="4" t="s">
        <v>113</v>
      </c>
      <c r="F227" s="4" t="s">
        <v>687</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431</v>
      </c>
      <c r="D229" s="4"/>
      <c r="E229" s="4"/>
      <c r="F229" s="4"/>
      <c r="G229" s="2" t="s">
        <v>21</v>
      </c>
      <c r="I229" s="4"/>
      <c r="J229" s="4"/>
      <c r="K229" s="4"/>
      <c r="L229" s="4"/>
      <c r="M229" s="4"/>
      <c r="N229" s="4"/>
      <c r="O229" s="4"/>
      <c r="P229" s="4"/>
      <c r="Q229" s="4"/>
      <c r="R229" s="4"/>
      <c r="S229" s="4"/>
    </row>
    <row r="230" spans="2:19">
      <c r="B230" s="2"/>
      <c r="E230" s="4" t="s">
        <v>112</v>
      </c>
      <c r="F230" s="4" t="s">
        <v>725</v>
      </c>
      <c r="G230" s="4"/>
      <c r="I230" s="4"/>
      <c r="J230" s="4"/>
      <c r="K230" s="4"/>
      <c r="L230" s="4"/>
      <c r="M230" s="4"/>
      <c r="N230" s="4"/>
      <c r="O230" s="4"/>
      <c r="P230" s="4"/>
      <c r="Q230" s="4"/>
      <c r="R230" s="4"/>
      <c r="S230" s="4"/>
    </row>
    <row r="231" spans="2:19">
      <c r="B231" s="2"/>
      <c r="E231" s="4"/>
      <c r="F231" s="4" t="s">
        <v>726</v>
      </c>
      <c r="G231" s="4"/>
      <c r="H231" s="4"/>
      <c r="I231" s="4"/>
      <c r="J231" s="4"/>
      <c r="K231" s="4"/>
      <c r="L231" s="4"/>
      <c r="M231" s="4"/>
      <c r="N231" s="4"/>
      <c r="O231" s="4"/>
      <c r="P231" s="4"/>
      <c r="Q231" s="4"/>
      <c r="R231" s="4"/>
      <c r="S231" s="4"/>
    </row>
    <row r="232" spans="2:19">
      <c r="B232" s="2"/>
      <c r="D232" s="4"/>
      <c r="E232" s="4" t="s">
        <v>113</v>
      </c>
      <c r="F232" s="4" t="s">
        <v>687</v>
      </c>
      <c r="G232" s="4"/>
      <c r="I232" s="4"/>
      <c r="J232" s="4"/>
      <c r="K232" s="4"/>
      <c r="L232" s="4"/>
      <c r="M232" s="4"/>
      <c r="N232" s="4"/>
      <c r="O232" s="4"/>
      <c r="P232" s="4"/>
      <c r="Q232" s="4"/>
      <c r="R232" s="4"/>
      <c r="S232" s="4"/>
    </row>
    <row r="233" spans="2:19">
      <c r="B233" s="2"/>
      <c r="E233" s="4" t="s">
        <v>119</v>
      </c>
      <c r="F233" s="98" t="s">
        <v>970</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327</v>
      </c>
      <c r="F235" s="4"/>
      <c r="J235" s="4"/>
      <c r="K235" s="4"/>
      <c r="M235" s="4"/>
      <c r="N235" s="4"/>
      <c r="O235" s="4"/>
      <c r="P235" s="4"/>
      <c r="Q235" s="4"/>
      <c r="R235" s="4"/>
      <c r="S235" s="4"/>
    </row>
    <row r="236" spans="2:19">
      <c r="B236" s="4"/>
      <c r="C236" s="4"/>
      <c r="E236" t="s">
        <v>112</v>
      </c>
      <c r="F236" s="4" t="s">
        <v>327</v>
      </c>
      <c r="G236" s="2"/>
      <c r="H236" s="2"/>
      <c r="I236" s="2"/>
      <c r="L236" s="2"/>
      <c r="M236" s="2"/>
      <c r="N236" s="2"/>
      <c r="O236" s="2"/>
      <c r="P236" s="2"/>
      <c r="Q236" s="2"/>
      <c r="R236" s="4"/>
      <c r="S236" s="4"/>
    </row>
    <row r="237" spans="2:19">
      <c r="B237" s="4"/>
      <c r="C237" s="4"/>
      <c r="F237" s="4" t="s">
        <v>660</v>
      </c>
      <c r="G237" s="4" t="s">
        <v>727</v>
      </c>
      <c r="I237" s="4"/>
      <c r="M237" s="4"/>
      <c r="N237" s="4"/>
      <c r="O237" s="4"/>
      <c r="P237" s="4"/>
      <c r="Q237" s="4"/>
      <c r="R237" s="4"/>
      <c r="S237" s="4"/>
    </row>
    <row r="238" spans="2:19">
      <c r="B238" s="4"/>
      <c r="C238" s="4"/>
      <c r="F238" s="4"/>
      <c r="G238" s="4" t="s">
        <v>806</v>
      </c>
      <c r="I238" s="4"/>
      <c r="M238" s="4"/>
      <c r="N238" s="4"/>
      <c r="O238" s="4"/>
      <c r="P238" s="4"/>
      <c r="Q238" s="4"/>
      <c r="R238" s="4"/>
      <c r="S238" s="4"/>
    </row>
    <row r="239" spans="2:19">
      <c r="B239" s="4"/>
      <c r="C239" s="4"/>
      <c r="E239" t="s">
        <v>113</v>
      </c>
      <c r="F239" s="136" t="s">
        <v>446</v>
      </c>
      <c r="G239" s="2"/>
      <c r="H239" s="2"/>
      <c r="I239" s="2"/>
      <c r="L239" s="2"/>
      <c r="M239" s="2"/>
      <c r="N239" s="2"/>
      <c r="O239" s="2"/>
      <c r="P239" s="2"/>
      <c r="Q239" s="2"/>
      <c r="R239" s="2"/>
      <c r="S239" s="2"/>
    </row>
    <row r="240" spans="2:19">
      <c r="B240" s="4"/>
      <c r="C240" s="4"/>
      <c r="F240" s="4" t="s">
        <v>660</v>
      </c>
      <c r="G240" s="4" t="s">
        <v>730</v>
      </c>
      <c r="I240" s="4"/>
      <c r="M240" s="4"/>
      <c r="N240" s="4"/>
      <c r="O240" s="4"/>
      <c r="P240" s="4"/>
      <c r="Q240" s="4"/>
      <c r="R240" s="4"/>
      <c r="S240" s="4"/>
    </row>
    <row r="241" spans="2:21">
      <c r="B241" s="4"/>
      <c r="C241" s="4"/>
      <c r="F241" s="4"/>
      <c r="G241" s="4" t="s">
        <v>695</v>
      </c>
      <c r="H241" s="4" t="s">
        <v>959</v>
      </c>
      <c r="I241" s="4"/>
      <c r="M241" s="4"/>
      <c r="N241" s="4"/>
      <c r="O241" s="4"/>
      <c r="P241" s="4"/>
      <c r="Q241" s="4"/>
      <c r="R241" s="4"/>
      <c r="S241" s="4"/>
    </row>
    <row r="242" spans="2:21">
      <c r="B242" s="4"/>
      <c r="C242" s="4"/>
      <c r="F242" s="4" t="s">
        <v>348</v>
      </c>
      <c r="G242" s="136" t="s">
        <v>731</v>
      </c>
      <c r="I242" s="4"/>
      <c r="M242" s="4"/>
      <c r="N242" s="4"/>
      <c r="O242" s="4"/>
      <c r="P242" s="4"/>
      <c r="Q242" s="4"/>
      <c r="R242" s="4"/>
      <c r="S242" s="4"/>
    </row>
    <row r="243" spans="2:21">
      <c r="B243" s="4"/>
      <c r="C243" s="4"/>
      <c r="E243" t="s">
        <v>119</v>
      </c>
      <c r="F243" s="4" t="s">
        <v>660</v>
      </c>
      <c r="G243" s="136" t="s">
        <v>960</v>
      </c>
      <c r="I243" s="4"/>
      <c r="M243" s="4"/>
      <c r="N243" s="4"/>
      <c r="O243" s="4"/>
      <c r="P243" s="4"/>
      <c r="Q243" s="4"/>
      <c r="R243" s="4"/>
      <c r="S243" s="4"/>
    </row>
    <row r="244" spans="2:21">
      <c r="B244" s="4"/>
      <c r="C244" s="4"/>
      <c r="F244" s="4" t="s">
        <v>348</v>
      </c>
      <c r="G244" s="136" t="s">
        <v>961</v>
      </c>
      <c r="I244" s="4"/>
      <c r="M244" s="4"/>
      <c r="N244" s="4"/>
      <c r="O244" s="4"/>
      <c r="P244" s="4"/>
      <c r="Q244" s="4"/>
      <c r="R244" s="4"/>
      <c r="S244" s="4"/>
    </row>
    <row r="245" spans="2:21">
      <c r="B245" s="4"/>
      <c r="C245" s="4"/>
      <c r="F245" s="4" t="s">
        <v>349</v>
      </c>
      <c r="G245" s="136" t="s">
        <v>728</v>
      </c>
      <c r="I245" s="4"/>
      <c r="M245" s="4"/>
      <c r="N245" s="4"/>
      <c r="O245" s="4"/>
      <c r="P245" s="4"/>
      <c r="Q245" s="4"/>
      <c r="R245" s="4"/>
      <c r="S245" s="4"/>
    </row>
    <row r="246" spans="2:21">
      <c r="B246" s="4"/>
      <c r="C246" s="4"/>
      <c r="F246" s="4"/>
      <c r="G246" s="136" t="s">
        <v>729</v>
      </c>
      <c r="I246" s="4"/>
      <c r="M246" s="4"/>
      <c r="N246" s="4"/>
      <c r="O246" s="4"/>
      <c r="P246" s="4"/>
      <c r="Q246" s="4"/>
      <c r="R246" s="4"/>
      <c r="S246" s="4"/>
    </row>
    <row r="247" spans="2:21">
      <c r="B247" s="4"/>
      <c r="C247" s="4"/>
      <c r="D247" s="2"/>
      <c r="E247" s="4" t="s">
        <v>119</v>
      </c>
      <c r="F247" s="4" t="s">
        <v>328</v>
      </c>
      <c r="H247" s="4"/>
      <c r="I247" s="4"/>
      <c r="M247" s="4"/>
      <c r="N247" s="4"/>
      <c r="O247" s="4"/>
      <c r="P247" s="4"/>
      <c r="Q247" s="4"/>
      <c r="R247" s="4"/>
      <c r="S247" s="4"/>
    </row>
    <row r="248" spans="2:21">
      <c r="B248" s="4"/>
      <c r="C248" s="4"/>
      <c r="D248" s="2"/>
      <c r="E248" s="2"/>
      <c r="F248" t="s">
        <v>660</v>
      </c>
      <c r="G248" s="4" t="s">
        <v>433</v>
      </c>
      <c r="I248" s="4"/>
      <c r="M248" s="4"/>
      <c r="N248" s="4"/>
      <c r="O248" s="4"/>
      <c r="P248" s="4"/>
      <c r="Q248" s="4"/>
      <c r="R248" s="4"/>
      <c r="S248" s="4"/>
    </row>
    <row r="249" spans="2:21">
      <c r="B249" s="4"/>
      <c r="C249" s="4"/>
      <c r="D249" s="2"/>
      <c r="E249" s="2"/>
      <c r="F249" s="4"/>
      <c r="G249" s="4" t="s">
        <v>434</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383</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1249</v>
      </c>
      <c r="G253" s="4"/>
      <c r="I253" s="120"/>
      <c r="J253" s="4"/>
      <c r="K253" s="4"/>
      <c r="L253" s="4"/>
      <c r="M253" s="4"/>
      <c r="N253" s="4"/>
      <c r="O253" s="4"/>
      <c r="P253" s="4"/>
      <c r="Q253" s="4"/>
      <c r="R253" s="4"/>
      <c r="S253" s="4"/>
      <c r="T253" s="4"/>
      <c r="U253" s="4"/>
    </row>
    <row r="254" spans="2:21">
      <c r="B254" s="2"/>
      <c r="C254" s="2"/>
      <c r="E254" s="4" t="s">
        <v>113</v>
      </c>
      <c r="F254" s="4" t="s">
        <v>956</v>
      </c>
      <c r="I254" s="4"/>
      <c r="J254" s="4"/>
      <c r="K254" s="4"/>
      <c r="L254" s="4"/>
      <c r="M254" s="4"/>
      <c r="N254" s="4"/>
      <c r="O254" s="4"/>
      <c r="P254" s="4"/>
      <c r="Q254" s="4"/>
      <c r="R254" s="4"/>
      <c r="S254" s="4"/>
      <c r="T254" s="4"/>
      <c r="U254" s="4"/>
    </row>
    <row r="255" spans="2:21">
      <c r="B255" s="2"/>
      <c r="C255" s="2"/>
      <c r="E255" s="4"/>
      <c r="F255" s="218" t="s">
        <v>660</v>
      </c>
      <c r="G255" s="218" t="s">
        <v>819</v>
      </c>
      <c r="I255" s="3"/>
      <c r="K255" s="3"/>
      <c r="L255" s="3"/>
      <c r="M255" s="3"/>
      <c r="N255" s="3"/>
      <c r="O255" s="3"/>
      <c r="Q255" s="4"/>
      <c r="R255" s="4"/>
      <c r="S255" s="4"/>
      <c r="T255" s="4"/>
      <c r="U255" s="4"/>
    </row>
    <row r="256" spans="2:21">
      <c r="B256" s="2"/>
      <c r="C256" s="2"/>
      <c r="E256" s="4"/>
      <c r="F256" s="218"/>
      <c r="G256" s="218" t="s">
        <v>820</v>
      </c>
      <c r="I256" s="3"/>
      <c r="K256" s="3"/>
      <c r="L256" s="3"/>
      <c r="M256" s="3"/>
      <c r="N256" s="3"/>
      <c r="O256" s="3"/>
      <c r="P256" s="3"/>
    </row>
    <row r="257" spans="2:21">
      <c r="B257" s="2"/>
      <c r="C257" s="2"/>
      <c r="E257" s="4"/>
      <c r="F257" s="218" t="s">
        <v>348</v>
      </c>
      <c r="G257" s="218" t="s">
        <v>962</v>
      </c>
      <c r="I257" s="4"/>
      <c r="K257" s="4"/>
      <c r="L257" s="4"/>
      <c r="M257" s="4"/>
      <c r="N257" s="4"/>
      <c r="O257" s="4"/>
      <c r="P257" s="3"/>
    </row>
    <row r="258" spans="2:21">
      <c r="B258" s="2"/>
      <c r="C258" s="2"/>
      <c r="E258" s="4"/>
      <c r="F258" s="218"/>
      <c r="G258" s="218" t="s">
        <v>880</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207</v>
      </c>
      <c r="E260" s="2" t="s">
        <v>384</v>
      </c>
      <c r="G260" s="4"/>
      <c r="H260" s="4"/>
      <c r="I260" s="4"/>
      <c r="J260" s="4"/>
      <c r="K260" s="4"/>
      <c r="L260" s="4"/>
      <c r="M260" s="4"/>
      <c r="N260" s="4"/>
      <c r="O260" s="4"/>
      <c r="P260" s="4"/>
      <c r="Q260" s="4"/>
      <c r="R260" s="4"/>
      <c r="S260" s="4"/>
    </row>
    <row r="261" spans="2:21">
      <c r="B261" s="2"/>
      <c r="C261" s="2"/>
      <c r="E261" s="4" t="s">
        <v>112</v>
      </c>
      <c r="F261" s="4" t="s">
        <v>253</v>
      </c>
      <c r="G261" s="4"/>
      <c r="I261" s="4"/>
      <c r="J261" s="4"/>
      <c r="K261" s="4"/>
      <c r="L261" s="4"/>
      <c r="M261" s="4"/>
      <c r="N261" s="4"/>
      <c r="O261" s="4"/>
      <c r="P261" s="4"/>
      <c r="Q261" s="4"/>
      <c r="R261" s="4"/>
      <c r="S261" s="4"/>
    </row>
    <row r="262" spans="2:21">
      <c r="B262" s="2"/>
      <c r="C262" s="2"/>
      <c r="E262" s="4" t="s">
        <v>113</v>
      </c>
      <c r="F262" s="4" t="s">
        <v>811</v>
      </c>
      <c r="G262" s="4"/>
      <c r="I262" s="4"/>
      <c r="J262" s="4"/>
      <c r="K262" s="4"/>
      <c r="L262" s="4"/>
      <c r="M262" s="4"/>
      <c r="N262" s="4"/>
      <c r="O262" s="4"/>
      <c r="P262" s="4"/>
      <c r="Q262" s="4"/>
      <c r="R262" s="4"/>
      <c r="S262" s="4"/>
    </row>
    <row r="263" spans="2:21">
      <c r="B263" s="2"/>
      <c r="C263" s="2"/>
      <c r="E263" s="4" t="s">
        <v>119</v>
      </c>
      <c r="F263" s="4" t="s">
        <v>254</v>
      </c>
      <c r="I263" s="4"/>
      <c r="J263" s="4"/>
      <c r="K263" s="4"/>
      <c r="L263" s="4"/>
      <c r="M263" s="4"/>
      <c r="N263" s="4"/>
      <c r="O263" s="4"/>
      <c r="P263" s="4"/>
      <c r="Q263" s="4"/>
      <c r="R263" s="4"/>
      <c r="S263" s="4"/>
    </row>
    <row r="264" spans="2:21">
      <c r="B264" s="2"/>
      <c r="C264" s="2"/>
      <c r="E264" s="2"/>
      <c r="F264" s="4" t="s">
        <v>812</v>
      </c>
      <c r="I264" s="4"/>
      <c r="J264" s="4"/>
      <c r="K264" s="4"/>
      <c r="L264" s="4"/>
      <c r="M264" s="4"/>
      <c r="N264" s="4"/>
      <c r="O264" s="4"/>
      <c r="P264" s="4"/>
      <c r="Q264" s="4"/>
      <c r="R264" s="4"/>
      <c r="S264" s="4"/>
    </row>
    <row r="265" spans="2:21">
      <c r="B265" s="2"/>
      <c r="C265" s="2"/>
      <c r="E265" s="4" t="s">
        <v>588</v>
      </c>
      <c r="F265" s="218" t="s">
        <v>821</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341</v>
      </c>
      <c r="E267" s="2" t="s">
        <v>72</v>
      </c>
      <c r="G267" s="4"/>
      <c r="H267" s="4"/>
      <c r="I267" s="4"/>
      <c r="J267" s="4"/>
      <c r="K267" s="4"/>
      <c r="L267" s="4"/>
      <c r="M267" s="4"/>
      <c r="N267" s="4"/>
      <c r="O267" s="4"/>
      <c r="P267" s="4"/>
      <c r="Q267" s="4"/>
      <c r="R267" s="4"/>
      <c r="S267" s="4"/>
    </row>
    <row r="268" spans="2:21">
      <c r="B268" s="2"/>
      <c r="C268" s="2"/>
      <c r="E268" s="4" t="s">
        <v>1040</v>
      </c>
      <c r="F268" s="4"/>
      <c r="G268" s="4"/>
      <c r="O268" s="4"/>
      <c r="P268" s="4"/>
      <c r="Q268" s="4"/>
      <c r="R268" s="4"/>
      <c r="S268" s="4"/>
    </row>
    <row r="269" spans="2:21">
      <c r="B269" s="2"/>
      <c r="C269" s="2"/>
      <c r="E269" s="2"/>
      <c r="G269" s="4"/>
      <c r="H269" s="4"/>
      <c r="O269" s="4"/>
      <c r="P269" s="4"/>
      <c r="Q269" s="4"/>
      <c r="R269" s="4"/>
      <c r="S269" s="4"/>
    </row>
    <row r="270" spans="2:21">
      <c r="B270" s="2"/>
      <c r="C270" s="2"/>
      <c r="D270" s="2" t="s">
        <v>581</v>
      </c>
      <c r="E270" s="2" t="s">
        <v>287</v>
      </c>
      <c r="G270" s="4"/>
    </row>
    <row r="271" spans="2:21">
      <c r="B271" s="2"/>
      <c r="C271" s="2"/>
      <c r="E271" s="4" t="s">
        <v>255</v>
      </c>
      <c r="F271" s="4"/>
      <c r="G271" s="4"/>
      <c r="J271" s="4"/>
      <c r="K271" s="4"/>
      <c r="L271" s="4"/>
      <c r="M271" s="4"/>
      <c r="N271" s="4"/>
    </row>
    <row r="272" spans="2:21">
      <c r="B272" s="2"/>
      <c r="C272" s="2"/>
      <c r="E272" s="4" t="s">
        <v>963</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521</v>
      </c>
      <c r="E274" s="2" t="s">
        <v>619</v>
      </c>
      <c r="G274" s="4"/>
      <c r="H274" s="4"/>
      <c r="J274" s="4"/>
      <c r="K274" s="4"/>
      <c r="L274" s="4"/>
      <c r="M274" s="4"/>
      <c r="N274" s="4"/>
      <c r="O274" s="4"/>
      <c r="P274" s="4"/>
      <c r="Q274" s="4"/>
      <c r="R274" s="4"/>
      <c r="S274" s="4"/>
      <c r="T274" s="4"/>
      <c r="U274" s="4"/>
    </row>
    <row r="275" spans="2:21">
      <c r="B275" s="2"/>
      <c r="D275" s="4"/>
      <c r="E275" s="4" t="s">
        <v>1033</v>
      </c>
      <c r="J275" s="4"/>
      <c r="K275" s="4"/>
      <c r="L275" s="4"/>
      <c r="M275" s="4"/>
      <c r="N275" s="4"/>
      <c r="O275" s="4"/>
      <c r="P275" s="4"/>
      <c r="Q275" s="4"/>
      <c r="R275" s="4"/>
      <c r="S275" s="4"/>
      <c r="T275" s="4"/>
      <c r="U275" s="4"/>
    </row>
    <row r="276" spans="2:21">
      <c r="B276" s="2"/>
      <c r="D276" s="4"/>
      <c r="E276" s="4" t="s">
        <v>957</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303</v>
      </c>
      <c r="E278" s="2" t="s">
        <v>288</v>
      </c>
      <c r="K278" s="4"/>
      <c r="L278" s="4"/>
      <c r="M278" s="4"/>
      <c r="N278" s="4"/>
      <c r="O278" s="4"/>
      <c r="P278" s="4"/>
      <c r="Q278" s="4"/>
      <c r="R278" s="4"/>
      <c r="S278" s="4"/>
      <c r="T278" s="4"/>
      <c r="U278" s="4"/>
    </row>
    <row r="279" spans="2:21">
      <c r="B279" s="2"/>
      <c r="D279" s="2"/>
      <c r="E279" t="s">
        <v>256</v>
      </c>
      <c r="K279" s="4"/>
      <c r="L279" s="4"/>
      <c r="M279" s="4"/>
      <c r="N279" s="4"/>
      <c r="O279" s="4"/>
      <c r="P279" s="4"/>
      <c r="Q279" s="4"/>
      <c r="R279" s="4"/>
      <c r="S279" s="4"/>
    </row>
    <row r="280" spans="2:21">
      <c r="B280" s="2"/>
      <c r="D280" s="4"/>
      <c r="E280" s="4" t="s">
        <v>964</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429</v>
      </c>
      <c r="E282" s="2" t="s">
        <v>425</v>
      </c>
      <c r="G282" s="4"/>
      <c r="H282" s="4"/>
      <c r="I282" s="4"/>
      <c r="J282" s="4"/>
      <c r="K282" s="4"/>
      <c r="L282" s="4"/>
      <c r="M282" s="4"/>
      <c r="O282" s="4"/>
      <c r="P282" s="4"/>
      <c r="Q282" s="4"/>
      <c r="R282" s="4"/>
      <c r="S282" s="4"/>
    </row>
    <row r="283" spans="2:21">
      <c r="B283" s="2"/>
      <c r="D283" s="2"/>
      <c r="E283" t="s">
        <v>257</v>
      </c>
      <c r="G283" s="4"/>
      <c r="H283" s="4"/>
      <c r="I283" s="4"/>
      <c r="J283" s="4"/>
      <c r="K283" s="4"/>
      <c r="L283" s="4"/>
      <c r="M283" s="4"/>
      <c r="P283" s="4"/>
      <c r="Q283" s="4"/>
      <c r="R283" s="4"/>
      <c r="S283" s="4"/>
    </row>
    <row r="284" spans="2:21">
      <c r="B284" s="2"/>
      <c r="D284" s="2"/>
      <c r="E284" t="s">
        <v>258</v>
      </c>
      <c r="G284" s="4"/>
      <c r="H284" s="4"/>
      <c r="I284" s="4"/>
      <c r="J284" s="4"/>
      <c r="K284" s="4"/>
      <c r="L284" s="4"/>
      <c r="M284" s="4"/>
      <c r="P284" s="4"/>
      <c r="Q284" s="4"/>
      <c r="R284" s="4"/>
      <c r="S284" s="4"/>
    </row>
    <row r="285" spans="2:21">
      <c r="B285" s="2"/>
      <c r="D285" s="2"/>
      <c r="E285" s="120" t="s">
        <v>965</v>
      </c>
      <c r="F285" s="120"/>
      <c r="G285" s="4"/>
      <c r="H285" s="120"/>
      <c r="I285" s="120"/>
      <c r="J285" s="4"/>
      <c r="K285" s="4"/>
      <c r="L285" s="4"/>
      <c r="M285" s="4"/>
      <c r="P285" s="4"/>
      <c r="Q285" s="4"/>
      <c r="R285" s="4"/>
      <c r="S285" s="4"/>
    </row>
    <row r="286" spans="2:21">
      <c r="B286" s="2"/>
      <c r="D286" s="2"/>
      <c r="E286" s="483" t="s">
        <v>879</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564</v>
      </c>
      <c r="E288" s="2" t="s">
        <v>565</v>
      </c>
      <c r="K288" s="4"/>
      <c r="L288" s="4"/>
      <c r="M288" s="4"/>
      <c r="N288" s="4"/>
    </row>
    <row r="289" spans="2:23">
      <c r="B289" s="2"/>
      <c r="D289" s="4"/>
      <c r="E289" s="4" t="s">
        <v>112</v>
      </c>
      <c r="F289" s="4" t="s">
        <v>566</v>
      </c>
      <c r="G289" s="4"/>
      <c r="O289" s="4"/>
      <c r="P289" s="4"/>
      <c r="Q289" s="4"/>
      <c r="R289" s="4"/>
      <c r="S289" s="4"/>
      <c r="T289" s="4"/>
      <c r="U289" s="4"/>
      <c r="V289" s="4"/>
      <c r="W289" s="4"/>
    </row>
    <row r="290" spans="2:23">
      <c r="B290" s="2"/>
      <c r="D290" s="4"/>
      <c r="E290" s="4"/>
      <c r="F290" s="120" t="s">
        <v>1250</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567</v>
      </c>
      <c r="G291" s="4"/>
      <c r="L291" s="4"/>
      <c r="M291" s="4"/>
      <c r="N291" s="4"/>
      <c r="O291" s="4"/>
      <c r="P291" s="4"/>
      <c r="Q291" s="4"/>
      <c r="R291" s="4"/>
      <c r="S291" s="4"/>
      <c r="T291" s="4"/>
      <c r="U291" s="4"/>
      <c r="V291" s="4"/>
      <c r="W291" s="4"/>
    </row>
    <row r="292" spans="2:23">
      <c r="B292" s="2"/>
      <c r="D292" s="4"/>
      <c r="E292" s="4" t="s">
        <v>119</v>
      </c>
      <c r="F292" s="4" t="s">
        <v>259</v>
      </c>
      <c r="G292" s="4"/>
      <c r="H292" s="4"/>
      <c r="K292" s="4"/>
      <c r="L292" s="4"/>
      <c r="M292" s="4"/>
      <c r="N292" s="4"/>
      <c r="O292" s="4"/>
      <c r="P292" s="4"/>
      <c r="Q292" s="4"/>
      <c r="R292" s="4"/>
      <c r="S292" s="4"/>
      <c r="T292" s="4"/>
      <c r="U292" s="4"/>
      <c r="V292" s="4"/>
      <c r="W292" s="4"/>
    </row>
    <row r="293" spans="2:23">
      <c r="B293" s="2"/>
      <c r="D293" s="4"/>
      <c r="E293" s="4"/>
      <c r="F293" s="4" t="s">
        <v>660</v>
      </c>
      <c r="G293" s="4" t="s">
        <v>260</v>
      </c>
      <c r="K293" s="4"/>
      <c r="L293" s="4"/>
      <c r="M293" s="4"/>
      <c r="N293" s="4"/>
      <c r="O293" s="4"/>
      <c r="P293" s="4"/>
      <c r="Q293" s="4"/>
      <c r="R293" s="4"/>
      <c r="S293" s="4"/>
      <c r="T293" s="4"/>
      <c r="U293" s="4"/>
      <c r="V293" s="4"/>
      <c r="W293" s="4"/>
    </row>
    <row r="294" spans="2:23">
      <c r="B294" s="2"/>
      <c r="D294" s="4"/>
      <c r="E294" s="4"/>
      <c r="F294" s="4" t="s">
        <v>348</v>
      </c>
      <c r="G294" s="4" t="s">
        <v>958</v>
      </c>
      <c r="H294" s="4"/>
      <c r="K294" s="4"/>
      <c r="L294" s="4"/>
      <c r="M294" s="4"/>
      <c r="N294" s="4"/>
      <c r="O294" s="4"/>
      <c r="P294" s="4"/>
      <c r="Q294" s="4"/>
      <c r="R294" s="4"/>
      <c r="S294" s="4"/>
      <c r="T294" s="4"/>
      <c r="U294" s="4"/>
      <c r="V294" s="4"/>
      <c r="W294" s="4"/>
    </row>
    <row r="295" spans="2:23">
      <c r="B295" s="2"/>
      <c r="D295" s="4"/>
      <c r="E295" s="4"/>
      <c r="F295" s="4" t="s">
        <v>349</v>
      </c>
      <c r="G295" s="4" t="s">
        <v>568</v>
      </c>
      <c r="K295" s="4"/>
      <c r="L295" s="4"/>
      <c r="M295" s="4"/>
      <c r="N295" s="4"/>
      <c r="O295" s="4"/>
      <c r="P295" s="4"/>
      <c r="Q295" s="4"/>
      <c r="R295" s="4"/>
      <c r="S295" s="4"/>
      <c r="T295" s="4"/>
      <c r="U295" s="4"/>
      <c r="V295" s="4"/>
      <c r="W295" s="4"/>
    </row>
    <row r="296" spans="2:23">
      <c r="B296" s="2"/>
      <c r="D296" s="4"/>
      <c r="E296" s="4"/>
      <c r="F296" s="4" t="s">
        <v>445</v>
      </c>
      <c r="G296" s="4" t="s">
        <v>261</v>
      </c>
      <c r="H296" s="4"/>
      <c r="K296" s="4"/>
      <c r="L296" s="4"/>
      <c r="M296" s="4"/>
      <c r="N296" s="4"/>
      <c r="O296" s="4"/>
      <c r="P296" s="4"/>
      <c r="Q296" s="4"/>
      <c r="R296" s="4"/>
      <c r="S296" s="4"/>
      <c r="T296" s="4"/>
      <c r="U296" s="4"/>
      <c r="V296" s="4"/>
      <c r="W296" s="4"/>
    </row>
    <row r="297" spans="2:23">
      <c r="B297" s="2"/>
      <c r="D297" s="4"/>
      <c r="E297" s="4"/>
      <c r="F297" s="4" t="s">
        <v>262</v>
      </c>
      <c r="G297" s="4" t="s">
        <v>390</v>
      </c>
      <c r="K297" s="4"/>
      <c r="L297" s="4"/>
      <c r="M297" s="4"/>
      <c r="N297" s="4"/>
      <c r="O297" s="4"/>
      <c r="P297" s="4"/>
      <c r="Q297" s="4"/>
      <c r="R297" s="4"/>
      <c r="S297" s="4"/>
      <c r="T297" s="4"/>
      <c r="U297" s="4"/>
      <c r="V297" s="4"/>
      <c r="W297" s="4"/>
    </row>
    <row r="298" spans="2:23">
      <c r="B298" s="2"/>
      <c r="D298" s="4"/>
      <c r="E298" s="4"/>
      <c r="F298" s="4" t="s">
        <v>263</v>
      </c>
      <c r="G298" s="4" t="s">
        <v>169</v>
      </c>
      <c r="H298" s="4"/>
      <c r="K298" s="4"/>
      <c r="L298" s="4"/>
      <c r="M298" s="4"/>
      <c r="N298" s="4"/>
      <c r="O298" s="4"/>
      <c r="P298" s="4"/>
      <c r="Q298" s="4"/>
      <c r="R298" s="4"/>
      <c r="S298" s="4"/>
      <c r="T298" s="4"/>
      <c r="U298" s="4"/>
      <c r="V298" s="4"/>
      <c r="W298" s="4"/>
    </row>
    <row r="299" spans="2:23">
      <c r="B299" s="2"/>
      <c r="D299" s="4"/>
      <c r="E299" s="4" t="s">
        <v>588</v>
      </c>
      <c r="F299" s="4" t="s">
        <v>750</v>
      </c>
      <c r="G299" s="4"/>
      <c r="K299" s="4"/>
      <c r="L299" s="4"/>
      <c r="M299" s="4"/>
      <c r="N299" s="4"/>
      <c r="O299" s="4"/>
      <c r="P299" s="4"/>
      <c r="Q299" s="4"/>
      <c r="R299" s="4"/>
      <c r="S299" s="4"/>
      <c r="T299" s="4"/>
      <c r="U299" s="4"/>
      <c r="V299" s="4"/>
      <c r="W299" s="4"/>
    </row>
    <row r="300" spans="2:23">
      <c r="B300" s="2"/>
      <c r="D300" s="4"/>
      <c r="E300" s="4" t="s">
        <v>771</v>
      </c>
      <c r="F300" s="4" t="s">
        <v>757</v>
      </c>
      <c r="G300" s="4"/>
      <c r="K300" s="4"/>
      <c r="L300" s="4"/>
      <c r="M300" s="4"/>
      <c r="N300" s="4"/>
      <c r="O300" s="4"/>
      <c r="P300" s="4"/>
      <c r="Q300" s="4"/>
      <c r="R300" s="4"/>
      <c r="S300" s="4"/>
      <c r="T300" s="4"/>
      <c r="U300" s="4"/>
      <c r="V300" s="4"/>
      <c r="W300" s="4"/>
    </row>
    <row r="301" spans="2:23">
      <c r="B301" s="2"/>
      <c r="D301" s="4"/>
      <c r="E301" s="4"/>
      <c r="F301" s="120" t="s">
        <v>980</v>
      </c>
      <c r="G301" s="120"/>
      <c r="H301" s="120"/>
      <c r="I301" s="120"/>
      <c r="J301" s="120"/>
      <c r="K301" s="120"/>
      <c r="L301" s="120"/>
      <c r="M301" s="4"/>
      <c r="N301" s="4"/>
      <c r="O301" s="4"/>
      <c r="P301" s="4"/>
      <c r="Q301" s="4"/>
      <c r="R301" s="4"/>
      <c r="S301" s="4"/>
      <c r="T301" s="4"/>
      <c r="U301" s="4"/>
      <c r="V301" s="4"/>
      <c r="W301" s="4"/>
    </row>
    <row r="302" spans="2:23">
      <c r="B302" s="2"/>
      <c r="D302" s="4"/>
      <c r="E302" s="4"/>
      <c r="F302" s="120" t="s">
        <v>981</v>
      </c>
      <c r="G302" s="120"/>
      <c r="H302" s="120"/>
      <c r="I302" s="120"/>
      <c r="J302" s="120"/>
      <c r="K302" s="120"/>
      <c r="L302" s="120"/>
      <c r="M302" s="4"/>
      <c r="N302" s="4"/>
      <c r="O302" s="4"/>
      <c r="P302" s="4"/>
      <c r="Q302" s="4"/>
      <c r="R302" s="4"/>
      <c r="S302" s="4"/>
      <c r="T302" s="4"/>
      <c r="U302" s="4"/>
      <c r="V302" s="4"/>
      <c r="W302" s="4"/>
    </row>
    <row r="303" spans="2:23">
      <c r="B303" s="2"/>
      <c r="D303" s="4"/>
      <c r="E303" s="4"/>
      <c r="F303" s="120" t="s">
        <v>982</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562</v>
      </c>
      <c r="E305" s="2" t="s">
        <v>289</v>
      </c>
      <c r="G305" s="4"/>
      <c r="H305" s="4"/>
      <c r="I305" s="4"/>
      <c r="J305" s="4"/>
      <c r="K305" s="4"/>
      <c r="L305" s="4"/>
      <c r="M305" s="4"/>
      <c r="N305" s="4"/>
      <c r="O305" s="4"/>
      <c r="P305" s="4"/>
      <c r="Q305" s="4"/>
      <c r="R305" s="4"/>
      <c r="S305" s="4"/>
      <c r="T305" s="4"/>
      <c r="U305" s="4"/>
      <c r="V305" s="4"/>
      <c r="W305" s="4"/>
    </row>
    <row r="306" spans="2:23">
      <c r="B306" s="2"/>
      <c r="D306" s="2"/>
      <c r="E306" s="4" t="s">
        <v>966</v>
      </c>
      <c r="F306" s="4"/>
      <c r="K306" s="4"/>
      <c r="L306" s="4"/>
      <c r="M306" s="4"/>
      <c r="N306" s="4"/>
      <c r="O306" s="4"/>
      <c r="P306" s="4"/>
      <c r="Q306" s="4"/>
      <c r="R306" s="4"/>
      <c r="S306" s="4"/>
      <c r="T306" s="4"/>
      <c r="U306" s="4"/>
      <c r="V306" s="4"/>
      <c r="W306" s="4"/>
    </row>
    <row r="307" spans="2:23">
      <c r="B307" s="2"/>
      <c r="D307" s="2"/>
      <c r="E307" s="4" t="s">
        <v>964</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621</v>
      </c>
      <c r="I309" s="4"/>
      <c r="J309" s="4"/>
      <c r="K309" s="4"/>
      <c r="L309" s="4"/>
      <c r="M309" s="4"/>
      <c r="N309" s="4"/>
      <c r="O309" s="4"/>
      <c r="P309" s="4"/>
    </row>
    <row r="310" spans="2:23">
      <c r="B310" s="2"/>
      <c r="D310" s="2" t="s">
        <v>207</v>
      </c>
      <c r="E310" s="2" t="s">
        <v>264</v>
      </c>
      <c r="G310" s="2"/>
      <c r="H310" s="2"/>
      <c r="I310" s="2"/>
      <c r="J310" s="2"/>
      <c r="K310" s="2"/>
      <c r="L310" s="2"/>
      <c r="M310" s="2"/>
      <c r="N310" s="2"/>
      <c r="O310" s="2"/>
      <c r="P310" s="2"/>
      <c r="Q310" s="2"/>
      <c r="R310" s="2"/>
    </row>
    <row r="311" spans="2:23">
      <c r="B311" s="2"/>
      <c r="D311" s="2"/>
      <c r="E311" t="s">
        <v>265</v>
      </c>
      <c r="G311" s="4"/>
      <c r="I311" s="4"/>
      <c r="K311" s="4"/>
    </row>
    <row r="312" spans="2:23">
      <c r="B312" s="2"/>
      <c r="D312" s="2"/>
      <c r="E312" s="4" t="s">
        <v>807</v>
      </c>
      <c r="F312" s="4"/>
      <c r="G312" s="4"/>
      <c r="I312" s="4"/>
      <c r="K312" s="4"/>
    </row>
    <row r="313" spans="2:23">
      <c r="B313" s="2"/>
      <c r="D313" s="2"/>
      <c r="E313" s="4" t="s">
        <v>967</v>
      </c>
      <c r="F313" s="4"/>
      <c r="G313" s="4"/>
      <c r="I313" s="4"/>
      <c r="K313" s="4"/>
    </row>
    <row r="314" spans="2:23">
      <c r="B314" s="2"/>
      <c r="D314" s="2"/>
      <c r="E314" s="4" t="s">
        <v>808</v>
      </c>
      <c r="F314" s="4"/>
      <c r="G314" s="4"/>
      <c r="I314" s="4"/>
      <c r="K314" s="4"/>
    </row>
    <row r="315" spans="2:23">
      <c r="B315" s="2"/>
      <c r="D315" s="2"/>
      <c r="G315" s="4"/>
      <c r="I315" s="4"/>
      <c r="K315" s="4"/>
    </row>
    <row r="316" spans="2:23">
      <c r="B316" s="2"/>
      <c r="D316" s="2" t="s">
        <v>341</v>
      </c>
      <c r="E316" s="2" t="s">
        <v>759</v>
      </c>
      <c r="G316" s="4"/>
      <c r="H316" s="4"/>
      <c r="I316" s="4"/>
      <c r="J316" s="4"/>
      <c r="K316" s="4"/>
      <c r="P316" s="4"/>
      <c r="Q316" s="4"/>
      <c r="R316" s="4"/>
      <c r="S316" s="4"/>
    </row>
    <row r="317" spans="2:23">
      <c r="B317" s="2"/>
      <c r="D317" s="2"/>
      <c r="E317" t="s">
        <v>266</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581</v>
      </c>
      <c r="E319" s="170" t="s">
        <v>743</v>
      </c>
      <c r="F319" s="3"/>
      <c r="G319" s="4"/>
      <c r="H319" s="4"/>
      <c r="I319" s="4"/>
      <c r="J319" s="4"/>
      <c r="K319" s="4"/>
      <c r="L319" s="4"/>
      <c r="M319" s="4"/>
      <c r="N319" s="4"/>
      <c r="O319" s="4"/>
      <c r="P319" s="4"/>
      <c r="Q319" s="4"/>
      <c r="R319" s="4"/>
      <c r="S319" s="4"/>
    </row>
    <row r="320" spans="2:23">
      <c r="B320" s="2"/>
      <c r="E320" t="s">
        <v>740</v>
      </c>
      <c r="I320" s="4"/>
      <c r="J320" s="4"/>
      <c r="K320" s="4"/>
      <c r="L320" s="4"/>
      <c r="M320" s="4"/>
      <c r="N320" s="4"/>
      <c r="O320" s="4"/>
      <c r="P320" s="4"/>
      <c r="Q320" s="4"/>
      <c r="R320" s="4"/>
      <c r="S320" s="4"/>
    </row>
    <row r="321" spans="1:38">
      <c r="B321" s="2"/>
      <c r="E321" t="s">
        <v>741</v>
      </c>
      <c r="I321" s="4"/>
      <c r="J321" s="4"/>
      <c r="K321" s="4"/>
      <c r="L321" s="4"/>
      <c r="M321" s="4"/>
      <c r="N321" s="4"/>
      <c r="O321" s="4"/>
      <c r="P321" s="4"/>
      <c r="Q321" s="4"/>
      <c r="R321" s="4"/>
      <c r="S321" s="4"/>
    </row>
    <row r="322" spans="1:38">
      <c r="B322" s="2"/>
      <c r="E322" t="s">
        <v>742</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622</v>
      </c>
      <c r="I324" s="4"/>
      <c r="J324" s="4"/>
      <c r="K324" s="4"/>
      <c r="L324" s="4"/>
      <c r="M324" s="4"/>
      <c r="N324" s="4"/>
      <c r="O324" s="4"/>
      <c r="P324" s="4"/>
      <c r="Q324" s="4"/>
      <c r="R324" s="4"/>
      <c r="S324" s="4"/>
    </row>
    <row r="325" spans="1:38">
      <c r="A325" t="s">
        <v>250</v>
      </c>
      <c r="D325" s="2" t="s">
        <v>207</v>
      </c>
      <c r="E325" s="2" t="s">
        <v>622</v>
      </c>
      <c r="J325" s="2"/>
      <c r="K325" s="2"/>
      <c r="L325" s="2"/>
      <c r="M325" s="4"/>
      <c r="N325" s="4"/>
      <c r="O325" s="4"/>
      <c r="P325" s="4"/>
      <c r="Q325" s="4"/>
      <c r="R325" s="4"/>
      <c r="S325" s="4"/>
    </row>
    <row r="326" spans="1:38">
      <c r="E326" t="s">
        <v>112</v>
      </c>
      <c r="F326" s="4" t="s">
        <v>968</v>
      </c>
      <c r="J326" s="4"/>
      <c r="K326" s="4"/>
      <c r="L326" s="4"/>
      <c r="M326" s="4"/>
      <c r="N326" s="4"/>
      <c r="O326" s="4"/>
      <c r="P326" s="4"/>
      <c r="Q326" s="4"/>
      <c r="R326" s="4"/>
      <c r="S326" s="4"/>
    </row>
    <row r="327" spans="1:38">
      <c r="E327" s="4" t="s">
        <v>113</v>
      </c>
      <c r="F327" t="s">
        <v>744</v>
      </c>
      <c r="J327" s="4"/>
      <c r="K327" s="4"/>
      <c r="L327" s="4"/>
      <c r="M327" s="4"/>
      <c r="N327" s="4"/>
      <c r="O327" s="4"/>
      <c r="P327" s="4"/>
      <c r="Q327" s="4"/>
      <c r="R327" s="4"/>
      <c r="S327" s="4"/>
    </row>
    <row r="328" spans="1:38">
      <c r="F328" s="120" t="s">
        <v>1251</v>
      </c>
      <c r="I328" s="120"/>
      <c r="J328" s="4"/>
      <c r="K328" s="4"/>
      <c r="L328" s="4"/>
      <c r="M328" s="4"/>
      <c r="N328" s="4"/>
      <c r="O328" s="4"/>
      <c r="P328" s="4"/>
      <c r="Q328" s="4"/>
      <c r="R328" s="4"/>
      <c r="S328" s="4"/>
    </row>
    <row r="329" spans="1:38">
      <c r="F329" s="120" t="s">
        <v>1252</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522</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430</v>
      </c>
      <c r="G333" s="2" t="s">
        <v>22</v>
      </c>
      <c r="I333" s="2"/>
      <c r="J333" s="4"/>
      <c r="K333" s="4"/>
      <c r="L333" s="4"/>
      <c r="M333" s="4"/>
      <c r="N333" s="4"/>
      <c r="O333" s="4"/>
      <c r="P333" s="4"/>
      <c r="Q333" s="4"/>
      <c r="R333" s="4"/>
      <c r="S333" s="4"/>
    </row>
    <row r="334" spans="1:38">
      <c r="B334" s="2"/>
      <c r="C334" s="2"/>
      <c r="D334" s="2" t="s">
        <v>207</v>
      </c>
      <c r="E334" s="2" t="s">
        <v>22</v>
      </c>
      <c r="G334" s="2"/>
      <c r="I334" s="2"/>
      <c r="J334" s="4"/>
      <c r="K334" s="4"/>
      <c r="L334" s="4"/>
      <c r="M334" s="4"/>
      <c r="N334" s="4"/>
      <c r="O334" s="4"/>
      <c r="P334" s="4"/>
      <c r="Q334" s="4"/>
      <c r="R334" s="4"/>
      <c r="S334" s="4"/>
    </row>
    <row r="335" spans="1:38">
      <c r="B335" s="2"/>
      <c r="E335" t="s">
        <v>112</v>
      </c>
      <c r="F335" t="s">
        <v>747</v>
      </c>
      <c r="J335" s="4"/>
      <c r="K335" s="4"/>
      <c r="L335" s="4"/>
      <c r="M335" s="4"/>
      <c r="N335" s="4"/>
      <c r="O335" s="4"/>
      <c r="P335" s="4"/>
      <c r="Q335" s="4"/>
      <c r="R335" s="4"/>
      <c r="S335" s="4"/>
    </row>
    <row r="336" spans="1:38">
      <c r="B336" s="2"/>
      <c r="E336" s="4"/>
      <c r="F336" s="4" t="s">
        <v>748</v>
      </c>
      <c r="J336" s="4"/>
      <c r="K336" s="4"/>
      <c r="L336" s="4"/>
      <c r="M336" s="4"/>
      <c r="N336" s="4"/>
      <c r="O336" s="4"/>
      <c r="P336" s="4"/>
      <c r="Q336" s="4"/>
      <c r="R336" s="4"/>
      <c r="S336" s="4"/>
    </row>
    <row r="337" spans="2:37">
      <c r="B337" s="2"/>
      <c r="E337" s="4"/>
      <c r="F337" s="4" t="s">
        <v>749</v>
      </c>
      <c r="I337" s="4"/>
      <c r="J337" s="4"/>
      <c r="K337" s="4"/>
      <c r="L337" s="4"/>
      <c r="M337" s="4"/>
      <c r="N337" s="4"/>
      <c r="O337" s="4"/>
      <c r="P337" s="4"/>
      <c r="Q337" s="4"/>
      <c r="R337" s="4"/>
      <c r="S337" s="4"/>
    </row>
    <row r="338" spans="2:37">
      <c r="B338" s="2"/>
      <c r="E338" s="4" t="s">
        <v>113</v>
      </c>
      <c r="F338" s="1268" t="s">
        <v>1255</v>
      </c>
      <c r="G338" s="1268"/>
      <c r="H338" s="1268"/>
      <c r="I338" s="1268"/>
      <c r="J338" s="1268"/>
      <c r="K338" s="1268"/>
      <c r="L338" s="1268"/>
      <c r="M338" s="1268"/>
      <c r="N338" s="1268"/>
      <c r="O338" s="1268"/>
      <c r="P338" s="1268"/>
      <c r="Q338" s="1268"/>
      <c r="R338" s="1268"/>
      <c r="S338" s="1268"/>
      <c r="T338" s="1268"/>
      <c r="U338" s="1268"/>
      <c r="V338" s="1268"/>
      <c r="W338" s="1268"/>
      <c r="X338" s="1268"/>
      <c r="Y338" s="1268"/>
      <c r="Z338" s="1268"/>
      <c r="AA338" s="1268"/>
      <c r="AB338" s="1268"/>
      <c r="AC338" s="1268"/>
      <c r="AD338" s="1268"/>
      <c r="AE338" s="1268"/>
      <c r="AF338" s="1268"/>
      <c r="AG338" s="1268"/>
      <c r="AH338" s="1268"/>
      <c r="AI338" s="1268"/>
      <c r="AJ338" s="1268"/>
      <c r="AK338" s="1268"/>
    </row>
    <row r="339" spans="2:37">
      <c r="B339" s="2"/>
      <c r="E339" s="4"/>
      <c r="F339" s="1268"/>
      <c r="G339" s="1268"/>
      <c r="H339" s="1268"/>
      <c r="I339" s="1268"/>
      <c r="J339" s="1268"/>
      <c r="K339" s="1268"/>
      <c r="L339" s="1268"/>
      <c r="M339" s="1268"/>
      <c r="N339" s="1268"/>
      <c r="O339" s="1268"/>
      <c r="P339" s="1268"/>
      <c r="Q339" s="1268"/>
      <c r="R339" s="1268"/>
      <c r="S339" s="1268"/>
      <c r="T339" s="1268"/>
      <c r="U339" s="1268"/>
      <c r="V339" s="1268"/>
      <c r="W339" s="1268"/>
      <c r="X339" s="1268"/>
      <c r="Y339" s="1268"/>
      <c r="Z339" s="1268"/>
      <c r="AA339" s="1268"/>
      <c r="AB339" s="1268"/>
      <c r="AC339" s="1268"/>
      <c r="AD339" s="1268"/>
      <c r="AE339" s="1268"/>
      <c r="AF339" s="1268"/>
      <c r="AG339" s="1268"/>
      <c r="AH339" s="1268"/>
      <c r="AI339" s="1268"/>
      <c r="AJ339" s="1268"/>
      <c r="AK339" s="1268"/>
    </row>
    <row r="340" spans="2:37">
      <c r="B340" s="2"/>
      <c r="E340" s="4"/>
      <c r="F340" s="1268"/>
      <c r="G340" s="1268"/>
      <c r="H340" s="1268"/>
      <c r="I340" s="1268"/>
      <c r="J340" s="1268"/>
      <c r="K340" s="1268"/>
      <c r="L340" s="1268"/>
      <c r="M340" s="1268"/>
      <c r="N340" s="1268"/>
      <c r="O340" s="1268"/>
      <c r="P340" s="1268"/>
      <c r="Q340" s="1268"/>
      <c r="R340" s="1268"/>
      <c r="S340" s="1268"/>
      <c r="T340" s="1268"/>
      <c r="U340" s="1268"/>
      <c r="V340" s="1268"/>
      <c r="W340" s="1268"/>
      <c r="X340" s="1268"/>
      <c r="Y340" s="1268"/>
      <c r="Z340" s="1268"/>
      <c r="AA340" s="1268"/>
      <c r="AB340" s="1268"/>
      <c r="AC340" s="1268"/>
      <c r="AD340" s="1268"/>
      <c r="AE340" s="1268"/>
      <c r="AF340" s="1268"/>
      <c r="AG340" s="1268"/>
      <c r="AH340" s="1268"/>
      <c r="AI340" s="1268"/>
      <c r="AJ340" s="1268"/>
      <c r="AK340" s="1268"/>
    </row>
    <row r="341" spans="2:37">
      <c r="B341" s="2"/>
      <c r="F341" s="4"/>
      <c r="H341" s="4"/>
      <c r="I341" s="4"/>
      <c r="J341" s="4"/>
      <c r="K341" s="4"/>
      <c r="L341" s="4"/>
      <c r="M341" s="4"/>
      <c r="N341" s="4"/>
      <c r="O341" s="4"/>
      <c r="P341" s="4"/>
      <c r="Q341" s="4"/>
      <c r="R341" s="4"/>
      <c r="S341" s="4"/>
    </row>
    <row r="342" spans="2:37">
      <c r="B342" s="2"/>
      <c r="C342" s="2" t="s">
        <v>431</v>
      </c>
      <c r="G342" s="2" t="s">
        <v>1333</v>
      </c>
      <c r="I342" s="2"/>
      <c r="J342" s="4"/>
      <c r="K342" s="4"/>
      <c r="L342" s="4"/>
      <c r="M342" s="4"/>
      <c r="N342" s="4"/>
      <c r="O342" s="4"/>
      <c r="P342" s="4"/>
      <c r="Q342" s="4"/>
      <c r="R342" s="4"/>
      <c r="S342" s="4"/>
    </row>
    <row r="343" spans="2:37" ht="13.35" customHeight="1">
      <c r="B343" s="2"/>
      <c r="E343" s="1270" t="s">
        <v>1340</v>
      </c>
      <c r="F343" s="1270"/>
      <c r="G343" s="1270"/>
      <c r="H343" s="1270"/>
      <c r="I343" s="1270"/>
      <c r="J343" s="1270"/>
      <c r="K343" s="1270"/>
      <c r="L343" s="1270"/>
      <c r="M343" s="1270"/>
      <c r="N343" s="1270"/>
      <c r="O343" s="1270"/>
      <c r="P343" s="1270"/>
      <c r="Q343" s="1270"/>
      <c r="R343" s="1270"/>
      <c r="S343" s="1270"/>
      <c r="T343" s="1270"/>
      <c r="U343" s="1270"/>
      <c r="V343" s="1270"/>
      <c r="W343" s="1270"/>
      <c r="X343" s="1270"/>
      <c r="Y343" s="1270"/>
      <c r="Z343" s="1270"/>
      <c r="AA343" s="1270"/>
      <c r="AB343" s="1270"/>
      <c r="AC343" s="1270"/>
      <c r="AD343" s="1270"/>
      <c r="AE343" s="1270"/>
      <c r="AF343" s="1270"/>
      <c r="AG343" s="1270"/>
      <c r="AH343" s="1270"/>
      <c r="AI343" s="1270"/>
      <c r="AJ343" s="1270"/>
      <c r="AK343" s="1270"/>
    </row>
    <row r="344" spans="2:37">
      <c r="B344" s="2"/>
      <c r="E344" s="1270"/>
      <c r="F344" s="1270"/>
      <c r="G344" s="1270"/>
      <c r="H344" s="1270"/>
      <c r="I344" s="1270"/>
      <c r="J344" s="1270"/>
      <c r="K344" s="1270"/>
      <c r="L344" s="1270"/>
      <c r="M344" s="1270"/>
      <c r="N344" s="1270"/>
      <c r="O344" s="1270"/>
      <c r="P344" s="1270"/>
      <c r="Q344" s="1270"/>
      <c r="R344" s="1270"/>
      <c r="S344" s="1270"/>
      <c r="T344" s="1270"/>
      <c r="U344" s="1270"/>
      <c r="V344" s="1270"/>
      <c r="W344" s="1270"/>
      <c r="X344" s="1270"/>
      <c r="Y344" s="1270"/>
      <c r="Z344" s="1270"/>
      <c r="AA344" s="1270"/>
      <c r="AB344" s="1270"/>
      <c r="AC344" s="1270"/>
      <c r="AD344" s="1270"/>
      <c r="AE344" s="1270"/>
      <c r="AF344" s="1270"/>
      <c r="AG344" s="1270"/>
      <c r="AH344" s="1270"/>
      <c r="AI344" s="1270"/>
      <c r="AJ344" s="1270"/>
      <c r="AK344" s="1270"/>
    </row>
    <row r="345" spans="2:37">
      <c r="B345" s="2"/>
      <c r="E345" s="1270"/>
      <c r="F345" s="1270"/>
      <c r="G345" s="1270"/>
      <c r="H345" s="1270"/>
      <c r="I345" s="1270"/>
      <c r="J345" s="1270"/>
      <c r="K345" s="1270"/>
      <c r="L345" s="1270"/>
      <c r="M345" s="1270"/>
      <c r="N345" s="1270"/>
      <c r="O345" s="1270"/>
      <c r="P345" s="1270"/>
      <c r="Q345" s="1270"/>
      <c r="R345" s="1270"/>
      <c r="S345" s="1270"/>
      <c r="T345" s="1270"/>
      <c r="U345" s="1270"/>
      <c r="V345" s="1270"/>
      <c r="W345" s="1270"/>
      <c r="X345" s="1270"/>
      <c r="Y345" s="1270"/>
      <c r="Z345" s="1270"/>
      <c r="AA345" s="1270"/>
      <c r="AB345" s="1270"/>
      <c r="AC345" s="1270"/>
      <c r="AD345" s="1270"/>
      <c r="AE345" s="1270"/>
      <c r="AF345" s="1270"/>
      <c r="AG345" s="1270"/>
      <c r="AH345" s="1270"/>
      <c r="AI345" s="1270"/>
      <c r="AJ345" s="1270"/>
      <c r="AK345" s="1270"/>
    </row>
    <row r="346" spans="2:37">
      <c r="B346" s="2"/>
      <c r="E346" s="1270"/>
      <c r="F346" s="1270"/>
      <c r="G346" s="1270"/>
      <c r="H346" s="1270"/>
      <c r="I346" s="1270"/>
      <c r="J346" s="1270"/>
      <c r="K346" s="1270"/>
      <c r="L346" s="1270"/>
      <c r="M346" s="1270"/>
      <c r="N346" s="1270"/>
      <c r="O346" s="1270"/>
      <c r="P346" s="1270"/>
      <c r="Q346" s="1270"/>
      <c r="R346" s="1270"/>
      <c r="S346" s="1270"/>
      <c r="T346" s="1270"/>
      <c r="U346" s="1270"/>
      <c r="V346" s="1270"/>
      <c r="W346" s="1270"/>
      <c r="X346" s="1270"/>
      <c r="Y346" s="1270"/>
      <c r="Z346" s="1270"/>
      <c r="AA346" s="1270"/>
      <c r="AB346" s="1270"/>
      <c r="AC346" s="1270"/>
      <c r="AD346" s="1270"/>
      <c r="AE346" s="1270"/>
      <c r="AF346" s="1270"/>
      <c r="AG346" s="1270"/>
      <c r="AH346" s="1270"/>
      <c r="AI346" s="1270"/>
      <c r="AJ346" s="1270"/>
      <c r="AK346" s="1270"/>
    </row>
    <row r="347" spans="2:37">
      <c r="B347" s="2"/>
      <c r="E347" s="1270"/>
      <c r="F347" s="1270"/>
      <c r="G347" s="1270"/>
      <c r="H347" s="1270"/>
      <c r="I347" s="1270"/>
      <c r="J347" s="1270"/>
      <c r="K347" s="1270"/>
      <c r="L347" s="1270"/>
      <c r="M347" s="1270"/>
      <c r="N347" s="1270"/>
      <c r="O347" s="1270"/>
      <c r="P347" s="1270"/>
      <c r="Q347" s="1270"/>
      <c r="R347" s="1270"/>
      <c r="S347" s="1270"/>
      <c r="T347" s="1270"/>
      <c r="U347" s="1270"/>
      <c r="V347" s="1270"/>
      <c r="W347" s="1270"/>
      <c r="X347" s="1270"/>
      <c r="Y347" s="1270"/>
      <c r="Z347" s="1270"/>
      <c r="AA347" s="1270"/>
      <c r="AB347" s="1270"/>
      <c r="AC347" s="1270"/>
      <c r="AD347" s="1270"/>
      <c r="AE347" s="1270"/>
      <c r="AF347" s="1270"/>
      <c r="AG347" s="1270"/>
      <c r="AH347" s="1270"/>
      <c r="AI347" s="1270"/>
      <c r="AJ347" s="1270"/>
      <c r="AK347" s="1270"/>
    </row>
    <row r="348" spans="2:37">
      <c r="B348" s="2"/>
      <c r="E348" s="3" t="s">
        <v>112</v>
      </c>
      <c r="F348" s="1268" t="s">
        <v>1342</v>
      </c>
      <c r="G348" s="1268"/>
      <c r="H348" s="1268"/>
      <c r="I348" s="1268"/>
      <c r="J348" s="1268"/>
      <c r="K348" s="1268"/>
      <c r="L348" s="1268"/>
      <c r="M348" s="1268"/>
      <c r="N348" s="1268"/>
      <c r="O348" s="1268"/>
      <c r="P348" s="1268"/>
      <c r="Q348" s="1268"/>
      <c r="R348" s="1268"/>
      <c r="S348" s="1268"/>
      <c r="T348" s="1268"/>
      <c r="U348" s="1268"/>
      <c r="V348" s="1268"/>
      <c r="W348" s="1268"/>
      <c r="X348" s="1268"/>
      <c r="Y348" s="1268"/>
      <c r="Z348" s="1268"/>
      <c r="AA348" s="1268"/>
      <c r="AB348" s="1268"/>
      <c r="AC348" s="1268"/>
      <c r="AD348" s="1268"/>
      <c r="AE348" s="1268"/>
      <c r="AF348" s="1268"/>
      <c r="AG348" s="1268"/>
      <c r="AH348" s="1268"/>
      <c r="AI348" s="1268"/>
      <c r="AJ348" s="1268"/>
      <c r="AK348" s="1268"/>
    </row>
    <row r="349" spans="2:37">
      <c r="B349" s="2"/>
      <c r="E349" s="3"/>
      <c r="F349" s="1268"/>
      <c r="G349" s="1268"/>
      <c r="H349" s="1268"/>
      <c r="I349" s="1268"/>
      <c r="J349" s="1268"/>
      <c r="K349" s="1268"/>
      <c r="L349" s="1268"/>
      <c r="M349" s="1268"/>
      <c r="N349" s="1268"/>
      <c r="O349" s="1268"/>
      <c r="P349" s="1268"/>
      <c r="Q349" s="1268"/>
      <c r="R349" s="1268"/>
      <c r="S349" s="1268"/>
      <c r="T349" s="1268"/>
      <c r="U349" s="1268"/>
      <c r="V349" s="1268"/>
      <c r="W349" s="1268"/>
      <c r="X349" s="1268"/>
      <c r="Y349" s="1268"/>
      <c r="Z349" s="1268"/>
      <c r="AA349" s="1268"/>
      <c r="AB349" s="1268"/>
      <c r="AC349" s="1268"/>
      <c r="AD349" s="1268"/>
      <c r="AE349" s="1268"/>
      <c r="AF349" s="1268"/>
      <c r="AG349" s="1268"/>
      <c r="AH349" s="1268"/>
      <c r="AI349" s="1268"/>
      <c r="AJ349" s="1268"/>
      <c r="AK349" s="1268"/>
    </row>
    <row r="350" spans="2:37">
      <c r="B350" s="2"/>
      <c r="E350" s="3"/>
      <c r="F350" s="1268"/>
      <c r="G350" s="1268"/>
      <c r="H350" s="1268"/>
      <c r="I350" s="1268"/>
      <c r="J350" s="1268"/>
      <c r="K350" s="1268"/>
      <c r="L350" s="1268"/>
      <c r="M350" s="1268"/>
      <c r="N350" s="1268"/>
      <c r="O350" s="1268"/>
      <c r="P350" s="1268"/>
      <c r="Q350" s="1268"/>
      <c r="R350" s="1268"/>
      <c r="S350" s="1268"/>
      <c r="T350" s="1268"/>
      <c r="U350" s="1268"/>
      <c r="V350" s="1268"/>
      <c r="W350" s="1268"/>
      <c r="X350" s="1268"/>
      <c r="Y350" s="1268"/>
      <c r="Z350" s="1268"/>
      <c r="AA350" s="1268"/>
      <c r="AB350" s="1268"/>
      <c r="AC350" s="1268"/>
      <c r="AD350" s="1268"/>
      <c r="AE350" s="1268"/>
      <c r="AF350" s="1268"/>
      <c r="AG350" s="1268"/>
      <c r="AH350" s="1268"/>
      <c r="AI350" s="1268"/>
      <c r="AJ350" s="1268"/>
      <c r="AK350" s="1268"/>
    </row>
    <row r="351" spans="2:37">
      <c r="B351" s="2"/>
      <c r="E351" s="3"/>
      <c r="F351" s="1268"/>
      <c r="G351" s="1268"/>
      <c r="H351" s="1268"/>
      <c r="I351" s="1268"/>
      <c r="J351" s="1268"/>
      <c r="K351" s="1268"/>
      <c r="L351" s="1268"/>
      <c r="M351" s="1268"/>
      <c r="N351" s="1268"/>
      <c r="O351" s="1268"/>
      <c r="P351" s="1268"/>
      <c r="Q351" s="1268"/>
      <c r="R351" s="1268"/>
      <c r="S351" s="1268"/>
      <c r="T351" s="1268"/>
      <c r="U351" s="1268"/>
      <c r="V351" s="1268"/>
      <c r="W351" s="1268"/>
      <c r="X351" s="1268"/>
      <c r="Y351" s="1268"/>
      <c r="Z351" s="1268"/>
      <c r="AA351" s="1268"/>
      <c r="AB351" s="1268"/>
      <c r="AC351" s="1268"/>
      <c r="AD351" s="1268"/>
      <c r="AE351" s="1268"/>
      <c r="AF351" s="1268"/>
      <c r="AG351" s="1268"/>
      <c r="AH351" s="1268"/>
      <c r="AI351" s="1268"/>
      <c r="AJ351" s="1268"/>
      <c r="AK351" s="1268"/>
    </row>
    <row r="352" spans="2:37">
      <c r="B352" s="2"/>
      <c r="E352" s="3" t="s">
        <v>113</v>
      </c>
      <c r="F352" s="1268" t="s">
        <v>1341</v>
      </c>
      <c r="G352" s="1268"/>
      <c r="H352" s="1268"/>
      <c r="I352" s="1268"/>
      <c r="J352" s="1268"/>
      <c r="K352" s="1268"/>
      <c r="L352" s="1268"/>
      <c r="M352" s="1268"/>
      <c r="N352" s="1268"/>
      <c r="O352" s="1268"/>
      <c r="P352" s="1268"/>
      <c r="Q352" s="1268"/>
      <c r="R352" s="1268"/>
      <c r="S352" s="1268"/>
      <c r="T352" s="1268"/>
      <c r="U352" s="1268"/>
      <c r="V352" s="1268"/>
      <c r="W352" s="1268"/>
      <c r="X352" s="1268"/>
      <c r="Y352" s="1268"/>
      <c r="Z352" s="1268"/>
      <c r="AA352" s="1268"/>
      <c r="AB352" s="1268"/>
      <c r="AC352" s="1268"/>
      <c r="AD352" s="1268"/>
      <c r="AE352" s="1268"/>
      <c r="AF352" s="1268"/>
      <c r="AG352" s="1268"/>
      <c r="AH352" s="1268"/>
      <c r="AI352" s="1268"/>
      <c r="AJ352" s="1268"/>
      <c r="AK352" s="1268"/>
    </row>
    <row r="353" spans="1:38">
      <c r="B353" s="2"/>
      <c r="F353" s="1268"/>
      <c r="G353" s="1268"/>
      <c r="H353" s="1268"/>
      <c r="I353" s="1268"/>
      <c r="J353" s="1268"/>
      <c r="K353" s="1268"/>
      <c r="L353" s="1268"/>
      <c r="M353" s="1268"/>
      <c r="N353" s="1268"/>
      <c r="O353" s="1268"/>
      <c r="P353" s="1268"/>
      <c r="Q353" s="1268"/>
      <c r="R353" s="1268"/>
      <c r="S353" s="1268"/>
      <c r="T353" s="1268"/>
      <c r="U353" s="1268"/>
      <c r="V353" s="1268"/>
      <c r="W353" s="1268"/>
      <c r="X353" s="1268"/>
      <c r="Y353" s="1268"/>
      <c r="Z353" s="1268"/>
      <c r="AA353" s="1268"/>
      <c r="AB353" s="1268"/>
      <c r="AC353" s="1268"/>
      <c r="AD353" s="1268"/>
      <c r="AE353" s="1268"/>
      <c r="AF353" s="1268"/>
      <c r="AG353" s="1268"/>
      <c r="AH353" s="1268"/>
      <c r="AI353" s="1268"/>
      <c r="AJ353" s="1268"/>
      <c r="AK353" s="1268"/>
    </row>
    <row r="354" spans="1:38">
      <c r="B354" s="2"/>
      <c r="F354" s="1268"/>
      <c r="G354" s="1268"/>
      <c r="H354" s="1268"/>
      <c r="I354" s="1268"/>
      <c r="J354" s="1268"/>
      <c r="K354" s="1268"/>
      <c r="L354" s="1268"/>
      <c r="M354" s="1268"/>
      <c r="N354" s="1268"/>
      <c r="O354" s="1268"/>
      <c r="P354" s="1268"/>
      <c r="Q354" s="1268"/>
      <c r="R354" s="1268"/>
      <c r="S354" s="1268"/>
      <c r="T354" s="1268"/>
      <c r="U354" s="1268"/>
      <c r="V354" s="1268"/>
      <c r="W354" s="1268"/>
      <c r="X354" s="1268"/>
      <c r="Y354" s="1268"/>
      <c r="Z354" s="1268"/>
      <c r="AA354" s="1268"/>
      <c r="AB354" s="1268"/>
      <c r="AC354" s="1268"/>
      <c r="AD354" s="1268"/>
      <c r="AE354" s="1268"/>
      <c r="AF354" s="1268"/>
      <c r="AG354" s="1268"/>
      <c r="AH354" s="1268"/>
      <c r="AI354" s="1268"/>
      <c r="AJ354" s="1268"/>
      <c r="AK354" s="1268"/>
    </row>
    <row r="355" spans="1:38">
      <c r="B355" s="2"/>
      <c r="F355" s="4"/>
      <c r="H355" s="4"/>
      <c r="I355" s="4"/>
      <c r="J355" s="4"/>
      <c r="K355" s="4"/>
      <c r="L355" s="4"/>
      <c r="M355" s="4"/>
      <c r="N355" s="4"/>
      <c r="O355" s="4"/>
      <c r="P355" s="4"/>
      <c r="Q355" s="4"/>
      <c r="R355" s="4"/>
      <c r="S355" s="4"/>
    </row>
    <row r="356" spans="1:38">
      <c r="A356" s="5"/>
      <c r="B356" s="11" t="s">
        <v>760</v>
      </c>
      <c r="C356" s="11" t="s">
        <v>623</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35" customHeight="1">
      <c r="B358" s="2"/>
      <c r="C358" s="11" t="s">
        <v>1322</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3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207</v>
      </c>
      <c r="E360" s="2" t="s">
        <v>122</v>
      </c>
      <c r="I360" s="4"/>
      <c r="J360" s="4"/>
      <c r="K360" s="4"/>
      <c r="L360" s="4"/>
      <c r="M360" s="4"/>
      <c r="N360" s="4"/>
      <c r="O360" s="4"/>
      <c r="P360" s="4"/>
      <c r="Q360" s="4"/>
      <c r="R360" s="4"/>
      <c r="S360" s="4"/>
    </row>
    <row r="361" spans="1:38">
      <c r="B361" s="2"/>
      <c r="E361" t="s">
        <v>112</v>
      </c>
      <c r="F361" s="4" t="s">
        <v>751</v>
      </c>
      <c r="I361" s="4"/>
      <c r="J361" s="4"/>
      <c r="K361" s="4"/>
      <c r="L361" s="4"/>
      <c r="M361" s="4"/>
      <c r="N361" s="4"/>
      <c r="O361" s="4"/>
      <c r="P361" s="4"/>
      <c r="Q361" s="4"/>
      <c r="R361" s="4"/>
      <c r="S361" s="4"/>
    </row>
    <row r="362" spans="1:38">
      <c r="B362" s="2"/>
      <c r="F362" s="4" t="s">
        <v>752</v>
      </c>
      <c r="I362" s="4"/>
      <c r="J362" s="4"/>
      <c r="K362" s="4"/>
      <c r="L362" s="4"/>
      <c r="M362" s="4"/>
      <c r="N362" s="4"/>
      <c r="O362" s="4"/>
      <c r="P362" s="4"/>
      <c r="Q362" s="4"/>
      <c r="R362" s="4"/>
      <c r="S362" s="4"/>
    </row>
    <row r="363" spans="1:38">
      <c r="B363" s="2"/>
      <c r="F363" s="4" t="s">
        <v>882</v>
      </c>
      <c r="G363" s="4"/>
      <c r="K363" s="4"/>
      <c r="L363" s="4"/>
      <c r="M363" s="4"/>
      <c r="N363" s="4"/>
      <c r="O363" s="4"/>
      <c r="P363" s="4"/>
      <c r="Q363" s="4"/>
      <c r="R363" s="4"/>
      <c r="S363" s="4"/>
    </row>
    <row r="364" spans="1:38">
      <c r="B364" s="2"/>
      <c r="E364" t="s">
        <v>113</v>
      </c>
      <c r="F364" s="4" t="s">
        <v>881</v>
      </c>
      <c r="I364" s="4"/>
      <c r="J364" s="4"/>
      <c r="K364" s="4"/>
      <c r="L364" s="4"/>
      <c r="M364" s="4"/>
      <c r="N364" s="4"/>
      <c r="O364" s="4"/>
      <c r="P364" s="4"/>
      <c r="Q364" s="4"/>
      <c r="R364" s="4"/>
      <c r="S364" s="4"/>
    </row>
    <row r="365" spans="1:38">
      <c r="B365" s="2"/>
      <c r="E365" t="s">
        <v>119</v>
      </c>
      <c r="F365" s="4" t="s">
        <v>753</v>
      </c>
      <c r="I365" s="4"/>
      <c r="J365" s="4"/>
      <c r="K365" s="4"/>
      <c r="L365" s="4"/>
      <c r="M365" s="4"/>
      <c r="N365" s="4"/>
      <c r="O365" s="4"/>
      <c r="P365" s="4"/>
      <c r="Q365" s="4"/>
      <c r="R365" s="4"/>
      <c r="S365" s="4"/>
    </row>
    <row r="366" spans="1:38">
      <c r="B366" s="2"/>
      <c r="F366" s="4" t="s">
        <v>754</v>
      </c>
      <c r="J366" s="4"/>
      <c r="K366" s="4"/>
      <c r="L366" s="4"/>
      <c r="M366" s="4"/>
      <c r="N366" s="4"/>
      <c r="O366" s="4"/>
      <c r="P366" s="4"/>
      <c r="Q366" s="4"/>
      <c r="R366" s="4"/>
      <c r="S366" s="4"/>
    </row>
    <row r="367" spans="1:38">
      <c r="B367" s="2"/>
      <c r="E367" s="1271" t="s">
        <v>1331</v>
      </c>
      <c r="F367" s="1271"/>
      <c r="G367" s="1271"/>
      <c r="H367" s="1271"/>
      <c r="I367" s="1271"/>
      <c r="J367" s="1271"/>
      <c r="K367" s="1271"/>
      <c r="L367" s="1271"/>
      <c r="M367" s="1271"/>
      <c r="N367" s="1271"/>
      <c r="O367" s="1271"/>
      <c r="P367" s="1271"/>
      <c r="Q367" s="1271"/>
      <c r="R367" s="1271"/>
      <c r="S367" s="1271"/>
      <c r="T367" s="1271"/>
      <c r="U367" s="1271"/>
      <c r="V367" s="1271"/>
      <c r="W367" s="1271"/>
      <c r="X367" s="1271"/>
      <c r="Y367" s="1271"/>
      <c r="Z367" s="1271"/>
      <c r="AA367" s="1271"/>
      <c r="AB367" s="1271"/>
      <c r="AC367" s="1271"/>
      <c r="AD367" s="1271"/>
      <c r="AE367" s="1271"/>
      <c r="AF367" s="1271"/>
      <c r="AG367" s="1271"/>
      <c r="AH367" s="1271"/>
      <c r="AI367" s="1271"/>
      <c r="AJ367" s="1271"/>
      <c r="AK367" s="1271"/>
      <c r="AL367" s="1271"/>
    </row>
    <row r="368" spans="1:38">
      <c r="B368" s="2"/>
      <c r="E368" s="1271"/>
      <c r="F368" s="1271"/>
      <c r="G368" s="1271"/>
      <c r="H368" s="1271"/>
      <c r="I368" s="1271"/>
      <c r="J368" s="1271"/>
      <c r="K368" s="1271"/>
      <c r="L368" s="1271"/>
      <c r="M368" s="1271"/>
      <c r="N368" s="1271"/>
      <c r="O368" s="1271"/>
      <c r="P368" s="1271"/>
      <c r="Q368" s="1271"/>
      <c r="R368" s="1271"/>
      <c r="S368" s="1271"/>
      <c r="T368" s="1271"/>
      <c r="U368" s="1271"/>
      <c r="V368" s="1271"/>
      <c r="W368" s="1271"/>
      <c r="X368" s="1271"/>
      <c r="Y368" s="1271"/>
      <c r="Z368" s="1271"/>
      <c r="AA368" s="1271"/>
      <c r="AB368" s="1271"/>
      <c r="AC368" s="1271"/>
      <c r="AD368" s="1271"/>
      <c r="AE368" s="1271"/>
      <c r="AF368" s="1271"/>
      <c r="AG368" s="1271"/>
      <c r="AH368" s="1271"/>
      <c r="AI368" s="1271"/>
      <c r="AJ368" s="1271"/>
      <c r="AK368" s="1271"/>
      <c r="AL368" s="1271"/>
    </row>
    <row r="369" spans="1:37" s="1273" customFormat="1">
      <c r="A369"/>
      <c r="B369" s="2"/>
      <c r="C369"/>
      <c r="D369"/>
      <c r="E369" s="1272" t="s">
        <v>1366</v>
      </c>
    </row>
    <row r="370" spans="1:37" s="1273"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341</v>
      </c>
      <c r="E372" s="2" t="s">
        <v>575</v>
      </c>
      <c r="J372" s="4"/>
      <c r="K372" s="4"/>
      <c r="L372" s="4"/>
      <c r="M372" s="4"/>
      <c r="N372" s="4"/>
      <c r="O372" s="4"/>
      <c r="P372" s="4"/>
      <c r="Q372" s="4"/>
      <c r="R372" s="4"/>
      <c r="S372" s="4"/>
    </row>
    <row r="373" spans="1:37">
      <c r="B373" s="2"/>
      <c r="E373" s="4" t="s">
        <v>755</v>
      </c>
      <c r="F373" s="4"/>
      <c r="G373" s="4"/>
      <c r="H373" s="4"/>
      <c r="I373" s="4"/>
      <c r="J373" s="4"/>
      <c r="K373" s="4"/>
      <c r="L373" s="4"/>
      <c r="M373" s="4"/>
      <c r="N373" s="4"/>
      <c r="O373" s="4"/>
      <c r="P373" s="4"/>
      <c r="Q373" s="4"/>
      <c r="R373" s="4"/>
      <c r="S373" s="4"/>
    </row>
    <row r="374" spans="1:37">
      <c r="B374" s="2"/>
      <c r="E374" s="4" t="s">
        <v>756</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581</v>
      </c>
      <c r="E376" s="2" t="s">
        <v>282</v>
      </c>
      <c r="J376" s="4"/>
      <c r="K376" s="4"/>
      <c r="L376" s="4"/>
      <c r="M376" s="4"/>
      <c r="N376" s="4"/>
      <c r="O376" s="4"/>
      <c r="P376" s="4"/>
      <c r="Q376" s="4"/>
      <c r="R376" s="4"/>
      <c r="S376" s="4"/>
    </row>
    <row r="377" spans="1:37">
      <c r="B377" s="2"/>
      <c r="E377" s="4" t="s">
        <v>112</v>
      </c>
      <c r="F377" s="4" t="s">
        <v>251</v>
      </c>
      <c r="G377" s="4"/>
      <c r="I377" s="4"/>
      <c r="J377" s="4"/>
      <c r="K377" s="4"/>
      <c r="L377" s="4"/>
      <c r="M377" s="4"/>
      <c r="N377" s="4"/>
      <c r="O377" s="4"/>
      <c r="P377" s="4"/>
      <c r="Q377" s="4"/>
      <c r="R377" s="4"/>
      <c r="S377" s="4"/>
    </row>
    <row r="378" spans="1:37">
      <c r="B378" s="2"/>
      <c r="E378" s="4"/>
      <c r="F378" s="120" t="s">
        <v>1253</v>
      </c>
      <c r="G378" s="4"/>
      <c r="I378" s="120"/>
      <c r="J378" s="4"/>
      <c r="K378" s="4"/>
      <c r="L378" s="4"/>
      <c r="M378" s="4"/>
      <c r="N378" s="4"/>
      <c r="O378" s="4"/>
      <c r="P378" s="4"/>
      <c r="Q378" s="4"/>
      <c r="R378" s="4"/>
      <c r="S378" s="4"/>
    </row>
    <row r="379" spans="1:37">
      <c r="B379" s="2"/>
      <c r="E379" s="4" t="s">
        <v>113</v>
      </c>
      <c r="F379" s="4" t="s">
        <v>252</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521</v>
      </c>
      <c r="E381" s="2" t="s">
        <v>1367</v>
      </c>
      <c r="J381" s="3"/>
      <c r="K381" s="3"/>
      <c r="L381" s="3"/>
      <c r="M381" s="3"/>
      <c r="N381" s="3"/>
      <c r="O381" s="3"/>
      <c r="P381" s="3"/>
      <c r="Q381" s="3"/>
      <c r="R381" s="3"/>
      <c r="S381" s="3"/>
    </row>
    <row r="382" spans="1:37">
      <c r="B382" s="2"/>
      <c r="D382" s="2"/>
      <c r="E382" s="3" t="s">
        <v>755</v>
      </c>
      <c r="F382" s="3"/>
      <c r="G382" s="3"/>
      <c r="J382" s="3"/>
      <c r="K382" s="3"/>
      <c r="L382" s="3"/>
      <c r="M382" s="3"/>
      <c r="N382" s="3"/>
      <c r="O382" s="3"/>
      <c r="P382" s="3"/>
      <c r="Q382" s="3"/>
      <c r="R382" s="3"/>
      <c r="S382" s="3"/>
    </row>
    <row r="383" spans="1:37">
      <c r="B383" s="2"/>
      <c r="D383" s="2"/>
      <c r="E383" s="3" t="s">
        <v>1256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303</v>
      </c>
      <c r="E385" s="2" t="s">
        <v>284</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8" t="s">
        <v>1377</v>
      </c>
      <c r="G388" s="1268"/>
      <c r="H388" s="1268"/>
      <c r="I388" s="1268"/>
      <c r="J388" s="1268"/>
      <c r="K388" s="1268"/>
      <c r="L388" s="1268"/>
      <c r="M388" s="1268"/>
      <c r="N388" s="1268"/>
      <c r="O388" s="1268"/>
      <c r="P388" s="1268"/>
      <c r="Q388" s="1268"/>
      <c r="R388" s="1268"/>
      <c r="S388" s="1268"/>
      <c r="T388" s="1268"/>
      <c r="U388" s="1268"/>
      <c r="V388" s="1268"/>
      <c r="W388" s="1268"/>
      <c r="X388" s="1268"/>
      <c r="Y388" s="1268"/>
      <c r="Z388" s="1268"/>
      <c r="AA388" s="1268"/>
      <c r="AB388" s="1268"/>
      <c r="AC388" s="1268"/>
      <c r="AD388" s="1268"/>
      <c r="AE388" s="1268"/>
      <c r="AF388" s="1268"/>
      <c r="AG388" s="1268"/>
      <c r="AH388" s="1268"/>
      <c r="AI388" s="1268"/>
      <c r="AJ388" s="1268"/>
      <c r="AK388" s="1268"/>
    </row>
    <row r="389" spans="1:38">
      <c r="B389" s="2"/>
      <c r="E389" s="3"/>
      <c r="F389" s="1268"/>
      <c r="G389" s="1268"/>
      <c r="H389" s="1268"/>
      <c r="I389" s="1268"/>
      <c r="J389" s="1268"/>
      <c r="K389" s="1268"/>
      <c r="L389" s="1268"/>
      <c r="M389" s="1268"/>
      <c r="N389" s="1268"/>
      <c r="O389" s="1268"/>
      <c r="P389" s="1268"/>
      <c r="Q389" s="1268"/>
      <c r="R389" s="1268"/>
      <c r="S389" s="1268"/>
      <c r="T389" s="1268"/>
      <c r="U389" s="1268"/>
      <c r="V389" s="1268"/>
      <c r="W389" s="1268"/>
      <c r="X389" s="1268"/>
      <c r="Y389" s="1268"/>
      <c r="Z389" s="1268"/>
      <c r="AA389" s="1268"/>
      <c r="AB389" s="1268"/>
      <c r="AC389" s="1268"/>
      <c r="AD389" s="1268"/>
      <c r="AE389" s="1268"/>
      <c r="AF389" s="1268"/>
      <c r="AG389" s="1268"/>
      <c r="AH389" s="1268"/>
      <c r="AI389" s="1268"/>
      <c r="AJ389" s="1268"/>
      <c r="AK389" s="1268"/>
    </row>
    <row r="390" spans="1:38">
      <c r="B390" s="2"/>
      <c r="E390" s="3"/>
      <c r="F390" s="1268"/>
      <c r="G390" s="1268"/>
      <c r="H390" s="1268"/>
      <c r="I390" s="1268"/>
      <c r="J390" s="1268"/>
      <c r="K390" s="1268"/>
      <c r="L390" s="1268"/>
      <c r="M390" s="1268"/>
      <c r="N390" s="1268"/>
      <c r="O390" s="1268"/>
      <c r="P390" s="1268"/>
      <c r="Q390" s="1268"/>
      <c r="R390" s="1268"/>
      <c r="S390" s="1268"/>
      <c r="T390" s="1268"/>
      <c r="U390" s="1268"/>
      <c r="V390" s="1268"/>
      <c r="W390" s="1268"/>
      <c r="X390" s="1268"/>
      <c r="Y390" s="1268"/>
      <c r="Z390" s="1268"/>
      <c r="AA390" s="1268"/>
      <c r="AB390" s="1268"/>
      <c r="AC390" s="1268"/>
      <c r="AD390" s="1268"/>
      <c r="AE390" s="1268"/>
      <c r="AF390" s="1268"/>
      <c r="AG390" s="1268"/>
      <c r="AH390" s="1268"/>
      <c r="AI390" s="1268"/>
      <c r="AJ390" s="1268"/>
      <c r="AK390" s="1268"/>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429</v>
      </c>
      <c r="E392" s="2" t="s">
        <v>1383</v>
      </c>
      <c r="F392" s="3"/>
      <c r="G392" s="2"/>
      <c r="I392" s="120"/>
      <c r="J392" s="3"/>
      <c r="K392" s="3"/>
      <c r="L392" s="3"/>
      <c r="M392" s="3"/>
      <c r="N392" s="3"/>
      <c r="O392" s="3"/>
      <c r="P392" s="3"/>
      <c r="Q392" s="3"/>
      <c r="R392" s="3"/>
      <c r="S392" s="3"/>
    </row>
    <row r="393" spans="1:38" ht="13.35" customHeight="1">
      <c r="B393" s="2"/>
      <c r="D393" s="2"/>
      <c r="E393" s="3" t="s">
        <v>1382</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1256</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7109375" defaultRowHeight="15.75" customHeight="1"/>
  <cols>
    <col min="1" max="13" width="2.7109375" style="1200"/>
    <col min="14" max="14" width="4.7109375" style="1200" customWidth="1"/>
    <col min="15" max="37" width="2.7109375" style="1200"/>
    <col min="38" max="38" width="3" style="1200" customWidth="1"/>
    <col min="39" max="45" width="2.7109375" style="1200"/>
    <col min="46" max="46" width="4.7109375" style="1200" customWidth="1"/>
    <col min="47" max="64" width="2.7109375" style="1200"/>
    <col min="65" max="65" width="10.42578125" style="1200" hidden="1" customWidth="1"/>
    <col min="66" max="70" width="5.42578125" style="1200" bestFit="1" customWidth="1"/>
    <col min="71" max="71" width="6.140625" style="1200" bestFit="1" customWidth="1"/>
    <col min="72" max="76" width="5.42578125" style="1200" bestFit="1" customWidth="1"/>
    <col min="77" max="77" width="6.140625" style="1200" bestFit="1" customWidth="1"/>
    <col min="78" max="78" width="5.42578125" style="1200" bestFit="1" customWidth="1"/>
    <col min="79" max="16384" width="2.7109375" style="1200"/>
  </cols>
  <sheetData>
    <row r="1" spans="1:65" ht="15.75" customHeight="1">
      <c r="A1" s="2242" t="s">
        <v>2411</v>
      </c>
      <c r="B1" s="2243"/>
      <c r="C1" s="2243"/>
      <c r="D1" s="2243"/>
      <c r="E1" s="2243"/>
      <c r="F1" s="2243"/>
      <c r="G1" s="2243"/>
      <c r="H1" s="2243"/>
      <c r="I1" s="2243"/>
      <c r="J1" s="2243"/>
      <c r="K1" s="2243"/>
      <c r="L1" s="2243"/>
      <c r="M1" s="2243"/>
      <c r="N1" s="2243"/>
      <c r="O1" s="2243"/>
      <c r="P1" s="2243"/>
      <c r="Q1" s="2243"/>
      <c r="R1" s="2243"/>
      <c r="S1" s="2243"/>
      <c r="T1" s="2243"/>
      <c r="U1" s="2243"/>
      <c r="V1" s="2243"/>
      <c r="W1" s="2243"/>
      <c r="X1" s="2243"/>
      <c r="Y1" s="2243"/>
      <c r="Z1" s="2243"/>
      <c r="AA1" s="2243"/>
      <c r="AB1" s="2243"/>
      <c r="AC1" s="2243"/>
      <c r="AD1" s="2243"/>
      <c r="AE1" s="2243"/>
      <c r="AF1" s="2243"/>
      <c r="AG1" s="2243"/>
      <c r="AH1" s="2243"/>
      <c r="AI1" s="2243"/>
      <c r="AJ1" s="2243"/>
      <c r="AK1" s="2243"/>
      <c r="AL1" s="2243"/>
      <c r="AM1" s="2243"/>
      <c r="AN1" s="2243"/>
      <c r="AO1" s="2243"/>
      <c r="AP1" s="2243"/>
      <c r="AQ1" s="2243"/>
      <c r="AR1" s="2243"/>
      <c r="AS1" s="2243"/>
      <c r="AT1" s="2243"/>
      <c r="AU1" s="2243"/>
      <c r="AV1" s="2243"/>
      <c r="AW1" s="2243"/>
      <c r="AX1" s="2243"/>
      <c r="AY1" s="2243"/>
      <c r="AZ1" s="2243"/>
      <c r="BA1" s="2243"/>
      <c r="BB1" s="2243"/>
      <c r="BC1" s="2243"/>
      <c r="BD1" s="2243"/>
      <c r="BE1" s="2244"/>
    </row>
    <row r="2" spans="1:65" ht="15.75" customHeight="1">
      <c r="A2" s="2245" t="s">
        <v>2458</v>
      </c>
      <c r="B2" s="2246"/>
      <c r="C2" s="2246"/>
      <c r="D2" s="2246"/>
      <c r="E2" s="2246"/>
      <c r="F2" s="2246"/>
      <c r="G2" s="2246"/>
      <c r="H2" s="2246"/>
      <c r="I2" s="2246"/>
      <c r="J2" s="2246"/>
      <c r="K2" s="2246"/>
      <c r="L2" s="2246"/>
      <c r="M2" s="2246"/>
      <c r="N2" s="2246"/>
      <c r="O2" s="2246"/>
      <c r="P2" s="2246"/>
      <c r="Q2" s="2246"/>
      <c r="R2" s="2246"/>
      <c r="S2" s="2246"/>
      <c r="T2" s="2246"/>
      <c r="U2" s="2246"/>
      <c r="V2" s="2246"/>
      <c r="W2" s="2246"/>
      <c r="X2" s="2246"/>
      <c r="Y2" s="2246"/>
      <c r="Z2" s="2246"/>
      <c r="AA2" s="2246"/>
      <c r="AB2" s="2246"/>
      <c r="AC2" s="2246"/>
      <c r="AD2" s="2246"/>
      <c r="AE2" s="2246"/>
      <c r="AF2" s="2246"/>
      <c r="AG2" s="2246"/>
      <c r="AH2" s="2246"/>
      <c r="AI2" s="2246"/>
      <c r="AJ2" s="2246"/>
      <c r="AK2" s="2246"/>
      <c r="AL2" s="2246"/>
      <c r="AM2" s="2246"/>
      <c r="AN2" s="2246"/>
      <c r="AO2" s="2246"/>
      <c r="AP2" s="2246"/>
      <c r="AQ2" s="2246"/>
      <c r="AR2" s="2246"/>
      <c r="AS2" s="2246"/>
      <c r="AT2" s="2246"/>
      <c r="AU2" s="2246"/>
      <c r="AV2" s="2246"/>
      <c r="AW2" s="2246"/>
      <c r="AX2" s="2246"/>
      <c r="AY2" s="2246"/>
      <c r="AZ2" s="2246"/>
      <c r="BA2" s="2246"/>
      <c r="BB2" s="2246"/>
      <c r="BC2" s="2246"/>
      <c r="BD2" s="2246"/>
      <c r="BE2" s="2247"/>
      <c r="BF2" s="1201"/>
    </row>
    <row r="3" spans="1:65" ht="15.75" customHeight="1" thickBot="1">
      <c r="A3" s="1215"/>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209"/>
      <c r="AQ3" s="1209"/>
      <c r="AR3" s="1209"/>
      <c r="AS3" s="1209"/>
      <c r="AT3" s="1209"/>
      <c r="AU3" s="1209"/>
      <c r="AV3" s="1209"/>
      <c r="AW3" s="1209"/>
      <c r="AX3" s="1209"/>
      <c r="AY3" s="1209"/>
      <c r="AZ3" s="1209"/>
      <c r="BA3" s="1209"/>
      <c r="BB3" s="1209"/>
      <c r="BC3" s="1209"/>
      <c r="BD3" s="1209"/>
      <c r="BE3" s="1219"/>
    </row>
    <row r="4" spans="1:65" ht="15.75" customHeight="1" thickBot="1">
      <c r="A4" s="1215"/>
      <c r="B4" s="1217" t="s">
        <v>663</v>
      </c>
      <c r="C4" s="1217"/>
      <c r="D4" s="1217"/>
      <c r="E4" s="1217"/>
      <c r="F4" s="1217"/>
      <c r="G4" s="1209"/>
      <c r="H4" s="1209"/>
      <c r="I4" s="1209"/>
      <c r="J4" s="1209"/>
      <c r="K4" s="1209"/>
      <c r="L4" s="2248" t="str">
        <f>IF(Application!H18="","",Application!H18)</f>
        <v>Downtown Library Mixed Use Project</v>
      </c>
      <c r="M4" s="2249"/>
      <c r="N4" s="2249"/>
      <c r="O4" s="2249"/>
      <c r="P4" s="2249"/>
      <c r="Q4" s="2249"/>
      <c r="R4" s="2249"/>
      <c r="S4" s="2249"/>
      <c r="T4" s="2249"/>
      <c r="U4" s="2249"/>
      <c r="V4" s="2249"/>
      <c r="W4" s="2249"/>
      <c r="X4" s="2249"/>
      <c r="Y4" s="2249"/>
      <c r="Z4" s="2249"/>
      <c r="AA4" s="2249"/>
      <c r="AB4" s="2249"/>
      <c r="AC4" s="2250"/>
      <c r="AD4" s="1209"/>
      <c r="AE4" s="1209"/>
      <c r="AF4" s="2251" t="s">
        <v>2459</v>
      </c>
      <c r="AG4" s="2251"/>
      <c r="AH4" s="2251"/>
      <c r="AI4" s="2251"/>
      <c r="AJ4" s="2251"/>
      <c r="AK4" s="2251"/>
      <c r="AL4" s="2251"/>
      <c r="AM4" s="2251"/>
      <c r="AN4" s="2251"/>
      <c r="AO4" s="2251"/>
      <c r="AP4" s="2252"/>
      <c r="AQ4" s="2253"/>
      <c r="AR4" s="2253"/>
      <c r="AS4" s="2253"/>
      <c r="AT4" s="2253"/>
      <c r="AU4" s="2253"/>
      <c r="AV4" s="1209"/>
      <c r="AW4" s="1209"/>
      <c r="AX4" s="1209"/>
      <c r="AY4" s="1209"/>
      <c r="AZ4" s="1209"/>
      <c r="BA4" s="1209"/>
      <c r="BB4" s="1209"/>
      <c r="BC4" s="1209"/>
      <c r="BD4" s="1209"/>
      <c r="BE4" s="1219"/>
    </row>
    <row r="5" spans="1:65" ht="15.75" customHeight="1" thickBot="1">
      <c r="A5" s="1215"/>
      <c r="B5" s="1209"/>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2251" t="s">
        <v>2460</v>
      </c>
      <c r="AG5" s="2251"/>
      <c r="AH5" s="2251"/>
      <c r="AI5" s="2251"/>
      <c r="AJ5" s="2251"/>
      <c r="AK5" s="2251"/>
      <c r="AL5" s="2251"/>
      <c r="AM5" s="2251"/>
      <c r="AN5" s="2251"/>
      <c r="AO5" s="2251"/>
      <c r="AP5" s="2252"/>
      <c r="AQ5" s="2253"/>
      <c r="AR5" s="2253"/>
      <c r="AS5" s="2253"/>
      <c r="AT5" s="2253"/>
      <c r="AU5" s="2253"/>
      <c r="AV5" s="1209"/>
      <c r="AW5" s="1209"/>
      <c r="AX5" s="1209"/>
      <c r="AY5" s="1209"/>
      <c r="AZ5" s="1209"/>
      <c r="BA5" s="1209"/>
      <c r="BB5" s="1209"/>
      <c r="BC5" s="1209"/>
      <c r="BD5" s="1209"/>
      <c r="BE5" s="1219"/>
    </row>
    <row r="6" spans="1:65" ht="15.75" customHeight="1" thickBot="1">
      <c r="A6" s="1215"/>
      <c r="B6" s="1217" t="s">
        <v>1788</v>
      </c>
      <c r="C6" s="1209"/>
      <c r="D6" s="1209"/>
      <c r="E6" s="1209"/>
      <c r="F6" s="1209"/>
      <c r="G6" s="1209"/>
      <c r="H6" s="1209"/>
      <c r="I6" s="1209"/>
      <c r="J6" s="1209"/>
      <c r="K6" s="1209"/>
      <c r="L6" s="2248" t="str">
        <f>IF(Application!H16="","",Application!H16)</f>
        <v>DTLMU Investors, L.P.</v>
      </c>
      <c r="M6" s="2249"/>
      <c r="N6" s="2249"/>
      <c r="O6" s="2249"/>
      <c r="P6" s="2249"/>
      <c r="Q6" s="2249"/>
      <c r="R6" s="2249"/>
      <c r="S6" s="2249"/>
      <c r="T6" s="2249"/>
      <c r="U6" s="2249"/>
      <c r="V6" s="2249"/>
      <c r="W6" s="2249"/>
      <c r="X6" s="2249"/>
      <c r="Y6" s="2249"/>
      <c r="Z6" s="2249"/>
      <c r="AA6" s="2249"/>
      <c r="AB6" s="2249"/>
      <c r="AC6" s="2250"/>
      <c r="AD6" s="1209"/>
      <c r="AE6" s="1209"/>
      <c r="AF6" s="2254" t="s">
        <v>2461</v>
      </c>
      <c r="AG6" s="2254"/>
      <c r="AH6" s="2254"/>
      <c r="AI6" s="2254"/>
      <c r="AJ6" s="2254"/>
      <c r="AK6" s="2254"/>
      <c r="AL6" s="2254"/>
      <c r="AM6" s="2254"/>
      <c r="AN6" s="2254"/>
      <c r="AO6" s="2254"/>
      <c r="AP6" s="2241">
        <v>0</v>
      </c>
      <c r="AQ6" s="2241"/>
      <c r="AR6" s="2241"/>
      <c r="AS6" s="2241"/>
      <c r="AT6" s="2241"/>
      <c r="AU6" s="2241"/>
      <c r="AV6" s="1209"/>
      <c r="AW6" s="1209"/>
      <c r="AX6" s="1209"/>
      <c r="AY6" s="1209"/>
      <c r="AZ6" s="1209"/>
      <c r="BA6" s="1209"/>
      <c r="BB6" s="1209"/>
      <c r="BC6" s="1209"/>
      <c r="BD6" s="1209"/>
      <c r="BE6" s="1219"/>
    </row>
    <row r="7" spans="1:65" thickBot="1">
      <c r="A7" s="1215"/>
      <c r="B7" s="1209"/>
      <c r="C7" s="1209"/>
      <c r="D7" s="1209"/>
      <c r="E7" s="1209"/>
      <c r="F7" s="1209"/>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2254" t="s">
        <v>2462</v>
      </c>
      <c r="AG7" s="2254"/>
      <c r="AH7" s="2254"/>
      <c r="AI7" s="2254"/>
      <c r="AJ7" s="2254"/>
      <c r="AK7" s="2254"/>
      <c r="AL7" s="2254"/>
      <c r="AM7" s="2254"/>
      <c r="AN7" s="2254"/>
      <c r="AO7" s="2254"/>
      <c r="AP7" s="2241">
        <v>0</v>
      </c>
      <c r="AQ7" s="2241"/>
      <c r="AR7" s="2241"/>
      <c r="AS7" s="2241"/>
      <c r="AT7" s="2241"/>
      <c r="AU7" s="2241"/>
      <c r="AV7" s="1209"/>
      <c r="AW7" s="1209"/>
      <c r="AX7" s="1209"/>
      <c r="AY7" s="1209"/>
      <c r="AZ7" s="1209"/>
      <c r="BA7" s="1209"/>
      <c r="BB7" s="1209"/>
      <c r="BC7" s="1209"/>
      <c r="BD7" s="1209"/>
      <c r="BE7" s="1219"/>
    </row>
    <row r="8" spans="1:65" thickBot="1">
      <c r="A8" s="1215"/>
      <c r="B8" s="1217" t="s">
        <v>1789</v>
      </c>
      <c r="C8" s="1209"/>
      <c r="D8" s="1209"/>
      <c r="E8" s="1209"/>
      <c r="F8" s="1209"/>
      <c r="G8" s="1209"/>
      <c r="H8" s="1209"/>
      <c r="I8" s="1209"/>
      <c r="J8" s="1209"/>
      <c r="K8" s="1209"/>
      <c r="L8" s="1209"/>
      <c r="M8" s="1209"/>
      <c r="N8" s="1209"/>
      <c r="O8" s="1209"/>
      <c r="P8" s="1209"/>
      <c r="Q8" s="1209"/>
      <c r="R8" s="1209"/>
      <c r="S8" s="1209"/>
      <c r="T8" s="1209"/>
      <c r="U8" s="1209"/>
      <c r="V8" s="1209"/>
      <c r="W8" s="1209"/>
      <c r="X8" s="1209"/>
      <c r="Y8" s="1209"/>
      <c r="Z8" s="1209"/>
      <c r="AA8" s="1209"/>
      <c r="AB8" s="2255" t="str">
        <f>Application!T197</f>
        <v>No</v>
      </c>
      <c r="AC8" s="2256"/>
      <c r="AD8" s="2257"/>
      <c r="AE8" s="1209"/>
      <c r="AF8" s="2254" t="s">
        <v>2463</v>
      </c>
      <c r="AG8" s="2254"/>
      <c r="AH8" s="2254"/>
      <c r="AI8" s="2254"/>
      <c r="AJ8" s="2254"/>
      <c r="AK8" s="2254"/>
      <c r="AL8" s="2254"/>
      <c r="AM8" s="2254"/>
      <c r="AN8" s="2254"/>
      <c r="AO8" s="2254"/>
      <c r="AP8" s="2241" t="s">
        <v>2415</v>
      </c>
      <c r="AQ8" s="2241"/>
      <c r="AR8" s="2241"/>
      <c r="AS8" s="2241"/>
      <c r="AT8" s="2241"/>
      <c r="AU8" s="2241"/>
      <c r="AV8" s="1209"/>
      <c r="AW8" s="1209"/>
      <c r="AX8" s="1209"/>
      <c r="AY8" s="1209"/>
      <c r="AZ8" s="1209"/>
      <c r="BA8" s="1209"/>
      <c r="BB8" s="1209"/>
      <c r="BC8" s="1209"/>
      <c r="BD8" s="1209"/>
      <c r="BE8" s="1219"/>
      <c r="BM8" s="1200" t="s">
        <v>2291</v>
      </c>
    </row>
    <row r="9" spans="1:65" ht="15">
      <c r="A9" s="1209"/>
      <c r="B9" s="1209"/>
      <c r="C9" s="1209"/>
      <c r="D9" s="1209"/>
      <c r="E9" s="1209"/>
      <c r="F9" s="1209"/>
      <c r="G9" s="1209"/>
      <c r="H9" s="1209"/>
      <c r="I9" s="1209"/>
      <c r="J9" s="1209"/>
      <c r="K9" s="1209"/>
      <c r="L9" s="1209"/>
      <c r="M9" s="1209"/>
      <c r="N9" s="1209"/>
      <c r="O9" s="1209"/>
      <c r="P9" s="1209"/>
      <c r="Q9" s="1209"/>
      <c r="R9" s="1209"/>
      <c r="S9" s="1209"/>
      <c r="T9" s="1209"/>
      <c r="U9" s="1209"/>
      <c r="V9" s="1209"/>
      <c r="W9" s="1209"/>
      <c r="X9" s="1209"/>
      <c r="Y9" s="1209"/>
      <c r="Z9" s="1209"/>
      <c r="AA9" s="1209"/>
      <c r="AB9" s="1209"/>
      <c r="AC9" s="1209"/>
      <c r="AD9" s="1209"/>
      <c r="AE9" s="1209"/>
      <c r="AF9" s="2251" t="s">
        <v>2623</v>
      </c>
      <c r="AG9" s="2251"/>
      <c r="AH9" s="2251"/>
      <c r="AI9" s="2251"/>
      <c r="AJ9" s="2251"/>
      <c r="AK9" s="2251"/>
      <c r="AL9" s="2251"/>
      <c r="AM9" s="2251"/>
      <c r="AN9" s="2251"/>
      <c r="AO9" s="2251"/>
      <c r="AP9" s="2252"/>
      <c r="AQ9" s="2253"/>
      <c r="AR9" s="2253"/>
      <c r="AS9" s="2253"/>
      <c r="AT9" s="2253"/>
      <c r="AU9" s="2253"/>
      <c r="AV9" s="1209"/>
      <c r="AW9" s="1209"/>
      <c r="AX9" s="1209"/>
      <c r="AY9" s="1209"/>
      <c r="AZ9" s="1209"/>
      <c r="BA9" s="1209"/>
      <c r="BB9" s="1209"/>
      <c r="BC9" s="1209"/>
      <c r="BD9" s="1209"/>
      <c r="BE9" s="1219"/>
      <c r="BM9" s="1200" t="s">
        <v>2464</v>
      </c>
    </row>
    <row r="10" spans="1:65" ht="15">
      <c r="A10" s="1215"/>
      <c r="B10" s="1217" t="s">
        <v>1790</v>
      </c>
      <c r="C10" s="1217"/>
      <c r="D10" s="1217"/>
      <c r="E10" s="1217"/>
      <c r="F10" s="1217"/>
      <c r="G10" s="1217"/>
      <c r="H10" s="1217"/>
      <c r="I10" s="1217"/>
      <c r="J10" s="1217"/>
      <c r="K10" s="1217"/>
      <c r="L10" s="1217"/>
      <c r="M10" s="1209"/>
      <c r="N10" s="2266">
        <f>Application!AO627</f>
        <v>22361000</v>
      </c>
      <c r="O10" s="2266"/>
      <c r="P10" s="2266"/>
      <c r="Q10" s="2266"/>
      <c r="R10" s="2266"/>
      <c r="S10" s="2266"/>
      <c r="T10" s="2266"/>
      <c r="U10" s="1209"/>
      <c r="V10" s="1209"/>
      <c r="W10" s="1209"/>
      <c r="X10" s="1258"/>
      <c r="Y10" s="1258"/>
      <c r="Z10" s="1258"/>
      <c r="AA10" s="1258"/>
      <c r="AB10" s="1258"/>
      <c r="AC10" s="1258"/>
      <c r="AD10" s="1258"/>
      <c r="AE10" s="1258"/>
      <c r="AF10" s="2251" t="s">
        <v>2622</v>
      </c>
      <c r="AG10" s="2251"/>
      <c r="AH10" s="2251"/>
      <c r="AI10" s="2251"/>
      <c r="AJ10" s="2251"/>
      <c r="AK10" s="2251"/>
      <c r="AL10" s="2251"/>
      <c r="AM10" s="2251"/>
      <c r="AN10" s="2251"/>
      <c r="AO10" s="2251"/>
      <c r="AP10" s="2252"/>
      <c r="AQ10" s="2253"/>
      <c r="AR10" s="2253"/>
      <c r="AS10" s="2253"/>
      <c r="AT10" s="2253"/>
      <c r="AU10" s="2253"/>
      <c r="AV10" s="1258"/>
      <c r="AW10" s="1258"/>
      <c r="AX10" s="1209"/>
      <c r="AY10" s="1209"/>
      <c r="AZ10" s="1209"/>
      <c r="BA10" s="1209"/>
      <c r="BB10" s="1209"/>
      <c r="BC10" s="1209"/>
      <c r="BD10" s="1209"/>
      <c r="BE10" s="1219"/>
      <c r="BM10" s="1200" t="s">
        <v>2466</v>
      </c>
    </row>
    <row r="11" spans="1:65" ht="15">
      <c r="A11" s="1215"/>
      <c r="B11" s="1217" t="s">
        <v>1791</v>
      </c>
      <c r="C11" s="1217"/>
      <c r="D11" s="1217"/>
      <c r="E11" s="1217"/>
      <c r="F11" s="1217"/>
      <c r="G11" s="1217"/>
      <c r="H11" s="1217"/>
      <c r="I11" s="1217"/>
      <c r="J11" s="1217"/>
      <c r="K11" s="1217"/>
      <c r="L11" s="1217"/>
      <c r="M11" s="1209"/>
      <c r="N11" s="2266">
        <f>Application!AA933</f>
        <v>0</v>
      </c>
      <c r="O11" s="2266"/>
      <c r="P11" s="2266"/>
      <c r="Q11" s="2266"/>
      <c r="R11" s="2266"/>
      <c r="S11" s="2266"/>
      <c r="T11" s="2266"/>
      <c r="U11" s="1209"/>
      <c r="V11" s="1209"/>
      <c r="W11" s="1209"/>
      <c r="X11" s="1258"/>
      <c r="Y11" s="1258"/>
      <c r="Z11" s="1258"/>
      <c r="AA11" s="1258"/>
      <c r="AB11" s="1258"/>
      <c r="AC11" s="1258"/>
      <c r="AD11" s="1258"/>
      <c r="AE11" s="1258"/>
      <c r="AF11" s="2251" t="s">
        <v>2621</v>
      </c>
      <c r="AG11" s="2251"/>
      <c r="AH11" s="2251"/>
      <c r="AI11" s="2251"/>
      <c r="AJ11" s="2251"/>
      <c r="AK11" s="2251"/>
      <c r="AL11" s="2251"/>
      <c r="AM11" s="2251"/>
      <c r="AN11" s="2251"/>
      <c r="AO11" s="2251"/>
      <c r="AP11" s="2252"/>
      <c r="AQ11" s="2253"/>
      <c r="AR11" s="2253"/>
      <c r="AS11" s="2253"/>
      <c r="AT11" s="2253"/>
      <c r="AU11" s="2253"/>
      <c r="AV11" s="1258"/>
      <c r="AW11" s="1258"/>
      <c r="AX11" s="1209"/>
      <c r="AY11" s="1209"/>
      <c r="AZ11" s="1209"/>
      <c r="BA11" s="1209"/>
      <c r="BB11" s="1209"/>
      <c r="BC11" s="1209"/>
      <c r="BD11" s="1209"/>
      <c r="BE11" s="1219"/>
      <c r="BM11" s="1200" t="s">
        <v>2415</v>
      </c>
    </row>
    <row r="12" spans="1:65" thickBot="1">
      <c r="A12" s="1209"/>
      <c r="B12" s="1209"/>
      <c r="C12" s="1209"/>
      <c r="D12" s="1209"/>
      <c r="E12" s="1209"/>
      <c r="F12" s="1209"/>
      <c r="G12" s="1209"/>
      <c r="H12" s="1209"/>
      <c r="I12" s="1209"/>
      <c r="J12" s="1209"/>
      <c r="K12" s="1209"/>
      <c r="L12" s="1209"/>
      <c r="M12" s="1209"/>
      <c r="N12" s="1209"/>
      <c r="O12" s="1209"/>
      <c r="P12" s="1209"/>
      <c r="Q12" s="1209"/>
      <c r="R12" s="1209"/>
      <c r="S12" s="1209"/>
      <c r="T12" s="1209"/>
      <c r="U12" s="1209"/>
      <c r="V12" s="1209"/>
      <c r="W12" s="1209"/>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09"/>
      <c r="AW12" s="1209"/>
      <c r="AX12" s="1209"/>
      <c r="AY12" s="1209"/>
      <c r="AZ12" s="1209"/>
      <c r="BA12" s="1209"/>
      <c r="BB12" s="1209"/>
      <c r="BC12" s="1209"/>
      <c r="BD12" s="1209"/>
      <c r="BE12" s="1205"/>
      <c r="BM12" s="1200" t="s">
        <v>2469</v>
      </c>
    </row>
    <row r="13" spans="1:65" thickBot="1">
      <c r="A13" s="1209"/>
      <c r="B13" s="2273" t="s">
        <v>1792</v>
      </c>
      <c r="C13" s="2274"/>
      <c r="D13" s="2274"/>
      <c r="E13" s="2274"/>
      <c r="F13" s="2274"/>
      <c r="G13" s="2274"/>
      <c r="H13" s="2274"/>
      <c r="I13" s="2274"/>
      <c r="J13" s="2274"/>
      <c r="K13" s="2274"/>
      <c r="L13" s="2274"/>
      <c r="M13" s="2274"/>
      <c r="N13" s="2274"/>
      <c r="O13" s="2274"/>
      <c r="P13" s="2275"/>
      <c r="Q13" s="2276" t="s">
        <v>676</v>
      </c>
      <c r="R13" s="2277"/>
      <c r="S13" s="2277"/>
      <c r="T13" s="2278"/>
      <c r="U13" s="1258"/>
      <c r="V13" s="1209"/>
      <c r="W13" s="1209"/>
      <c r="X13" s="1209"/>
      <c r="Y13" s="1209"/>
      <c r="Z13" s="1209"/>
      <c r="AA13" s="2267" t="s">
        <v>2465</v>
      </c>
      <c r="AB13" s="2267"/>
      <c r="AC13" s="2267"/>
      <c r="AD13" s="2267"/>
      <c r="AE13" s="2267"/>
      <c r="AF13" s="2267"/>
      <c r="AG13" s="2267"/>
      <c r="AH13" s="2267"/>
      <c r="AI13" s="2267"/>
      <c r="AJ13" s="2267"/>
      <c r="AK13" s="2267"/>
      <c r="AL13" s="2267"/>
      <c r="AM13" s="2267"/>
      <c r="AN13" s="2267"/>
      <c r="AO13" s="2268">
        <f>Application!W473</f>
        <v>0</v>
      </c>
      <c r="AP13" s="2269"/>
      <c r="AQ13" s="2269"/>
      <c r="AR13" s="2269"/>
      <c r="AS13" s="2269"/>
      <c r="AT13" s="1258"/>
      <c r="AU13" s="1258"/>
      <c r="AV13" s="1258"/>
      <c r="AW13" s="1258"/>
      <c r="AX13" s="1258"/>
      <c r="AY13" s="1258"/>
      <c r="AZ13" s="1258"/>
      <c r="BA13" s="1258"/>
      <c r="BB13" s="1258"/>
      <c r="BC13" s="1258"/>
      <c r="BD13" s="1258"/>
      <c r="BE13" s="1205"/>
      <c r="BM13" s="1200" t="s">
        <v>2470</v>
      </c>
    </row>
    <row r="14" spans="1:65" thickBot="1">
      <c r="A14" s="1209"/>
      <c r="B14" s="1209"/>
      <c r="C14" s="1209"/>
      <c r="D14" s="1209"/>
      <c r="E14" s="1209"/>
      <c r="F14" s="1209"/>
      <c r="G14" s="1209"/>
      <c r="H14" s="1209"/>
      <c r="I14" s="1209"/>
      <c r="J14" s="1209"/>
      <c r="K14" s="1209"/>
      <c r="L14" s="1209"/>
      <c r="M14" s="1209"/>
      <c r="N14" s="1209"/>
      <c r="O14" s="1209"/>
      <c r="P14" s="1209"/>
      <c r="Q14" s="1209"/>
      <c r="R14" s="1209"/>
      <c r="S14" s="1209"/>
      <c r="T14" s="1209"/>
      <c r="U14" s="1209"/>
      <c r="V14" s="1209"/>
      <c r="W14" s="1209"/>
      <c r="X14" s="1209"/>
      <c r="Y14" s="1209"/>
      <c r="Z14" s="1209"/>
      <c r="AA14" s="2270" t="s">
        <v>2467</v>
      </c>
      <c r="AB14" s="2270"/>
      <c r="AC14" s="2270"/>
      <c r="AD14" s="2270"/>
      <c r="AE14" s="2270"/>
      <c r="AF14" s="2270"/>
      <c r="AG14" s="2270"/>
      <c r="AH14" s="2270"/>
      <c r="AI14" s="2270"/>
      <c r="AJ14" s="2270"/>
      <c r="AK14" s="2270"/>
      <c r="AL14" s="2270"/>
      <c r="AM14" s="2270"/>
      <c r="AN14" s="2270"/>
      <c r="AO14" s="2271"/>
      <c r="AP14" s="2272"/>
      <c r="AQ14" s="2272"/>
      <c r="AR14" s="2272"/>
      <c r="AS14" s="2272"/>
      <c r="AT14" s="1258"/>
      <c r="AU14" s="1258"/>
      <c r="AV14" s="1258"/>
      <c r="AW14" s="1258"/>
      <c r="AX14" s="1258"/>
      <c r="AY14" s="1258"/>
      <c r="AZ14" s="1258"/>
      <c r="BA14" s="1258"/>
      <c r="BB14" s="1258"/>
      <c r="BC14" s="1258"/>
      <c r="BD14" s="1258"/>
      <c r="BE14" s="1205"/>
    </row>
    <row r="15" spans="1:65" thickBot="1">
      <c r="A15" s="1209"/>
      <c r="B15" s="2279" t="s">
        <v>1793</v>
      </c>
      <c r="C15" s="2280"/>
      <c r="D15" s="2280"/>
      <c r="E15" s="2280"/>
      <c r="F15" s="2280"/>
      <c r="G15" s="2280"/>
      <c r="H15" s="2280"/>
      <c r="I15" s="2280"/>
      <c r="J15" s="2280"/>
      <c r="K15" s="2280"/>
      <c r="L15" s="2280"/>
      <c r="M15" s="2280"/>
      <c r="N15" s="2280"/>
      <c r="O15" s="2280"/>
      <c r="P15" s="2280"/>
      <c r="Q15" s="2280"/>
      <c r="R15" s="2281"/>
      <c r="S15" s="2282" t="str">
        <f>IF(Application!AB214="","",Application!AB214)</f>
        <v/>
      </c>
      <c r="T15" s="2282"/>
      <c r="U15" s="2282"/>
      <c r="V15" s="2282"/>
      <c r="W15" s="2283"/>
      <c r="X15" s="1258"/>
      <c r="Y15" s="1209"/>
      <c r="Z15" s="1209"/>
      <c r="AA15" s="2267" t="s">
        <v>2468</v>
      </c>
      <c r="AB15" s="2267"/>
      <c r="AC15" s="2267"/>
      <c r="AD15" s="2267"/>
      <c r="AE15" s="2267"/>
      <c r="AF15" s="2267"/>
      <c r="AG15" s="2267"/>
      <c r="AH15" s="2267"/>
      <c r="AI15" s="2267"/>
      <c r="AJ15" s="2267"/>
      <c r="AK15" s="2267"/>
      <c r="AL15" s="2267"/>
      <c r="AM15" s="2267"/>
      <c r="AN15" s="2267"/>
      <c r="AO15" s="2271"/>
      <c r="AP15" s="2272"/>
      <c r="AQ15" s="2272"/>
      <c r="AR15" s="2272"/>
      <c r="AS15" s="2272"/>
      <c r="AT15" s="1258"/>
      <c r="AU15" s="1258"/>
      <c r="AV15" s="1258"/>
      <c r="AW15" s="1258"/>
      <c r="AX15" s="1258"/>
      <c r="AY15" s="1258"/>
      <c r="AZ15" s="1258"/>
      <c r="BA15" s="1258"/>
      <c r="BB15" s="1258"/>
      <c r="BC15" s="1258"/>
      <c r="BD15" s="1258"/>
      <c r="BE15" s="1205"/>
    </row>
    <row r="16" spans="1:65" thickBot="1">
      <c r="A16" s="1215"/>
      <c r="B16" s="1209"/>
      <c r="C16" s="1209"/>
      <c r="D16" s="1209"/>
      <c r="E16" s="1209"/>
      <c r="F16" s="1209"/>
      <c r="G16" s="1209"/>
      <c r="H16" s="1209"/>
      <c r="I16" s="1209"/>
      <c r="J16" s="1209"/>
      <c r="K16" s="1209"/>
      <c r="L16" s="1209"/>
      <c r="M16" s="1209"/>
      <c r="N16" s="1209"/>
      <c r="O16" s="1209"/>
      <c r="P16" s="1209"/>
      <c r="Q16" s="1209"/>
      <c r="R16" s="1209"/>
      <c r="S16" s="1209"/>
      <c r="T16" s="1209"/>
      <c r="U16" s="1209"/>
      <c r="V16" s="1209"/>
      <c r="W16" s="1209"/>
      <c r="X16" s="1209"/>
      <c r="Y16" s="1209"/>
      <c r="Z16" s="1209"/>
      <c r="AA16" s="1209"/>
      <c r="AB16" s="1209"/>
      <c r="AC16" s="1209"/>
      <c r="AD16" s="1209"/>
      <c r="AE16" s="1209"/>
      <c r="AF16" s="1209"/>
      <c r="AG16" s="1209"/>
      <c r="AH16" s="1209"/>
      <c r="AI16" s="1209"/>
      <c r="AJ16" s="1209"/>
      <c r="AK16" s="1209"/>
      <c r="AL16" s="1209"/>
      <c r="AM16" s="1209"/>
      <c r="AN16" s="1209"/>
      <c r="AO16" s="1209"/>
      <c r="AP16" s="1209"/>
      <c r="AQ16" s="1209"/>
      <c r="AR16" s="1209"/>
      <c r="AS16" s="1209"/>
      <c r="AT16" s="1209"/>
      <c r="AU16" s="1209"/>
      <c r="AV16" s="1209"/>
      <c r="AW16" s="1209"/>
      <c r="AX16" s="1209"/>
      <c r="AY16" s="1209"/>
      <c r="AZ16" s="1209"/>
      <c r="BA16" s="1209"/>
      <c r="BB16" s="1209"/>
      <c r="BC16" s="1209"/>
      <c r="BD16" s="1209"/>
      <c r="BE16" s="1205"/>
    </row>
    <row r="17" spans="1:58" ht="15">
      <c r="A17" s="1209"/>
      <c r="B17" s="2284" t="s">
        <v>1794</v>
      </c>
      <c r="C17" s="2285"/>
      <c r="D17" s="2285"/>
      <c r="E17" s="2285"/>
      <c r="F17" s="2285"/>
      <c r="G17" s="2285"/>
      <c r="H17" s="2285"/>
      <c r="I17" s="2285"/>
      <c r="J17" s="2285"/>
      <c r="K17" s="2285"/>
      <c r="L17" s="2285"/>
      <c r="M17" s="2285"/>
      <c r="N17" s="2285"/>
      <c r="O17" s="2285"/>
      <c r="P17" s="2285"/>
      <c r="Q17" s="2285"/>
      <c r="R17" s="2285"/>
      <c r="S17" s="2285"/>
      <c r="T17" s="2285"/>
      <c r="U17" s="2285"/>
      <c r="V17" s="2285"/>
      <c r="W17" s="2285"/>
      <c r="X17" s="2285"/>
      <c r="Y17" s="2285"/>
      <c r="Z17" s="2285"/>
      <c r="AA17" s="2285"/>
      <c r="AB17" s="2285"/>
      <c r="AC17" s="2285"/>
      <c r="AD17" s="2285"/>
      <c r="AE17" s="2285"/>
      <c r="AF17" s="2285"/>
      <c r="AG17" s="2285"/>
      <c r="AH17" s="2285"/>
      <c r="AI17" s="2285"/>
      <c r="AJ17" s="2285"/>
      <c r="AK17" s="2285"/>
      <c r="AL17" s="2285"/>
      <c r="AM17" s="2285"/>
      <c r="AN17" s="2285"/>
      <c r="AO17" s="2285"/>
      <c r="AP17" s="2285"/>
      <c r="AQ17" s="2285"/>
      <c r="AR17" s="2285"/>
      <c r="AS17" s="2285"/>
      <c r="AT17" s="2285"/>
      <c r="AU17" s="2285"/>
      <c r="AV17" s="2285"/>
      <c r="AW17" s="2285"/>
      <c r="AX17" s="2285"/>
      <c r="AY17" s="2286"/>
      <c r="AZ17" s="1209"/>
      <c r="BA17" s="1209"/>
      <c r="BB17" s="1209"/>
      <c r="BC17" s="1209"/>
      <c r="BD17" s="1209"/>
      <c r="BE17" s="1205"/>
      <c r="BF17" s="1201"/>
    </row>
    <row r="18" spans="1:58" ht="15.75" customHeight="1">
      <c r="A18" s="1209"/>
      <c r="B18" s="2287" t="s">
        <v>1795</v>
      </c>
      <c r="C18" s="2288"/>
      <c r="D18" s="2288"/>
      <c r="E18" s="2288"/>
      <c r="F18" s="2288"/>
      <c r="G18" s="2288"/>
      <c r="H18" s="2288"/>
      <c r="I18" s="2289"/>
      <c r="J18" s="2290" t="s">
        <v>1696</v>
      </c>
      <c r="K18" s="2291"/>
      <c r="L18" s="2291"/>
      <c r="M18" s="2291"/>
      <c r="N18" s="2291"/>
      <c r="O18" s="2292"/>
      <c r="P18" s="2290" t="s">
        <v>324</v>
      </c>
      <c r="Q18" s="2291"/>
      <c r="R18" s="2291"/>
      <c r="S18" s="2291"/>
      <c r="T18" s="2291"/>
      <c r="U18" s="2292"/>
      <c r="V18" s="2290" t="s">
        <v>325</v>
      </c>
      <c r="W18" s="2291"/>
      <c r="X18" s="2291"/>
      <c r="Y18" s="2291"/>
      <c r="Z18" s="2291"/>
      <c r="AA18" s="2292"/>
      <c r="AB18" s="2290" t="s">
        <v>163</v>
      </c>
      <c r="AC18" s="2291"/>
      <c r="AD18" s="2291"/>
      <c r="AE18" s="2291"/>
      <c r="AF18" s="2291"/>
      <c r="AG18" s="2292"/>
      <c r="AH18" s="2290" t="s">
        <v>164</v>
      </c>
      <c r="AI18" s="2291"/>
      <c r="AJ18" s="2291"/>
      <c r="AK18" s="2291"/>
      <c r="AL18" s="2291"/>
      <c r="AM18" s="2292"/>
      <c r="AN18" s="2290" t="s">
        <v>165</v>
      </c>
      <c r="AO18" s="2291"/>
      <c r="AP18" s="2291"/>
      <c r="AQ18" s="2291"/>
      <c r="AR18" s="2291"/>
      <c r="AS18" s="2292"/>
      <c r="AT18" s="2290" t="s">
        <v>1796</v>
      </c>
      <c r="AU18" s="2291"/>
      <c r="AV18" s="2291"/>
      <c r="AW18" s="2291"/>
      <c r="AX18" s="2291"/>
      <c r="AY18" s="2293"/>
      <c r="AZ18" s="1209"/>
      <c r="BA18" s="1209"/>
      <c r="BB18" s="1209"/>
      <c r="BC18" s="1209"/>
      <c r="BD18" s="1209"/>
      <c r="BE18" s="1205"/>
    </row>
    <row r="19" spans="1:58" ht="15">
      <c r="A19" s="1209"/>
      <c r="B19" s="2294">
        <v>0.3</v>
      </c>
      <c r="C19" s="2295"/>
      <c r="D19" s="2295"/>
      <c r="E19" s="2295"/>
      <c r="F19" s="2295"/>
      <c r="G19" s="2295"/>
      <c r="H19" s="2295"/>
      <c r="I19" s="2296"/>
      <c r="J19" s="2297">
        <f t="shared" ref="J19:J28" si="0">SUM(P19:AS19)</f>
        <v>19</v>
      </c>
      <c r="K19" s="2298"/>
      <c r="L19" s="2298"/>
      <c r="M19" s="2298"/>
      <c r="N19" s="2298"/>
      <c r="O19" s="2299"/>
      <c r="P19" s="2297" cm="1">
        <f t="array" ref="P19">SUMPRODUCT((Application!$B$718:$B$752 = 'CalHFA Addendum'!P$18)*(Application!$AC$718:$AC$752 = 'CalHFA Addendum'!$B19),Application!$G$718:$G$752)</f>
        <v>1</v>
      </c>
      <c r="Q19" s="2298"/>
      <c r="R19" s="2298"/>
      <c r="S19" s="2298"/>
      <c r="T19" s="2298"/>
      <c r="U19" s="2299"/>
      <c r="V19" s="2297" cm="1">
        <f t="array" ref="V19">SUMPRODUCT((Application!$B$714:$B$738 = 'CalHFA Addendum'!V$18)*(Application!$AC$714:$AC$738 = 'CalHFA Addendum'!$B19),Application!$G$714:$G$738)</f>
        <v>8</v>
      </c>
      <c r="W19" s="2298"/>
      <c r="X19" s="2298"/>
      <c r="Y19" s="2298"/>
      <c r="Z19" s="2298"/>
      <c r="AA19" s="2299"/>
      <c r="AB19" s="2297" cm="1">
        <f t="array" ref="AB19">SUMPRODUCT((Application!$B$714:$B$738 = 'CalHFA Addendum'!AB$18)*(Application!$AC$714:$AC$738 = 'CalHFA Addendum'!$B19),Application!$G$714:$G$738)</f>
        <v>5</v>
      </c>
      <c r="AC19" s="2298"/>
      <c r="AD19" s="2298"/>
      <c r="AE19" s="2298"/>
      <c r="AF19" s="2298"/>
      <c r="AG19" s="2299"/>
      <c r="AH19" s="2297" cm="1">
        <f t="array" ref="AH19">SUMPRODUCT((Application!$B$714:$B$738 = 'CalHFA Addendum'!AH$18)*(Application!$AC$714:$AC$738 = 'CalHFA Addendum'!$B19),Application!$G$714:$G$738)</f>
        <v>5</v>
      </c>
      <c r="AI19" s="2298"/>
      <c r="AJ19" s="2298"/>
      <c r="AK19" s="2298"/>
      <c r="AL19" s="2298"/>
      <c r="AM19" s="2299"/>
      <c r="AN19" s="2297" cm="1">
        <f t="array" ref="AN19">SUMPRODUCT((Application!$B$714:$B$738 = 'CalHFA Addendum'!AN$18)*(Application!$AC$714:$AC$738 = 'CalHFA Addendum'!$B19),Application!$G$714:$G$738)</f>
        <v>0</v>
      </c>
      <c r="AO19" s="2298"/>
      <c r="AP19" s="2298"/>
      <c r="AQ19" s="2298"/>
      <c r="AR19" s="2298"/>
      <c r="AS19" s="2299"/>
      <c r="AT19" s="2300">
        <f t="shared" ref="AT19:AT29" si="1">J19/$J$29</f>
        <v>0.15447154471544716</v>
      </c>
      <c r="AU19" s="2301"/>
      <c r="AV19" s="2301"/>
      <c r="AW19" s="2301"/>
      <c r="AX19" s="2301"/>
      <c r="AY19" s="2302"/>
      <c r="AZ19" s="1220"/>
      <c r="BA19" s="1209"/>
      <c r="BB19" s="1209"/>
      <c r="BC19" s="1209"/>
      <c r="BD19" s="1209"/>
      <c r="BE19" s="1205"/>
    </row>
    <row r="20" spans="1:58" ht="15" customHeight="1">
      <c r="A20" s="1209"/>
      <c r="B20" s="2294">
        <v>0.4</v>
      </c>
      <c r="C20" s="2295"/>
      <c r="D20" s="2295"/>
      <c r="E20" s="2295"/>
      <c r="F20" s="2295"/>
      <c r="G20" s="2295"/>
      <c r="H20" s="2295"/>
      <c r="I20" s="2296"/>
      <c r="J20" s="2297">
        <f t="shared" si="0"/>
        <v>19</v>
      </c>
      <c r="K20" s="2298"/>
      <c r="L20" s="2298"/>
      <c r="M20" s="2298"/>
      <c r="N20" s="2298"/>
      <c r="O20" s="2299"/>
      <c r="P20" s="2297" cm="1">
        <f t="array" ref="P20">SUMPRODUCT((Application!$B$718:$B$752 = 'CalHFA Addendum'!P$18)*(Application!$AC$718:$AC$752 = 'CalHFA Addendum'!$B20),Application!$G$718:$G$752)</f>
        <v>1</v>
      </c>
      <c r="Q20" s="2298"/>
      <c r="R20" s="2298"/>
      <c r="S20" s="2298"/>
      <c r="T20" s="2298"/>
      <c r="U20" s="2299"/>
      <c r="V20" s="2297" cm="1">
        <f t="array" ref="V20">SUMPRODUCT((Application!$B$714:$B$738 = 'CalHFA Addendum'!V$18)*(Application!$AC$714:$AC$738 = 'CalHFA Addendum'!$B20),Application!$G$714:$G$738)</f>
        <v>10</v>
      </c>
      <c r="W20" s="2298"/>
      <c r="X20" s="2298"/>
      <c r="Y20" s="2298"/>
      <c r="Z20" s="2298"/>
      <c r="AA20" s="2299"/>
      <c r="AB20" s="2297" cm="1">
        <f t="array" ref="AB20">SUMPRODUCT((Application!$B$714:$B$738 = 'CalHFA Addendum'!AB$18)*(Application!$AC$714:$AC$738 = 'CalHFA Addendum'!$B20),Application!$G$714:$G$738)</f>
        <v>4</v>
      </c>
      <c r="AC20" s="2298"/>
      <c r="AD20" s="2298"/>
      <c r="AE20" s="2298"/>
      <c r="AF20" s="2298"/>
      <c r="AG20" s="2299"/>
      <c r="AH20" s="2297" cm="1">
        <f t="array" ref="AH20">SUMPRODUCT((Application!$B$714:$B$738 = 'CalHFA Addendum'!AH$18)*(Application!$AC$714:$AC$738 = 'CalHFA Addendum'!$B20),Application!$G$714:$G$738)</f>
        <v>4</v>
      </c>
      <c r="AI20" s="2298"/>
      <c r="AJ20" s="2298"/>
      <c r="AK20" s="2298"/>
      <c r="AL20" s="2298"/>
      <c r="AM20" s="2299"/>
      <c r="AN20" s="2297" cm="1">
        <f t="array" ref="AN20">SUMPRODUCT((Application!$B$714:$B$738 = 'CalHFA Addendum'!AN$18)*(Application!$AC$714:$AC$738 = 'CalHFA Addendum'!$B20),Application!$G$714:$G$738)</f>
        <v>0</v>
      </c>
      <c r="AO20" s="2298"/>
      <c r="AP20" s="2298"/>
      <c r="AQ20" s="2298"/>
      <c r="AR20" s="2298"/>
      <c r="AS20" s="2299"/>
      <c r="AT20" s="2300">
        <f t="shared" si="1"/>
        <v>0.15447154471544716</v>
      </c>
      <c r="AU20" s="2301"/>
      <c r="AV20" s="2301"/>
      <c r="AW20" s="2301"/>
      <c r="AX20" s="2301"/>
      <c r="AY20" s="2302"/>
      <c r="AZ20" s="1209"/>
      <c r="BA20" s="1209"/>
      <c r="BB20" s="1209"/>
      <c r="BC20" s="1209"/>
      <c r="BD20" s="1209"/>
      <c r="BE20" s="1205"/>
    </row>
    <row r="21" spans="1:58" ht="15">
      <c r="A21" s="1209"/>
      <c r="B21" s="2294">
        <v>0.5</v>
      </c>
      <c r="C21" s="2295"/>
      <c r="D21" s="2295"/>
      <c r="E21" s="2295"/>
      <c r="F21" s="2295"/>
      <c r="G21" s="2295"/>
      <c r="H21" s="2295"/>
      <c r="I21" s="2296"/>
      <c r="J21" s="2297">
        <f t="shared" si="0"/>
        <v>40</v>
      </c>
      <c r="K21" s="2298"/>
      <c r="L21" s="2298"/>
      <c r="M21" s="2298"/>
      <c r="N21" s="2298"/>
      <c r="O21" s="2299"/>
      <c r="P21" s="2297" cm="1">
        <f t="array" ref="P21">SUMPRODUCT((Application!$B$714:$B$738 = 'CalHFA Addendum'!P$18)*(Application!$AC$714:$AC$738 = 'CalHFA Addendum'!$B21),Application!$G$714:$G$738)</f>
        <v>4</v>
      </c>
      <c r="Q21" s="2298"/>
      <c r="R21" s="2298"/>
      <c r="S21" s="2298"/>
      <c r="T21" s="2298"/>
      <c r="U21" s="2299"/>
      <c r="V21" s="2297" cm="1">
        <f t="array" ref="V21">SUMPRODUCT((Application!$B$714:$B$738 = 'CalHFA Addendum'!V$18)*(Application!$AC$714:$AC$738 = 'CalHFA Addendum'!$B21),Application!$G$714:$G$738)</f>
        <v>16</v>
      </c>
      <c r="W21" s="2298"/>
      <c r="X21" s="2298"/>
      <c r="Y21" s="2298"/>
      <c r="Z21" s="2298"/>
      <c r="AA21" s="2299"/>
      <c r="AB21" s="2297" cm="1">
        <f t="array" ref="AB21">SUMPRODUCT((Application!$B$714:$B$738 = 'CalHFA Addendum'!AB$18)*(Application!$AC$714:$AC$738 = 'CalHFA Addendum'!$B21),Application!$G$714:$G$738)</f>
        <v>10</v>
      </c>
      <c r="AC21" s="2298"/>
      <c r="AD21" s="2298"/>
      <c r="AE21" s="2298"/>
      <c r="AF21" s="2298"/>
      <c r="AG21" s="2299"/>
      <c r="AH21" s="2297" cm="1">
        <f t="array" ref="AH21">SUMPRODUCT((Application!$B$714:$B$738 = 'CalHFA Addendum'!AH$18)*(Application!$AC$714:$AC$738 = 'CalHFA Addendum'!$B21),Application!$G$714:$G$738)</f>
        <v>10</v>
      </c>
      <c r="AI21" s="2298"/>
      <c r="AJ21" s="2298"/>
      <c r="AK21" s="2298"/>
      <c r="AL21" s="2298"/>
      <c r="AM21" s="2299"/>
      <c r="AN21" s="2297" cm="1">
        <f t="array" ref="AN21">SUMPRODUCT((Application!$B$714:$B$738 = 'CalHFA Addendum'!AN$18)*(Application!$AC$714:$AC$738 = 'CalHFA Addendum'!$B21),Application!$G$714:$G$738)</f>
        <v>0</v>
      </c>
      <c r="AO21" s="2298"/>
      <c r="AP21" s="2298"/>
      <c r="AQ21" s="2298"/>
      <c r="AR21" s="2298"/>
      <c r="AS21" s="2299"/>
      <c r="AT21" s="2300">
        <f t="shared" si="1"/>
        <v>0.32520325203252032</v>
      </c>
      <c r="AU21" s="2301"/>
      <c r="AV21" s="2301"/>
      <c r="AW21" s="2301"/>
      <c r="AX21" s="2301"/>
      <c r="AY21" s="2302"/>
      <c r="AZ21" s="1209"/>
      <c r="BA21" s="1209"/>
      <c r="BB21" s="1209"/>
      <c r="BC21" s="1209"/>
      <c r="BD21" s="1209"/>
      <c r="BE21" s="1205"/>
    </row>
    <row r="22" spans="1:58" ht="15">
      <c r="A22" s="1209"/>
      <c r="B22" s="2294">
        <v>0.6</v>
      </c>
      <c r="C22" s="2295"/>
      <c r="D22" s="2295"/>
      <c r="E22" s="2295"/>
      <c r="F22" s="2295"/>
      <c r="G22" s="2295"/>
      <c r="H22" s="2295"/>
      <c r="I22" s="2296"/>
      <c r="J22" s="2297">
        <f t="shared" si="0"/>
        <v>45</v>
      </c>
      <c r="K22" s="2298"/>
      <c r="L22" s="2298"/>
      <c r="M22" s="2298"/>
      <c r="N22" s="2298"/>
      <c r="O22" s="2299"/>
      <c r="P22" s="2297" cm="1">
        <f t="array" ref="P22">SUMPRODUCT((Application!$B$714:$B$738 = 'CalHFA Addendum'!P$18)*(Application!$AC$714:$AC$738 = 'CalHFA Addendum'!$B22),Application!$G$714:$G$738)</f>
        <v>5</v>
      </c>
      <c r="Q22" s="2298"/>
      <c r="R22" s="2298"/>
      <c r="S22" s="2298"/>
      <c r="T22" s="2298"/>
      <c r="U22" s="2299"/>
      <c r="V22" s="2297" cm="1">
        <f t="array" ref="V22">SUMPRODUCT((Application!$B$714:$B$738 = 'CalHFA Addendum'!V$18)*(Application!$AC$714:$AC$738 = 'CalHFA Addendum'!$B22),Application!$G$714:$G$738)</f>
        <v>16</v>
      </c>
      <c r="W22" s="2298"/>
      <c r="X22" s="2298"/>
      <c r="Y22" s="2298"/>
      <c r="Z22" s="2298"/>
      <c r="AA22" s="2299"/>
      <c r="AB22" s="2297" cm="1">
        <f t="array" ref="AB22">SUMPRODUCT((Application!$B$714:$B$738 = 'CalHFA Addendum'!AB$18)*(Application!$AC$714:$AC$738 = 'CalHFA Addendum'!$B22),Application!$G$714:$G$738)</f>
        <v>12</v>
      </c>
      <c r="AC22" s="2298"/>
      <c r="AD22" s="2298"/>
      <c r="AE22" s="2298"/>
      <c r="AF22" s="2298"/>
      <c r="AG22" s="2299"/>
      <c r="AH22" s="2297" cm="1">
        <f t="array" ref="AH22">SUMPRODUCT((Application!$B$714:$B$738 = 'CalHFA Addendum'!AH$18)*(Application!$AC$714:$AC$738 = 'CalHFA Addendum'!$B22),Application!$G$714:$G$738)</f>
        <v>12</v>
      </c>
      <c r="AI22" s="2298"/>
      <c r="AJ22" s="2298"/>
      <c r="AK22" s="2298"/>
      <c r="AL22" s="2298"/>
      <c r="AM22" s="2299"/>
      <c r="AN22" s="2297" cm="1">
        <f t="array" ref="AN22">SUMPRODUCT((Application!$B$714:$B$738 = 'CalHFA Addendum'!AN$18)*(Application!$AC$714:$AC$738 = 'CalHFA Addendum'!$B22),Application!$G$714:$G$738)</f>
        <v>0</v>
      </c>
      <c r="AO22" s="2298"/>
      <c r="AP22" s="2298"/>
      <c r="AQ22" s="2298"/>
      <c r="AR22" s="2298"/>
      <c r="AS22" s="2299"/>
      <c r="AT22" s="2300">
        <f t="shared" si="1"/>
        <v>0.36585365853658536</v>
      </c>
      <c r="AU22" s="2301"/>
      <c r="AV22" s="2301"/>
      <c r="AW22" s="2301"/>
      <c r="AX22" s="2301"/>
      <c r="AY22" s="2302"/>
      <c r="AZ22" s="1209"/>
      <c r="BA22" s="1209"/>
      <c r="BB22" s="1209"/>
      <c r="BC22" s="1209"/>
      <c r="BD22" s="1209"/>
      <c r="BE22" s="1205"/>
    </row>
    <row r="23" spans="1:58" ht="15">
      <c r="A23" s="1209"/>
      <c r="B23" s="2294">
        <v>0.7</v>
      </c>
      <c r="C23" s="2295"/>
      <c r="D23" s="2295"/>
      <c r="E23" s="2295"/>
      <c r="F23" s="2295"/>
      <c r="G23" s="2295"/>
      <c r="H23" s="2295"/>
      <c r="I23" s="2296"/>
      <c r="J23" s="2297">
        <f t="shared" si="0"/>
        <v>0</v>
      </c>
      <c r="K23" s="2298"/>
      <c r="L23" s="2298"/>
      <c r="M23" s="2298"/>
      <c r="N23" s="2298"/>
      <c r="O23" s="2299"/>
      <c r="P23" s="2297" cm="1">
        <f t="array" ref="P23">SUMPRODUCT((Application!$B$714:$B$738 = 'CalHFA Addendum'!P$18)*(Application!$AC$714:$AC$738 = 'CalHFA Addendum'!$B23),Application!$G$714:$G$738)</f>
        <v>0</v>
      </c>
      <c r="Q23" s="2298"/>
      <c r="R23" s="2298"/>
      <c r="S23" s="2298"/>
      <c r="T23" s="2298"/>
      <c r="U23" s="2299"/>
      <c r="V23" s="2297" cm="1">
        <f t="array" ref="V23">SUMPRODUCT((Application!$B$714:$B$738 = 'CalHFA Addendum'!V$18)*(Application!$AC$714:$AC$738 = 'CalHFA Addendum'!$B23),Application!$G$714:$G$738)</f>
        <v>0</v>
      </c>
      <c r="W23" s="2298"/>
      <c r="X23" s="2298"/>
      <c r="Y23" s="2298"/>
      <c r="Z23" s="2298"/>
      <c r="AA23" s="2299"/>
      <c r="AB23" s="2297" cm="1">
        <f t="array" ref="AB23">SUMPRODUCT((Application!$B$714:$B$738 = 'CalHFA Addendum'!AB$18)*(Application!$AC$714:$AC$738 = 'CalHFA Addendum'!$B23),Application!$G$714:$G$738)</f>
        <v>0</v>
      </c>
      <c r="AC23" s="2298"/>
      <c r="AD23" s="2298"/>
      <c r="AE23" s="2298"/>
      <c r="AF23" s="2298"/>
      <c r="AG23" s="2299"/>
      <c r="AH23" s="2297" cm="1">
        <f t="array" ref="AH23">SUMPRODUCT((Application!$B$714:$B$738 = 'CalHFA Addendum'!AH$18)*(Application!$AC$714:$AC$738 = 'CalHFA Addendum'!$B23),Application!$G$714:$G$738)</f>
        <v>0</v>
      </c>
      <c r="AI23" s="2298"/>
      <c r="AJ23" s="2298"/>
      <c r="AK23" s="2298"/>
      <c r="AL23" s="2298"/>
      <c r="AM23" s="2299"/>
      <c r="AN23" s="2297" cm="1">
        <f t="array" ref="AN23">SUMPRODUCT((Application!$B$714:$B$738 = 'CalHFA Addendum'!AN$18)*(Application!$AC$714:$AC$738 = 'CalHFA Addendum'!$B23),Application!$G$714:$G$738)</f>
        <v>0</v>
      </c>
      <c r="AO23" s="2298"/>
      <c r="AP23" s="2298"/>
      <c r="AQ23" s="2298"/>
      <c r="AR23" s="2298"/>
      <c r="AS23" s="2299"/>
      <c r="AT23" s="2300">
        <f t="shared" si="1"/>
        <v>0</v>
      </c>
      <c r="AU23" s="2301"/>
      <c r="AV23" s="2301"/>
      <c r="AW23" s="2301"/>
      <c r="AX23" s="2301"/>
      <c r="AY23" s="2302"/>
      <c r="AZ23" s="1209"/>
      <c r="BA23" s="1209"/>
      <c r="BB23" s="1209"/>
      <c r="BC23" s="1209"/>
      <c r="BD23" s="1209"/>
      <c r="BE23" s="1205"/>
    </row>
    <row r="24" spans="1:58" ht="15">
      <c r="A24" s="1209"/>
      <c r="B24" s="2294">
        <v>0.8</v>
      </c>
      <c r="C24" s="2295"/>
      <c r="D24" s="2295"/>
      <c r="E24" s="2295"/>
      <c r="F24" s="2295"/>
      <c r="G24" s="2295"/>
      <c r="H24" s="2295"/>
      <c r="I24" s="2296"/>
      <c r="J24" s="2297">
        <f t="shared" si="0"/>
        <v>0</v>
      </c>
      <c r="K24" s="2298"/>
      <c r="L24" s="2298"/>
      <c r="M24" s="2298"/>
      <c r="N24" s="2298"/>
      <c r="O24" s="2299"/>
      <c r="P24" s="2297" cm="1">
        <f t="array" ref="P24">SUMPRODUCT((Application!$B$714:$B$738 = 'CalHFA Addendum'!P$18)*(Application!$AC$714:$AC$738 = 'CalHFA Addendum'!$B24),Application!$G$714:$G$738)</f>
        <v>0</v>
      </c>
      <c r="Q24" s="2298"/>
      <c r="R24" s="2298"/>
      <c r="S24" s="2298"/>
      <c r="T24" s="2298"/>
      <c r="U24" s="2299"/>
      <c r="V24" s="2297" cm="1">
        <f t="array" ref="V24">SUMPRODUCT((Application!$B$714:$B$738 = 'CalHFA Addendum'!V$18)*(Application!$AC$714:$AC$738 = 'CalHFA Addendum'!$B24),Application!$G$714:$G$738)</f>
        <v>0</v>
      </c>
      <c r="W24" s="2298"/>
      <c r="X24" s="2298"/>
      <c r="Y24" s="2298"/>
      <c r="Z24" s="2298"/>
      <c r="AA24" s="2299"/>
      <c r="AB24" s="2297" cm="1">
        <f t="array" ref="AB24">SUMPRODUCT((Application!$B$714:$B$738 = 'CalHFA Addendum'!AB$18)*(Application!$AC$714:$AC$738 = 'CalHFA Addendum'!$B24),Application!$G$714:$G$738)</f>
        <v>0</v>
      </c>
      <c r="AC24" s="2298"/>
      <c r="AD24" s="2298"/>
      <c r="AE24" s="2298"/>
      <c r="AF24" s="2298"/>
      <c r="AG24" s="2299"/>
      <c r="AH24" s="2297" cm="1">
        <f t="array" ref="AH24">SUMPRODUCT((Application!$B$714:$B$738 = 'CalHFA Addendum'!AH$18)*(Application!$AC$714:$AC$738 = 'CalHFA Addendum'!$B24),Application!$G$714:$G$738)</f>
        <v>0</v>
      </c>
      <c r="AI24" s="2298"/>
      <c r="AJ24" s="2298"/>
      <c r="AK24" s="2298"/>
      <c r="AL24" s="2298"/>
      <c r="AM24" s="2299"/>
      <c r="AN24" s="2297" cm="1">
        <f t="array" ref="AN24">SUMPRODUCT((Application!$B$714:$B$738 = 'CalHFA Addendum'!AN$18)*(Application!$AC$714:$AC$738 = 'CalHFA Addendum'!$B24),Application!$G$714:$G$738)</f>
        <v>0</v>
      </c>
      <c r="AO24" s="2298"/>
      <c r="AP24" s="2298"/>
      <c r="AQ24" s="2298"/>
      <c r="AR24" s="2298"/>
      <c r="AS24" s="2299"/>
      <c r="AT24" s="2300">
        <f t="shared" si="1"/>
        <v>0</v>
      </c>
      <c r="AU24" s="2301"/>
      <c r="AV24" s="2301"/>
      <c r="AW24" s="2301"/>
      <c r="AX24" s="2301"/>
      <c r="AY24" s="2302"/>
      <c r="AZ24" s="1209"/>
      <c r="BA24" s="1209"/>
      <c r="BB24" s="1209"/>
      <c r="BC24" s="1209"/>
      <c r="BD24" s="1209"/>
      <c r="BE24" s="1205"/>
    </row>
    <row r="25" spans="1:58" ht="15">
      <c r="A25" s="1209"/>
      <c r="B25" s="2294">
        <v>0.9</v>
      </c>
      <c r="C25" s="2295"/>
      <c r="D25" s="2295"/>
      <c r="E25" s="2295"/>
      <c r="F25" s="2295"/>
      <c r="G25" s="2295"/>
      <c r="H25" s="2295"/>
      <c r="I25" s="2296"/>
      <c r="J25" s="2297">
        <f t="shared" si="0"/>
        <v>0</v>
      </c>
      <c r="K25" s="2298"/>
      <c r="L25" s="2298"/>
      <c r="M25" s="2298"/>
      <c r="N25" s="2298"/>
      <c r="O25" s="2299"/>
      <c r="P25" s="2297" cm="1">
        <f t="array" ref="P25">SUMPRODUCT((Application!$B$714:$B$738 = 'CalHFA Addendum'!P$18)*(Application!$AC$714:$AC$738 = 'CalHFA Addendum'!$B25),Application!$G$714:$G$738)</f>
        <v>0</v>
      </c>
      <c r="Q25" s="2298"/>
      <c r="R25" s="2298"/>
      <c r="S25" s="2298"/>
      <c r="T25" s="2298"/>
      <c r="U25" s="2299"/>
      <c r="V25" s="2297" cm="1">
        <f t="array" ref="V25">SUMPRODUCT((Application!$B$714:$B$738 = 'CalHFA Addendum'!V$18)*(Application!$AC$714:$AC$738 = 'CalHFA Addendum'!$B25),Application!$G$714:$G$738)</f>
        <v>0</v>
      </c>
      <c r="W25" s="2298"/>
      <c r="X25" s="2298"/>
      <c r="Y25" s="2298"/>
      <c r="Z25" s="2298"/>
      <c r="AA25" s="2299"/>
      <c r="AB25" s="2297" cm="1">
        <f t="array" ref="AB25">SUMPRODUCT((Application!$B$714:$B$738 = 'CalHFA Addendum'!AB$18)*(Application!$AC$714:$AC$738 = 'CalHFA Addendum'!$B25),Application!$G$714:$G$738)</f>
        <v>0</v>
      </c>
      <c r="AC25" s="2298"/>
      <c r="AD25" s="2298"/>
      <c r="AE25" s="2298"/>
      <c r="AF25" s="2298"/>
      <c r="AG25" s="2299"/>
      <c r="AH25" s="2297" cm="1">
        <f t="array" ref="AH25">SUMPRODUCT((Application!$B$714:$B$738 = 'CalHFA Addendum'!AH$18)*(Application!$AC$714:$AC$738 = 'CalHFA Addendum'!$B25),Application!$G$714:$G$738)</f>
        <v>0</v>
      </c>
      <c r="AI25" s="2298"/>
      <c r="AJ25" s="2298"/>
      <c r="AK25" s="2298"/>
      <c r="AL25" s="2298"/>
      <c r="AM25" s="2299"/>
      <c r="AN25" s="2297" cm="1">
        <f t="array" ref="AN25">SUMPRODUCT((Application!$B$714:$B$738 = 'CalHFA Addendum'!AN$18)*(Application!$AC$714:$AC$738 = 'CalHFA Addendum'!$B25),Application!$G$714:$G$738)</f>
        <v>0</v>
      </c>
      <c r="AO25" s="2298"/>
      <c r="AP25" s="2298"/>
      <c r="AQ25" s="2298"/>
      <c r="AR25" s="2298"/>
      <c r="AS25" s="2299"/>
      <c r="AT25" s="2300">
        <f t="shared" si="1"/>
        <v>0</v>
      </c>
      <c r="AU25" s="2301"/>
      <c r="AV25" s="2301"/>
      <c r="AW25" s="2301"/>
      <c r="AX25" s="2301"/>
      <c r="AY25" s="2302"/>
      <c r="AZ25" s="1209"/>
      <c r="BA25" s="1209"/>
      <c r="BB25" s="1209"/>
      <c r="BC25" s="1209"/>
      <c r="BD25" s="1209"/>
      <c r="BE25" s="1205"/>
    </row>
    <row r="26" spans="1:58" ht="15">
      <c r="A26" s="1209"/>
      <c r="B26" s="2294">
        <v>1</v>
      </c>
      <c r="C26" s="2295"/>
      <c r="D26" s="2295"/>
      <c r="E26" s="2295"/>
      <c r="F26" s="2295"/>
      <c r="G26" s="2295"/>
      <c r="H26" s="2295"/>
      <c r="I26" s="2296"/>
      <c r="J26" s="2297">
        <f t="shared" si="0"/>
        <v>0</v>
      </c>
      <c r="K26" s="2298"/>
      <c r="L26" s="2298"/>
      <c r="M26" s="2298"/>
      <c r="N26" s="2298"/>
      <c r="O26" s="2299"/>
      <c r="P26" s="2297" cm="1">
        <f t="array" ref="P26">SUMPRODUCT((Application!$B$714:$B$738 = 'CalHFA Addendum'!P$18)*(Application!$AC$714:$AC$738 = 'CalHFA Addendum'!$B26),Application!$G$714:$G$738)</f>
        <v>0</v>
      </c>
      <c r="Q26" s="2298"/>
      <c r="R26" s="2298"/>
      <c r="S26" s="2298"/>
      <c r="T26" s="2298"/>
      <c r="U26" s="2299"/>
      <c r="V26" s="2297" cm="1">
        <f t="array" ref="V26">SUMPRODUCT((Application!$B$714:$B$738 = 'CalHFA Addendum'!V$18)*(Application!$AC$714:$AC$738 = 'CalHFA Addendum'!$B26),Application!$G$714:$G$738)</f>
        <v>0</v>
      </c>
      <c r="W26" s="2298"/>
      <c r="X26" s="2298"/>
      <c r="Y26" s="2298"/>
      <c r="Z26" s="2298"/>
      <c r="AA26" s="2299"/>
      <c r="AB26" s="2297" cm="1">
        <f t="array" ref="AB26">SUMPRODUCT((Application!$B$714:$B$738 = 'CalHFA Addendum'!AB$18)*(Application!$AC$714:$AC$738 = 'CalHFA Addendum'!$B26),Application!$G$714:$G$738)</f>
        <v>0</v>
      </c>
      <c r="AC26" s="2298"/>
      <c r="AD26" s="2298"/>
      <c r="AE26" s="2298"/>
      <c r="AF26" s="2298"/>
      <c r="AG26" s="2299"/>
      <c r="AH26" s="2297" cm="1">
        <f t="array" ref="AH26">SUMPRODUCT((Application!$B$714:$B$738 = 'CalHFA Addendum'!AH$18)*(Application!$AC$714:$AC$738 = 'CalHFA Addendum'!$B26),Application!$G$714:$G$738)</f>
        <v>0</v>
      </c>
      <c r="AI26" s="2298"/>
      <c r="AJ26" s="2298"/>
      <c r="AK26" s="2298"/>
      <c r="AL26" s="2298"/>
      <c r="AM26" s="2299"/>
      <c r="AN26" s="2297" cm="1">
        <f t="array" ref="AN26">SUMPRODUCT((Application!$B$714:$B$738 = 'CalHFA Addendum'!AN$18)*(Application!$AC$714:$AC$738 = 'CalHFA Addendum'!$B26),Application!$G$714:$G$738)</f>
        <v>0</v>
      </c>
      <c r="AO26" s="2298"/>
      <c r="AP26" s="2298"/>
      <c r="AQ26" s="2298"/>
      <c r="AR26" s="2298"/>
      <c r="AS26" s="2299"/>
      <c r="AT26" s="2300">
        <f t="shared" si="1"/>
        <v>0</v>
      </c>
      <c r="AU26" s="2301"/>
      <c r="AV26" s="2301"/>
      <c r="AW26" s="2301"/>
      <c r="AX26" s="2301"/>
      <c r="AY26" s="2302"/>
      <c r="AZ26" s="1209"/>
      <c r="BA26" s="1209"/>
      <c r="BB26" s="1209"/>
      <c r="BC26" s="1209"/>
      <c r="BD26" s="1209"/>
      <c r="BE26" s="1205"/>
    </row>
    <row r="27" spans="1:58" ht="15">
      <c r="A27" s="1209"/>
      <c r="B27" s="2294">
        <v>1.1000000000000001</v>
      </c>
      <c r="C27" s="2295"/>
      <c r="D27" s="2295"/>
      <c r="E27" s="2295"/>
      <c r="F27" s="2295"/>
      <c r="G27" s="2295"/>
      <c r="H27" s="2295"/>
      <c r="I27" s="2296"/>
      <c r="J27" s="2297">
        <f t="shared" si="0"/>
        <v>0</v>
      </c>
      <c r="K27" s="2298"/>
      <c r="L27" s="2298"/>
      <c r="M27" s="2298"/>
      <c r="N27" s="2298"/>
      <c r="O27" s="2299"/>
      <c r="P27" s="2297" cm="1">
        <f t="array" ref="P27">SUMPRODUCT((Application!$B$714:$B$738 = 'CalHFA Addendum'!P$18)*(Application!$AC$714:$AC$738 = 'CalHFA Addendum'!$B27),Application!$G$714:$G$738)</f>
        <v>0</v>
      </c>
      <c r="Q27" s="2298"/>
      <c r="R27" s="2298"/>
      <c r="S27" s="2298"/>
      <c r="T27" s="2298"/>
      <c r="U27" s="2299"/>
      <c r="V27" s="2297" cm="1">
        <f t="array" ref="V27">SUMPRODUCT((Application!$B$714:$B$738 = 'CalHFA Addendum'!V$18)*(Application!$AC$714:$AC$738 = 'CalHFA Addendum'!$B27),Application!$G$714:$G$738)</f>
        <v>0</v>
      </c>
      <c r="W27" s="2298"/>
      <c r="X27" s="2298"/>
      <c r="Y27" s="2298"/>
      <c r="Z27" s="2298"/>
      <c r="AA27" s="2299"/>
      <c r="AB27" s="2297" cm="1">
        <f t="array" ref="AB27">SUMPRODUCT((Application!$B$714:$B$738 = 'CalHFA Addendum'!AB$18)*(Application!$AC$714:$AC$738 = 'CalHFA Addendum'!$B27),Application!$G$714:$G$738)</f>
        <v>0</v>
      </c>
      <c r="AC27" s="2298"/>
      <c r="AD27" s="2298"/>
      <c r="AE27" s="2298"/>
      <c r="AF27" s="2298"/>
      <c r="AG27" s="2299"/>
      <c r="AH27" s="2297" cm="1">
        <f t="array" ref="AH27">SUMPRODUCT((Application!$B$714:$B$738 = 'CalHFA Addendum'!AH$18)*(Application!$AC$714:$AC$738 = 'CalHFA Addendum'!$B27),Application!$G$714:$G$738)</f>
        <v>0</v>
      </c>
      <c r="AI27" s="2298"/>
      <c r="AJ27" s="2298"/>
      <c r="AK27" s="2298"/>
      <c r="AL27" s="2298"/>
      <c r="AM27" s="2299"/>
      <c r="AN27" s="2297" cm="1">
        <f t="array" ref="AN27">SUMPRODUCT((Application!$B$714:$B$738 = 'CalHFA Addendum'!AN$18)*(Application!$AC$714:$AC$738 = 'CalHFA Addendum'!$B27),Application!$G$714:$G$738)</f>
        <v>0</v>
      </c>
      <c r="AO27" s="2298"/>
      <c r="AP27" s="2298"/>
      <c r="AQ27" s="2298"/>
      <c r="AR27" s="2298"/>
      <c r="AS27" s="2299"/>
      <c r="AT27" s="2300">
        <f t="shared" si="1"/>
        <v>0</v>
      </c>
      <c r="AU27" s="2301"/>
      <c r="AV27" s="2301"/>
      <c r="AW27" s="2301"/>
      <c r="AX27" s="2301"/>
      <c r="AY27" s="2302"/>
      <c r="AZ27" s="1209"/>
      <c r="BA27" s="1209"/>
      <c r="BB27" s="1209"/>
      <c r="BC27" s="1209"/>
      <c r="BD27" s="1209"/>
      <c r="BE27" s="1205"/>
    </row>
    <row r="28" spans="1:58" thickBot="1">
      <c r="A28" s="1209"/>
      <c r="B28" s="2313" t="s">
        <v>1797</v>
      </c>
      <c r="C28" s="2314"/>
      <c r="D28" s="2314"/>
      <c r="E28" s="2314"/>
      <c r="F28" s="2314"/>
      <c r="G28" s="2314"/>
      <c r="H28" s="2314"/>
      <c r="I28" s="2315"/>
      <c r="J28" s="2316">
        <f t="shared" si="0"/>
        <v>0</v>
      </c>
      <c r="K28" s="2317"/>
      <c r="L28" s="2317"/>
      <c r="M28" s="2317"/>
      <c r="N28" s="2317"/>
      <c r="O28" s="2318"/>
      <c r="P28" s="2316">
        <f>_xlfn.IFNA(VLOOKUP(P$18,Application!$J$758:$S$761,6,FALSE), 0)</f>
        <v>0</v>
      </c>
      <c r="Q28" s="2317"/>
      <c r="R28" s="2317"/>
      <c r="S28" s="2317"/>
      <c r="T28" s="2317"/>
      <c r="U28" s="2318"/>
      <c r="V28" s="2316">
        <f>_xlfn.IFNA(VLOOKUP(V$18,Application!$J$758:$S$761,6,FALSE), 0)</f>
        <v>0</v>
      </c>
      <c r="W28" s="2317"/>
      <c r="X28" s="2317"/>
      <c r="Y28" s="2317"/>
      <c r="Z28" s="2317"/>
      <c r="AA28" s="2318"/>
      <c r="AB28" s="2316">
        <f>_xlfn.IFNA(VLOOKUP(AB$18,Application!$J$758:$S$761,6,FALSE), 0)</f>
        <v>0</v>
      </c>
      <c r="AC28" s="2317"/>
      <c r="AD28" s="2317"/>
      <c r="AE28" s="2317"/>
      <c r="AF28" s="2317"/>
      <c r="AG28" s="2318"/>
      <c r="AH28" s="2316">
        <f>_xlfn.IFNA(VLOOKUP(AH$18,Application!$J$758:$S$761,6,FALSE), 0)</f>
        <v>0</v>
      </c>
      <c r="AI28" s="2317"/>
      <c r="AJ28" s="2317"/>
      <c r="AK28" s="2317"/>
      <c r="AL28" s="2317"/>
      <c r="AM28" s="2318"/>
      <c r="AN28" s="2316">
        <f>_xlfn.IFNA(VLOOKUP(AN$18,Application!$J$758:$S$761,6,FALSE), 0)</f>
        <v>0</v>
      </c>
      <c r="AO28" s="2317"/>
      <c r="AP28" s="2317"/>
      <c r="AQ28" s="2317"/>
      <c r="AR28" s="2317"/>
      <c r="AS28" s="2318"/>
      <c r="AT28" s="2319">
        <f t="shared" si="1"/>
        <v>0</v>
      </c>
      <c r="AU28" s="2320"/>
      <c r="AV28" s="2320"/>
      <c r="AW28" s="2320"/>
      <c r="AX28" s="2320"/>
      <c r="AY28" s="2321"/>
      <c r="AZ28" s="1209"/>
      <c r="BA28" s="1209"/>
      <c r="BB28" s="1209"/>
      <c r="BC28" s="1209"/>
      <c r="BD28" s="1209"/>
      <c r="BE28" s="1205"/>
    </row>
    <row r="29" spans="1:58" thickBot="1">
      <c r="A29" s="1209"/>
      <c r="B29" s="2328" t="s">
        <v>1696</v>
      </c>
      <c r="C29" s="2329"/>
      <c r="D29" s="2329"/>
      <c r="E29" s="2329"/>
      <c r="F29" s="2329"/>
      <c r="G29" s="2329"/>
      <c r="H29" s="2329"/>
      <c r="I29" s="2330"/>
      <c r="J29" s="2331">
        <f>SUM(J19:O28)</f>
        <v>123</v>
      </c>
      <c r="K29" s="2329"/>
      <c r="L29" s="2329"/>
      <c r="M29" s="2329"/>
      <c r="N29" s="2329"/>
      <c r="O29" s="2330"/>
      <c r="P29" s="2331">
        <f>SUM(P19:U28)</f>
        <v>11</v>
      </c>
      <c r="Q29" s="2329"/>
      <c r="R29" s="2329"/>
      <c r="S29" s="2329"/>
      <c r="T29" s="2329"/>
      <c r="U29" s="2330"/>
      <c r="V29" s="2331">
        <f>SUM(V19:AA28)</f>
        <v>50</v>
      </c>
      <c r="W29" s="2329"/>
      <c r="X29" s="2329"/>
      <c r="Y29" s="2329"/>
      <c r="Z29" s="2329"/>
      <c r="AA29" s="2330"/>
      <c r="AB29" s="2331">
        <f>SUM(AB19:AG28)</f>
        <v>31</v>
      </c>
      <c r="AC29" s="2329"/>
      <c r="AD29" s="2329"/>
      <c r="AE29" s="2329"/>
      <c r="AF29" s="2329"/>
      <c r="AG29" s="2330"/>
      <c r="AH29" s="2331">
        <f>SUM(AH19:AM28)</f>
        <v>31</v>
      </c>
      <c r="AI29" s="2329"/>
      <c r="AJ29" s="2329"/>
      <c r="AK29" s="2329"/>
      <c r="AL29" s="2329"/>
      <c r="AM29" s="2330"/>
      <c r="AN29" s="2331">
        <f>SUM(AN19:AS28)</f>
        <v>0</v>
      </c>
      <c r="AO29" s="2329"/>
      <c r="AP29" s="2329"/>
      <c r="AQ29" s="2329"/>
      <c r="AR29" s="2329"/>
      <c r="AS29" s="2330"/>
      <c r="AT29" s="2348">
        <f t="shared" si="1"/>
        <v>1</v>
      </c>
      <c r="AU29" s="2349"/>
      <c r="AV29" s="2349"/>
      <c r="AW29" s="2349"/>
      <c r="AX29" s="2349"/>
      <c r="AY29" s="2350"/>
      <c r="AZ29" s="1209"/>
      <c r="BA29" s="1209"/>
      <c r="BB29" s="1209"/>
      <c r="BC29" s="1209"/>
      <c r="BD29" s="1209"/>
      <c r="BE29" s="1205"/>
    </row>
    <row r="30" spans="1:58" thickBot="1">
      <c r="A30" s="1215"/>
      <c r="B30" s="1209"/>
      <c r="C30" s="1209"/>
      <c r="D30" s="1209"/>
      <c r="E30" s="1209"/>
      <c r="F30" s="1209"/>
      <c r="G30" s="1209"/>
      <c r="H30" s="1209"/>
      <c r="I30" s="1209"/>
      <c r="J30" s="1209"/>
      <c r="K30" s="1209"/>
      <c r="L30" s="1209"/>
      <c r="M30" s="1209"/>
      <c r="N30" s="1209"/>
      <c r="O30" s="1209"/>
      <c r="P30" s="1209"/>
      <c r="Q30" s="1209"/>
      <c r="R30" s="1209"/>
      <c r="S30" s="1209"/>
      <c r="T30" s="1209"/>
      <c r="U30" s="1209"/>
      <c r="V30" s="1209"/>
      <c r="W30" s="1209"/>
      <c r="X30" s="1209"/>
      <c r="Y30" s="1209"/>
      <c r="Z30" s="1209"/>
      <c r="AA30" s="1209"/>
      <c r="AB30" s="1209"/>
      <c r="AC30" s="1209"/>
      <c r="AD30" s="1209"/>
      <c r="AE30" s="1209"/>
      <c r="AF30" s="1209"/>
      <c r="AG30" s="1209"/>
      <c r="AH30" s="1209"/>
      <c r="AI30" s="1209"/>
      <c r="AJ30" s="1209"/>
      <c r="AK30" s="1209"/>
      <c r="AL30" s="1209"/>
      <c r="AM30" s="1209"/>
      <c r="AN30" s="1209"/>
      <c r="AO30" s="1209"/>
      <c r="AP30" s="1209"/>
      <c r="AQ30" s="1209"/>
      <c r="AR30" s="1209"/>
      <c r="AS30" s="1209"/>
      <c r="AT30" s="1209"/>
      <c r="AU30" s="1209"/>
      <c r="AV30" s="1209"/>
      <c r="AW30" s="1209"/>
      <c r="AX30" s="1209"/>
      <c r="AY30" s="1209"/>
      <c r="AZ30" s="1209"/>
      <c r="BA30" s="1209"/>
      <c r="BB30" s="1209"/>
      <c r="BC30" s="1209"/>
      <c r="BD30" s="1209"/>
      <c r="BE30" s="1205"/>
    </row>
    <row r="31" spans="1:58" thickBot="1">
      <c r="A31" s="1209"/>
      <c r="B31" s="2336" t="s">
        <v>1798</v>
      </c>
      <c r="C31" s="2337"/>
      <c r="D31" s="2337"/>
      <c r="E31" s="2337"/>
      <c r="F31" s="2337"/>
      <c r="G31" s="2337"/>
      <c r="H31" s="2337"/>
      <c r="I31" s="2337"/>
      <c r="J31" s="2337"/>
      <c r="K31" s="2337"/>
      <c r="L31" s="2337"/>
      <c r="M31" s="2337"/>
      <c r="N31" s="2337"/>
      <c r="O31" s="2337"/>
      <c r="P31" s="2337"/>
      <c r="Q31" s="2337"/>
      <c r="R31" s="2337"/>
      <c r="S31" s="2337"/>
      <c r="T31" s="2337"/>
      <c r="U31" s="2337"/>
      <c r="V31" s="2337"/>
      <c r="W31" s="2337"/>
      <c r="X31" s="2337"/>
      <c r="Y31" s="2337"/>
      <c r="Z31" s="2337"/>
      <c r="AA31" s="2337"/>
      <c r="AB31" s="2337"/>
      <c r="AC31" s="2337"/>
      <c r="AD31" s="2337"/>
      <c r="AE31" s="2337"/>
      <c r="AF31" s="2337"/>
      <c r="AG31" s="2337"/>
      <c r="AH31" s="2337"/>
      <c r="AI31" s="2337"/>
      <c r="AJ31" s="2337"/>
      <c r="AK31" s="2337"/>
      <c r="AL31" s="2337"/>
      <c r="AM31" s="2337"/>
      <c r="AN31" s="2337"/>
      <c r="AO31" s="2337"/>
      <c r="AP31" s="2337"/>
      <c r="AQ31" s="2337"/>
      <c r="AR31" s="2337"/>
      <c r="AS31" s="2337"/>
      <c r="AT31" s="2337"/>
      <c r="AU31" s="2337"/>
      <c r="AV31" s="2337"/>
      <c r="AW31" s="2337"/>
      <c r="AX31" s="2337"/>
      <c r="AY31" s="2337"/>
      <c r="AZ31" s="2337"/>
      <c r="BA31" s="2337"/>
      <c r="BB31" s="2337"/>
      <c r="BC31" s="2337"/>
      <c r="BD31" s="2338"/>
      <c r="BE31" s="1205"/>
    </row>
    <row r="32" spans="1:58" thickBot="1">
      <c r="A32" s="1209"/>
      <c r="B32" s="2351" t="s">
        <v>2471</v>
      </c>
      <c r="C32" s="2352"/>
      <c r="D32" s="2352"/>
      <c r="E32" s="2352"/>
      <c r="F32" s="2352"/>
      <c r="G32" s="2352"/>
      <c r="H32" s="2352"/>
      <c r="I32" s="2352"/>
      <c r="J32" s="2322" t="s">
        <v>2472</v>
      </c>
      <c r="K32" s="2323"/>
      <c r="L32" s="2323"/>
      <c r="M32" s="2323"/>
      <c r="N32" s="2322" t="s">
        <v>1799</v>
      </c>
      <c r="O32" s="2323"/>
      <c r="P32" s="2323"/>
      <c r="Q32" s="2325"/>
      <c r="R32" s="2345" t="s">
        <v>1800</v>
      </c>
      <c r="S32" s="2346"/>
      <c r="T32" s="2346"/>
      <c r="U32" s="2346"/>
      <c r="V32" s="2346"/>
      <c r="W32" s="2346"/>
      <c r="X32" s="2346"/>
      <c r="Y32" s="2346"/>
      <c r="Z32" s="2346"/>
      <c r="AA32" s="2346"/>
      <c r="AB32" s="2346"/>
      <c r="AC32" s="2346"/>
      <c r="AD32" s="2346"/>
      <c r="AE32" s="2346"/>
      <c r="AF32" s="2346"/>
      <c r="AG32" s="2346"/>
      <c r="AH32" s="2346"/>
      <c r="AI32" s="2346"/>
      <c r="AJ32" s="2346"/>
      <c r="AK32" s="2346"/>
      <c r="AL32" s="2346"/>
      <c r="AM32" s="2346"/>
      <c r="AN32" s="2346"/>
      <c r="AO32" s="2346"/>
      <c r="AP32" s="2346"/>
      <c r="AQ32" s="2346"/>
      <c r="AR32" s="2346"/>
      <c r="AS32" s="2346"/>
      <c r="AT32" s="2346"/>
      <c r="AU32" s="2346"/>
      <c r="AV32" s="2346"/>
      <c r="AW32" s="2346"/>
      <c r="AX32" s="2346"/>
      <c r="AY32" s="2346"/>
      <c r="AZ32" s="2346"/>
      <c r="BA32" s="2346"/>
      <c r="BB32" s="2346"/>
      <c r="BC32" s="2346"/>
      <c r="BD32" s="2347"/>
      <c r="BE32" s="1205"/>
    </row>
    <row r="33" spans="1:58" ht="15" customHeight="1">
      <c r="A33" s="1209"/>
      <c r="B33" s="2353"/>
      <c r="C33" s="2354"/>
      <c r="D33" s="2354"/>
      <c r="E33" s="2354"/>
      <c r="F33" s="2354"/>
      <c r="G33" s="2354"/>
      <c r="H33" s="2354"/>
      <c r="I33" s="2354"/>
      <c r="J33" s="2324"/>
      <c r="K33" s="2324"/>
      <c r="L33" s="2324"/>
      <c r="M33" s="2324"/>
      <c r="N33" s="2324"/>
      <c r="O33" s="2324"/>
      <c r="P33" s="2324"/>
      <c r="Q33" s="2326"/>
      <c r="R33" s="2339" t="s">
        <v>1801</v>
      </c>
      <c r="S33" s="2340"/>
      <c r="T33" s="2340"/>
      <c r="U33" s="2340"/>
      <c r="V33" s="2340"/>
      <c r="W33" s="2340"/>
      <c r="X33" s="2340"/>
      <c r="Y33" s="2340"/>
      <c r="Z33" s="2340"/>
      <c r="AA33" s="2340"/>
      <c r="AB33" s="2340"/>
      <c r="AC33" s="2340"/>
      <c r="AD33" s="2340"/>
      <c r="AE33" s="2340"/>
      <c r="AF33" s="2340"/>
      <c r="AG33" s="2340"/>
      <c r="AH33" s="2340"/>
      <c r="AI33" s="2340"/>
      <c r="AJ33" s="2340"/>
      <c r="AK33" s="2340"/>
      <c r="AL33" s="2340"/>
      <c r="AM33" s="2340"/>
      <c r="AN33" s="2340"/>
      <c r="AO33" s="2340"/>
      <c r="AP33" s="2340"/>
      <c r="AQ33" s="2340"/>
      <c r="AR33" s="2340"/>
      <c r="AS33" s="2340"/>
      <c r="AT33" s="2340"/>
      <c r="AU33" s="2340"/>
      <c r="AV33" s="2340"/>
      <c r="AW33" s="2340"/>
      <c r="AX33" s="2340"/>
      <c r="AY33" s="2340"/>
      <c r="AZ33" s="2340"/>
      <c r="BA33" s="2340"/>
      <c r="BB33" s="2340"/>
      <c r="BC33" s="2340"/>
      <c r="BD33" s="2341"/>
      <c r="BE33" s="1205"/>
    </row>
    <row r="34" spans="1:58" ht="15.75" customHeight="1" thickBot="1">
      <c r="A34" s="1209"/>
      <c r="B34" s="2353"/>
      <c r="C34" s="2354"/>
      <c r="D34" s="2354"/>
      <c r="E34" s="2354"/>
      <c r="F34" s="2354"/>
      <c r="G34" s="2354"/>
      <c r="H34" s="2354"/>
      <c r="I34" s="2354"/>
      <c r="J34" s="2324"/>
      <c r="K34" s="2324"/>
      <c r="L34" s="2324"/>
      <c r="M34" s="2324"/>
      <c r="N34" s="2324"/>
      <c r="O34" s="2324"/>
      <c r="P34" s="2324"/>
      <c r="Q34" s="2326"/>
      <c r="R34" s="2342"/>
      <c r="S34" s="2343"/>
      <c r="T34" s="2343"/>
      <c r="U34" s="2343"/>
      <c r="V34" s="2343"/>
      <c r="W34" s="2343"/>
      <c r="X34" s="2343"/>
      <c r="Y34" s="2343"/>
      <c r="Z34" s="2343"/>
      <c r="AA34" s="2343"/>
      <c r="AB34" s="2343"/>
      <c r="AC34" s="2343"/>
      <c r="AD34" s="2343"/>
      <c r="AE34" s="2343"/>
      <c r="AF34" s="2343"/>
      <c r="AG34" s="2343"/>
      <c r="AH34" s="2343"/>
      <c r="AI34" s="2343"/>
      <c r="AJ34" s="2343"/>
      <c r="AK34" s="2343"/>
      <c r="AL34" s="2343"/>
      <c r="AM34" s="2343"/>
      <c r="AN34" s="2343"/>
      <c r="AO34" s="2343"/>
      <c r="AP34" s="2343"/>
      <c r="AQ34" s="2343"/>
      <c r="AR34" s="2343"/>
      <c r="AS34" s="2343"/>
      <c r="AT34" s="2343"/>
      <c r="AU34" s="2343"/>
      <c r="AV34" s="2343"/>
      <c r="AW34" s="2343"/>
      <c r="AX34" s="2343"/>
      <c r="AY34" s="2343"/>
      <c r="AZ34" s="2343"/>
      <c r="BA34" s="2343"/>
      <c r="BB34" s="2343"/>
      <c r="BC34" s="2343"/>
      <c r="BD34" s="2344"/>
      <c r="BE34" s="1205"/>
    </row>
    <row r="35" spans="1:58" ht="15.75" customHeight="1">
      <c r="A35" s="1209"/>
      <c r="B35" s="2353"/>
      <c r="C35" s="2354"/>
      <c r="D35" s="2354"/>
      <c r="E35" s="2354"/>
      <c r="F35" s="2354"/>
      <c r="G35" s="2354"/>
      <c r="H35" s="2354"/>
      <c r="I35" s="2354"/>
      <c r="J35" s="2324"/>
      <c r="K35" s="2324"/>
      <c r="L35" s="2324"/>
      <c r="M35" s="2324"/>
      <c r="N35" s="2324"/>
      <c r="O35" s="2324"/>
      <c r="P35" s="2324"/>
      <c r="Q35" s="2324"/>
      <c r="R35" s="2327">
        <v>0.3</v>
      </c>
      <c r="S35" s="2327"/>
      <c r="T35" s="2327"/>
      <c r="U35" s="2327"/>
      <c r="V35" s="2327">
        <v>0.4</v>
      </c>
      <c r="W35" s="2327"/>
      <c r="X35" s="2327"/>
      <c r="Y35" s="2327"/>
      <c r="Z35" s="2327">
        <v>0.5</v>
      </c>
      <c r="AA35" s="2327"/>
      <c r="AB35" s="2327"/>
      <c r="AC35" s="2327"/>
      <c r="AD35" s="2327">
        <v>0.6</v>
      </c>
      <c r="AE35" s="2327"/>
      <c r="AF35" s="2327"/>
      <c r="AG35" s="2327"/>
      <c r="AH35" s="2327">
        <v>0.7</v>
      </c>
      <c r="AI35" s="2327"/>
      <c r="AJ35" s="2327"/>
      <c r="AK35" s="2327"/>
      <c r="AL35" s="2303">
        <v>0.8</v>
      </c>
      <c r="AM35" s="2304"/>
      <c r="AN35" s="2304"/>
      <c r="AO35" s="2305"/>
      <c r="AP35" s="2306">
        <v>1.2</v>
      </c>
      <c r="AQ35" s="2307"/>
      <c r="AR35" s="2308"/>
      <c r="AS35" s="2309" t="s">
        <v>1802</v>
      </c>
      <c r="AT35" s="2310"/>
      <c r="AU35" s="2310"/>
      <c r="AV35" s="2310"/>
      <c r="AW35" s="2310"/>
      <c r="AX35" s="2311"/>
      <c r="AY35" s="2309" t="s">
        <v>1803</v>
      </c>
      <c r="AZ35" s="2310"/>
      <c r="BA35" s="2310"/>
      <c r="BB35" s="2310"/>
      <c r="BC35" s="2310"/>
      <c r="BD35" s="2312"/>
      <c r="BE35" s="1205"/>
    </row>
    <row r="36" spans="1:58" ht="15.75" customHeight="1">
      <c r="A36" s="1209"/>
      <c r="B36" s="2332" t="s">
        <v>1804</v>
      </c>
      <c r="C36" s="2333"/>
      <c r="D36" s="2333"/>
      <c r="E36" s="2333"/>
      <c r="F36" s="2333"/>
      <c r="G36" s="2333"/>
      <c r="H36" s="2333"/>
      <c r="I36" s="2333"/>
      <c r="J36" s="2334" t="s">
        <v>1805</v>
      </c>
      <c r="K36" s="2334"/>
      <c r="L36" s="2334"/>
      <c r="M36" s="2334"/>
      <c r="N36" s="2334">
        <v>55</v>
      </c>
      <c r="O36" s="2334"/>
      <c r="P36" s="2334"/>
      <c r="Q36" s="2334"/>
      <c r="R36" s="2335">
        <v>0</v>
      </c>
      <c r="S36" s="2335"/>
      <c r="T36" s="2335"/>
      <c r="U36" s="2335"/>
      <c r="V36" s="2335">
        <v>0</v>
      </c>
      <c r="W36" s="2335"/>
      <c r="X36" s="2335"/>
      <c r="Y36" s="2335"/>
      <c r="Z36" s="2335">
        <v>10</v>
      </c>
      <c r="AA36" s="2335"/>
      <c r="AB36" s="2335"/>
      <c r="AC36" s="2335"/>
      <c r="AD36" s="2335">
        <v>10</v>
      </c>
      <c r="AE36" s="2335"/>
      <c r="AF36" s="2335"/>
      <c r="AG36" s="2335"/>
      <c r="AH36" s="2335">
        <v>30</v>
      </c>
      <c r="AI36" s="2335"/>
      <c r="AJ36" s="2335"/>
      <c r="AK36" s="2335"/>
      <c r="AL36" s="2355">
        <v>0</v>
      </c>
      <c r="AM36" s="2356"/>
      <c r="AN36" s="2356"/>
      <c r="AO36" s="2357"/>
      <c r="AP36" s="2355">
        <v>0</v>
      </c>
      <c r="AQ36" s="2356"/>
      <c r="AR36" s="2357"/>
      <c r="AS36" s="2358">
        <f t="shared" ref="AS36:AS47" si="2">SUM(R36:AR36)</f>
        <v>50</v>
      </c>
      <c r="AT36" s="2359"/>
      <c r="AU36" s="2359"/>
      <c r="AV36" s="2359"/>
      <c r="AW36" s="2359"/>
      <c r="AX36" s="2360"/>
      <c r="AY36" s="2361">
        <f t="shared" ref="AY36:AY47" si="3">AS36/$J$29</f>
        <v>0.4065040650406504</v>
      </c>
      <c r="AZ36" s="2362"/>
      <c r="BA36" s="2362"/>
      <c r="BB36" s="2362"/>
      <c r="BC36" s="2362"/>
      <c r="BD36" s="2363"/>
      <c r="BE36" s="1205"/>
    </row>
    <row r="37" spans="1:58" ht="15.75" customHeight="1">
      <c r="A37" s="1209"/>
      <c r="B37" s="2332" t="s">
        <v>2473</v>
      </c>
      <c r="C37" s="2333"/>
      <c r="D37" s="2333"/>
      <c r="E37" s="2333"/>
      <c r="F37" s="2333"/>
      <c r="G37" s="2333"/>
      <c r="H37" s="2333"/>
      <c r="I37" s="2333"/>
      <c r="J37" s="2334" t="s">
        <v>1806</v>
      </c>
      <c r="K37" s="2334"/>
      <c r="L37" s="2334"/>
      <c r="M37" s="2334"/>
      <c r="N37" s="2334">
        <v>55</v>
      </c>
      <c r="O37" s="2334"/>
      <c r="P37" s="2334"/>
      <c r="Q37" s="2334"/>
      <c r="R37" s="2335">
        <v>10</v>
      </c>
      <c r="S37" s="2335"/>
      <c r="T37" s="2335"/>
      <c r="U37" s="2335"/>
      <c r="V37" s="2335"/>
      <c r="W37" s="2335"/>
      <c r="X37" s="2335"/>
      <c r="Y37" s="2335"/>
      <c r="Z37" s="2335"/>
      <c r="AA37" s="2335"/>
      <c r="AB37" s="2335"/>
      <c r="AC37" s="2335"/>
      <c r="AD37" s="2335"/>
      <c r="AE37" s="2335"/>
      <c r="AF37" s="2335"/>
      <c r="AG37" s="2335"/>
      <c r="AH37" s="2335"/>
      <c r="AI37" s="2335"/>
      <c r="AJ37" s="2335"/>
      <c r="AK37" s="2335"/>
      <c r="AL37" s="2355"/>
      <c r="AM37" s="2356"/>
      <c r="AN37" s="2356"/>
      <c r="AO37" s="2357"/>
      <c r="AP37" s="2355"/>
      <c r="AQ37" s="2356"/>
      <c r="AR37" s="2357"/>
      <c r="AS37" s="2358">
        <f t="shared" si="2"/>
        <v>10</v>
      </c>
      <c r="AT37" s="2359"/>
      <c r="AU37" s="2359"/>
      <c r="AV37" s="2359"/>
      <c r="AW37" s="2359"/>
      <c r="AX37" s="2360"/>
      <c r="AY37" s="2361">
        <f t="shared" si="3"/>
        <v>8.1300813008130079E-2</v>
      </c>
      <c r="AZ37" s="2362"/>
      <c r="BA37" s="2362"/>
      <c r="BB37" s="2362"/>
      <c r="BC37" s="2362"/>
      <c r="BD37" s="2363"/>
      <c r="BE37" s="1205"/>
    </row>
    <row r="38" spans="1:58" ht="15.75" customHeight="1">
      <c r="A38" s="1209"/>
      <c r="B38" s="2332" t="s">
        <v>2412</v>
      </c>
      <c r="C38" s="2333"/>
      <c r="D38" s="2333"/>
      <c r="E38" s="2333"/>
      <c r="F38" s="2333"/>
      <c r="G38" s="2333"/>
      <c r="H38" s="2333"/>
      <c r="I38" s="2333"/>
      <c r="J38" s="2334" t="s">
        <v>1807</v>
      </c>
      <c r="K38" s="2334"/>
      <c r="L38" s="2334"/>
      <c r="M38" s="2334"/>
      <c r="N38" s="2334">
        <v>55</v>
      </c>
      <c r="O38" s="2334"/>
      <c r="P38" s="2334"/>
      <c r="Q38" s="2334"/>
      <c r="R38" s="2335"/>
      <c r="S38" s="2335"/>
      <c r="T38" s="2335"/>
      <c r="U38" s="2335"/>
      <c r="V38" s="2335"/>
      <c r="W38" s="2335"/>
      <c r="X38" s="2335"/>
      <c r="Y38" s="2335"/>
      <c r="Z38" s="2335"/>
      <c r="AA38" s="2335"/>
      <c r="AB38" s="2335"/>
      <c r="AC38" s="2335"/>
      <c r="AD38" s="2335"/>
      <c r="AE38" s="2335"/>
      <c r="AF38" s="2335"/>
      <c r="AG38" s="2335"/>
      <c r="AH38" s="2335"/>
      <c r="AI38" s="2335"/>
      <c r="AJ38" s="2335"/>
      <c r="AK38" s="2335"/>
      <c r="AL38" s="2355"/>
      <c r="AM38" s="2356"/>
      <c r="AN38" s="2356"/>
      <c r="AO38" s="2357"/>
      <c r="AP38" s="2355"/>
      <c r="AQ38" s="2356"/>
      <c r="AR38" s="2357"/>
      <c r="AS38" s="2358">
        <f t="shared" si="2"/>
        <v>0</v>
      </c>
      <c r="AT38" s="2359"/>
      <c r="AU38" s="2359"/>
      <c r="AV38" s="2359"/>
      <c r="AW38" s="2359"/>
      <c r="AX38" s="2360"/>
      <c r="AY38" s="2361">
        <f t="shared" si="3"/>
        <v>0</v>
      </c>
      <c r="AZ38" s="2362"/>
      <c r="BA38" s="2362"/>
      <c r="BB38" s="2362"/>
      <c r="BC38" s="2362"/>
      <c r="BD38" s="2363"/>
      <c r="BE38" s="1205"/>
    </row>
    <row r="39" spans="1:58" ht="15.75" customHeight="1">
      <c r="A39" s="1209"/>
      <c r="B39" s="2332" t="s">
        <v>1808</v>
      </c>
      <c r="C39" s="2333"/>
      <c r="D39" s="2333"/>
      <c r="E39" s="2333"/>
      <c r="F39" s="2333"/>
      <c r="G39" s="2333"/>
      <c r="H39" s="2333"/>
      <c r="I39" s="2333"/>
      <c r="J39" s="2334"/>
      <c r="K39" s="2334"/>
      <c r="L39" s="2334"/>
      <c r="M39" s="2334"/>
      <c r="N39" s="2334"/>
      <c r="O39" s="2334"/>
      <c r="P39" s="2334"/>
      <c r="Q39" s="2334"/>
      <c r="R39" s="2335"/>
      <c r="S39" s="2335"/>
      <c r="T39" s="2335"/>
      <c r="U39" s="2335"/>
      <c r="V39" s="2335"/>
      <c r="W39" s="2335"/>
      <c r="X39" s="2335"/>
      <c r="Y39" s="2335"/>
      <c r="Z39" s="2335"/>
      <c r="AA39" s="2335"/>
      <c r="AB39" s="2335"/>
      <c r="AC39" s="2335"/>
      <c r="AD39" s="2335"/>
      <c r="AE39" s="2335"/>
      <c r="AF39" s="2335"/>
      <c r="AG39" s="2335"/>
      <c r="AH39" s="2335"/>
      <c r="AI39" s="2335"/>
      <c r="AJ39" s="2335"/>
      <c r="AK39" s="2335"/>
      <c r="AL39" s="2355"/>
      <c r="AM39" s="2356"/>
      <c r="AN39" s="2356"/>
      <c r="AO39" s="2357"/>
      <c r="AP39" s="2355"/>
      <c r="AQ39" s="2356"/>
      <c r="AR39" s="2357"/>
      <c r="AS39" s="2358">
        <f t="shared" si="2"/>
        <v>0</v>
      </c>
      <c r="AT39" s="2359"/>
      <c r="AU39" s="2359"/>
      <c r="AV39" s="2359"/>
      <c r="AW39" s="2359"/>
      <c r="AX39" s="2360"/>
      <c r="AY39" s="2361">
        <f t="shared" si="3"/>
        <v>0</v>
      </c>
      <c r="AZ39" s="2362"/>
      <c r="BA39" s="2362"/>
      <c r="BB39" s="2362"/>
      <c r="BC39" s="2362"/>
      <c r="BD39" s="2363"/>
      <c r="BE39" s="1205"/>
    </row>
    <row r="40" spans="1:58" ht="15.75" customHeight="1">
      <c r="A40" s="1209"/>
      <c r="B40" s="2332" t="s">
        <v>1808</v>
      </c>
      <c r="C40" s="2333"/>
      <c r="D40" s="2333"/>
      <c r="E40" s="2333"/>
      <c r="F40" s="2333"/>
      <c r="G40" s="2333"/>
      <c r="H40" s="2333"/>
      <c r="I40" s="2333"/>
      <c r="J40" s="2334"/>
      <c r="K40" s="2334"/>
      <c r="L40" s="2334"/>
      <c r="M40" s="2334"/>
      <c r="N40" s="2334"/>
      <c r="O40" s="2334"/>
      <c r="P40" s="2334"/>
      <c r="Q40" s="2334"/>
      <c r="R40" s="2335"/>
      <c r="S40" s="2335"/>
      <c r="T40" s="2335"/>
      <c r="U40" s="2335"/>
      <c r="V40" s="2335"/>
      <c r="W40" s="2335"/>
      <c r="X40" s="2335"/>
      <c r="Y40" s="2335"/>
      <c r="Z40" s="2335"/>
      <c r="AA40" s="2335"/>
      <c r="AB40" s="2335"/>
      <c r="AC40" s="2335"/>
      <c r="AD40" s="2335"/>
      <c r="AE40" s="2335"/>
      <c r="AF40" s="2335"/>
      <c r="AG40" s="2335"/>
      <c r="AH40" s="2335"/>
      <c r="AI40" s="2335"/>
      <c r="AJ40" s="2335"/>
      <c r="AK40" s="2335"/>
      <c r="AL40" s="2355"/>
      <c r="AM40" s="2356"/>
      <c r="AN40" s="2356"/>
      <c r="AO40" s="2357"/>
      <c r="AP40" s="2355"/>
      <c r="AQ40" s="2356"/>
      <c r="AR40" s="2357"/>
      <c r="AS40" s="2358">
        <f t="shared" si="2"/>
        <v>0</v>
      </c>
      <c r="AT40" s="2359"/>
      <c r="AU40" s="2359"/>
      <c r="AV40" s="2359"/>
      <c r="AW40" s="2359"/>
      <c r="AX40" s="2360"/>
      <c r="AY40" s="2361">
        <f t="shared" si="3"/>
        <v>0</v>
      </c>
      <c r="AZ40" s="2362"/>
      <c r="BA40" s="2362"/>
      <c r="BB40" s="2362"/>
      <c r="BC40" s="2362"/>
      <c r="BD40" s="2363"/>
      <c r="BE40" s="1205"/>
    </row>
    <row r="41" spans="1:58" ht="15.75" customHeight="1">
      <c r="A41" s="1209"/>
      <c r="B41" s="2332" t="s">
        <v>1809</v>
      </c>
      <c r="C41" s="2333"/>
      <c r="D41" s="2333"/>
      <c r="E41" s="2333"/>
      <c r="F41" s="2333"/>
      <c r="G41" s="2333"/>
      <c r="H41" s="2333"/>
      <c r="I41" s="2333"/>
      <c r="J41" s="2334"/>
      <c r="K41" s="2334"/>
      <c r="L41" s="2334"/>
      <c r="M41" s="2334"/>
      <c r="N41" s="2334"/>
      <c r="O41" s="2334"/>
      <c r="P41" s="2334"/>
      <c r="Q41" s="2334"/>
      <c r="R41" s="2335"/>
      <c r="S41" s="2335"/>
      <c r="T41" s="2335"/>
      <c r="U41" s="2335"/>
      <c r="V41" s="2335"/>
      <c r="W41" s="2335"/>
      <c r="X41" s="2335"/>
      <c r="Y41" s="2335"/>
      <c r="Z41" s="2335"/>
      <c r="AA41" s="2335"/>
      <c r="AB41" s="2335"/>
      <c r="AC41" s="2335"/>
      <c r="AD41" s="2335"/>
      <c r="AE41" s="2335"/>
      <c r="AF41" s="2335"/>
      <c r="AG41" s="2335"/>
      <c r="AH41" s="2335"/>
      <c r="AI41" s="2335"/>
      <c r="AJ41" s="2335"/>
      <c r="AK41" s="2335"/>
      <c r="AL41" s="2355"/>
      <c r="AM41" s="2356"/>
      <c r="AN41" s="2356"/>
      <c r="AO41" s="2357"/>
      <c r="AP41" s="2355"/>
      <c r="AQ41" s="2356"/>
      <c r="AR41" s="2357"/>
      <c r="AS41" s="2358">
        <f t="shared" si="2"/>
        <v>0</v>
      </c>
      <c r="AT41" s="2359"/>
      <c r="AU41" s="2359"/>
      <c r="AV41" s="2359"/>
      <c r="AW41" s="2359"/>
      <c r="AX41" s="2360"/>
      <c r="AY41" s="2361">
        <f t="shared" si="3"/>
        <v>0</v>
      </c>
      <c r="AZ41" s="2362"/>
      <c r="BA41" s="2362"/>
      <c r="BB41" s="2362"/>
      <c r="BC41" s="2362"/>
      <c r="BD41" s="2363"/>
      <c r="BE41" s="1205"/>
    </row>
    <row r="42" spans="1:58" ht="15.75" customHeight="1">
      <c r="A42" s="1209"/>
      <c r="B42" s="2332" t="s">
        <v>1809</v>
      </c>
      <c r="C42" s="2333"/>
      <c r="D42" s="2333"/>
      <c r="E42" s="2333"/>
      <c r="F42" s="2333"/>
      <c r="G42" s="2333"/>
      <c r="H42" s="2333"/>
      <c r="I42" s="2333"/>
      <c r="J42" s="2334"/>
      <c r="K42" s="2334"/>
      <c r="L42" s="2334"/>
      <c r="M42" s="2334"/>
      <c r="N42" s="2334"/>
      <c r="O42" s="2334"/>
      <c r="P42" s="2334"/>
      <c r="Q42" s="2334"/>
      <c r="R42" s="2335"/>
      <c r="S42" s="2335"/>
      <c r="T42" s="2335"/>
      <c r="U42" s="2335"/>
      <c r="V42" s="2335"/>
      <c r="W42" s="2335"/>
      <c r="X42" s="2335"/>
      <c r="Y42" s="2335"/>
      <c r="Z42" s="2335"/>
      <c r="AA42" s="2335"/>
      <c r="AB42" s="2335"/>
      <c r="AC42" s="2335"/>
      <c r="AD42" s="2335"/>
      <c r="AE42" s="2335"/>
      <c r="AF42" s="2335"/>
      <c r="AG42" s="2335"/>
      <c r="AH42" s="2335"/>
      <c r="AI42" s="2335"/>
      <c r="AJ42" s="2335"/>
      <c r="AK42" s="2335"/>
      <c r="AL42" s="2355"/>
      <c r="AM42" s="2356"/>
      <c r="AN42" s="2356"/>
      <c r="AO42" s="2357"/>
      <c r="AP42" s="2355"/>
      <c r="AQ42" s="2356"/>
      <c r="AR42" s="2357"/>
      <c r="AS42" s="2358">
        <f t="shared" si="2"/>
        <v>0</v>
      </c>
      <c r="AT42" s="2359"/>
      <c r="AU42" s="2359"/>
      <c r="AV42" s="2359"/>
      <c r="AW42" s="2359"/>
      <c r="AX42" s="2360"/>
      <c r="AY42" s="2361">
        <f t="shared" si="3"/>
        <v>0</v>
      </c>
      <c r="AZ42" s="2362"/>
      <c r="BA42" s="2362"/>
      <c r="BB42" s="2362"/>
      <c r="BC42" s="2362"/>
      <c r="BD42" s="2363"/>
      <c r="BE42" s="1205"/>
    </row>
    <row r="43" spans="1:58" ht="15.75" customHeight="1">
      <c r="A43" s="1209"/>
      <c r="B43" s="2364" t="s">
        <v>1810</v>
      </c>
      <c r="C43" s="2365"/>
      <c r="D43" s="2365"/>
      <c r="E43" s="2365"/>
      <c r="F43" s="2365"/>
      <c r="G43" s="2365"/>
      <c r="H43" s="2365"/>
      <c r="I43" s="2365"/>
      <c r="J43" s="2334"/>
      <c r="K43" s="2334"/>
      <c r="L43" s="2334"/>
      <c r="M43" s="2334"/>
      <c r="N43" s="2334"/>
      <c r="O43" s="2334"/>
      <c r="P43" s="2334"/>
      <c r="Q43" s="2334"/>
      <c r="R43" s="2335"/>
      <c r="S43" s="2335"/>
      <c r="T43" s="2335"/>
      <c r="U43" s="2335"/>
      <c r="V43" s="2335"/>
      <c r="W43" s="2335"/>
      <c r="X43" s="2335"/>
      <c r="Y43" s="2335"/>
      <c r="Z43" s="2335"/>
      <c r="AA43" s="2335"/>
      <c r="AB43" s="2335"/>
      <c r="AC43" s="2335"/>
      <c r="AD43" s="2335"/>
      <c r="AE43" s="2335"/>
      <c r="AF43" s="2335"/>
      <c r="AG43" s="2335"/>
      <c r="AH43" s="2335"/>
      <c r="AI43" s="2335"/>
      <c r="AJ43" s="2335"/>
      <c r="AK43" s="2335"/>
      <c r="AL43" s="2355"/>
      <c r="AM43" s="2356"/>
      <c r="AN43" s="2356"/>
      <c r="AO43" s="2357"/>
      <c r="AP43" s="2355"/>
      <c r="AQ43" s="2356"/>
      <c r="AR43" s="2357"/>
      <c r="AS43" s="2358">
        <f t="shared" si="2"/>
        <v>0</v>
      </c>
      <c r="AT43" s="2359"/>
      <c r="AU43" s="2359"/>
      <c r="AV43" s="2359"/>
      <c r="AW43" s="2359"/>
      <c r="AX43" s="2360"/>
      <c r="AY43" s="2361">
        <f t="shared" si="3"/>
        <v>0</v>
      </c>
      <c r="AZ43" s="2362"/>
      <c r="BA43" s="2362"/>
      <c r="BB43" s="2362"/>
      <c r="BC43" s="2362"/>
      <c r="BD43" s="2363"/>
      <c r="BE43" s="1205"/>
    </row>
    <row r="44" spans="1:58" ht="15.75" customHeight="1">
      <c r="A44" s="1209"/>
      <c r="B44" s="2364" t="s">
        <v>1811</v>
      </c>
      <c r="C44" s="2365"/>
      <c r="D44" s="2365"/>
      <c r="E44" s="2365"/>
      <c r="F44" s="2365"/>
      <c r="G44" s="2365"/>
      <c r="H44" s="2365"/>
      <c r="I44" s="2365"/>
      <c r="J44" s="2334"/>
      <c r="K44" s="2334"/>
      <c r="L44" s="2334"/>
      <c r="M44" s="2334"/>
      <c r="N44" s="2334"/>
      <c r="O44" s="2334"/>
      <c r="P44" s="2334"/>
      <c r="Q44" s="2334"/>
      <c r="R44" s="2335"/>
      <c r="S44" s="2335"/>
      <c r="T44" s="2335"/>
      <c r="U44" s="2335"/>
      <c r="V44" s="2335"/>
      <c r="W44" s="2335"/>
      <c r="X44" s="2335"/>
      <c r="Y44" s="2335"/>
      <c r="Z44" s="2335"/>
      <c r="AA44" s="2335"/>
      <c r="AB44" s="2335"/>
      <c r="AC44" s="2335"/>
      <c r="AD44" s="2335"/>
      <c r="AE44" s="2335"/>
      <c r="AF44" s="2335"/>
      <c r="AG44" s="2335"/>
      <c r="AH44" s="2335"/>
      <c r="AI44" s="2335"/>
      <c r="AJ44" s="2335"/>
      <c r="AK44" s="2335"/>
      <c r="AL44" s="2355"/>
      <c r="AM44" s="2356"/>
      <c r="AN44" s="2356"/>
      <c r="AO44" s="2357"/>
      <c r="AP44" s="2355"/>
      <c r="AQ44" s="2356"/>
      <c r="AR44" s="2357"/>
      <c r="AS44" s="2358">
        <f t="shared" si="2"/>
        <v>0</v>
      </c>
      <c r="AT44" s="2359"/>
      <c r="AU44" s="2359"/>
      <c r="AV44" s="2359"/>
      <c r="AW44" s="2359"/>
      <c r="AX44" s="2360"/>
      <c r="AY44" s="2361">
        <f t="shared" si="3"/>
        <v>0</v>
      </c>
      <c r="AZ44" s="2362"/>
      <c r="BA44" s="2362"/>
      <c r="BB44" s="2362"/>
      <c r="BC44" s="2362"/>
      <c r="BD44" s="2363"/>
      <c r="BE44" s="1205"/>
    </row>
    <row r="45" spans="1:58" ht="15.75" customHeight="1">
      <c r="A45" s="1209"/>
      <c r="B45" s="2364" t="s">
        <v>1812</v>
      </c>
      <c r="C45" s="2365"/>
      <c r="D45" s="2365"/>
      <c r="E45" s="2365"/>
      <c r="F45" s="2365"/>
      <c r="G45" s="2365"/>
      <c r="H45" s="2365"/>
      <c r="I45" s="2365"/>
      <c r="J45" s="2334"/>
      <c r="K45" s="2334"/>
      <c r="L45" s="2334"/>
      <c r="M45" s="2334"/>
      <c r="N45" s="2334"/>
      <c r="O45" s="2334"/>
      <c r="P45" s="2334"/>
      <c r="Q45" s="2334"/>
      <c r="R45" s="2335"/>
      <c r="S45" s="2335"/>
      <c r="T45" s="2335"/>
      <c r="U45" s="2335"/>
      <c r="V45" s="2335"/>
      <c r="W45" s="2335"/>
      <c r="X45" s="2335"/>
      <c r="Y45" s="2335"/>
      <c r="Z45" s="2335"/>
      <c r="AA45" s="2335"/>
      <c r="AB45" s="2335"/>
      <c r="AC45" s="2335"/>
      <c r="AD45" s="2335"/>
      <c r="AE45" s="2335"/>
      <c r="AF45" s="2335"/>
      <c r="AG45" s="2335"/>
      <c r="AH45" s="2335"/>
      <c r="AI45" s="2335"/>
      <c r="AJ45" s="2335"/>
      <c r="AK45" s="2335"/>
      <c r="AL45" s="2355"/>
      <c r="AM45" s="2356"/>
      <c r="AN45" s="2356"/>
      <c r="AO45" s="2357"/>
      <c r="AP45" s="2355"/>
      <c r="AQ45" s="2356"/>
      <c r="AR45" s="2357"/>
      <c r="AS45" s="2358">
        <f t="shared" si="2"/>
        <v>0</v>
      </c>
      <c r="AT45" s="2359"/>
      <c r="AU45" s="2359"/>
      <c r="AV45" s="2359"/>
      <c r="AW45" s="2359"/>
      <c r="AX45" s="2360"/>
      <c r="AY45" s="2361">
        <f t="shared" si="3"/>
        <v>0</v>
      </c>
      <c r="AZ45" s="2362"/>
      <c r="BA45" s="2362"/>
      <c r="BB45" s="2362"/>
      <c r="BC45" s="2362"/>
      <c r="BD45" s="2363"/>
      <c r="BE45" s="1205"/>
    </row>
    <row r="46" spans="1:58" ht="15.75" customHeight="1">
      <c r="A46" s="1209"/>
      <c r="B46" s="2364" t="s">
        <v>1813</v>
      </c>
      <c r="C46" s="2365"/>
      <c r="D46" s="2365"/>
      <c r="E46" s="2365"/>
      <c r="F46" s="2365"/>
      <c r="G46" s="2365"/>
      <c r="H46" s="2365"/>
      <c r="I46" s="2365"/>
      <c r="J46" s="2334"/>
      <c r="K46" s="2334"/>
      <c r="L46" s="2334"/>
      <c r="M46" s="2334"/>
      <c r="N46" s="2334">
        <v>99</v>
      </c>
      <c r="O46" s="2334"/>
      <c r="P46" s="2334"/>
      <c r="Q46" s="2334"/>
      <c r="R46" s="2335"/>
      <c r="S46" s="2335"/>
      <c r="T46" s="2335"/>
      <c r="U46" s="2335"/>
      <c r="V46" s="2335"/>
      <c r="W46" s="2335"/>
      <c r="X46" s="2335"/>
      <c r="Y46" s="2335"/>
      <c r="Z46" s="2335"/>
      <c r="AA46" s="2335"/>
      <c r="AB46" s="2335"/>
      <c r="AC46" s="2335"/>
      <c r="AD46" s="2335"/>
      <c r="AE46" s="2335"/>
      <c r="AF46" s="2335"/>
      <c r="AG46" s="2335"/>
      <c r="AH46" s="2335"/>
      <c r="AI46" s="2335"/>
      <c r="AJ46" s="2335"/>
      <c r="AK46" s="2335"/>
      <c r="AL46" s="2355"/>
      <c r="AM46" s="2356"/>
      <c r="AN46" s="2356"/>
      <c r="AO46" s="2357"/>
      <c r="AP46" s="2355"/>
      <c r="AQ46" s="2356"/>
      <c r="AR46" s="2357"/>
      <c r="AS46" s="2358">
        <f t="shared" si="2"/>
        <v>0</v>
      </c>
      <c r="AT46" s="2359"/>
      <c r="AU46" s="2359"/>
      <c r="AV46" s="2359"/>
      <c r="AW46" s="2359"/>
      <c r="AX46" s="2360"/>
      <c r="AY46" s="2361">
        <f t="shared" si="3"/>
        <v>0</v>
      </c>
      <c r="AZ46" s="2362"/>
      <c r="BA46" s="2362"/>
      <c r="BB46" s="2362"/>
      <c r="BC46" s="2362"/>
      <c r="BD46" s="2363"/>
      <c r="BE46" s="1205"/>
    </row>
    <row r="47" spans="1:58" ht="15.75" customHeight="1" thickBot="1">
      <c r="A47" s="1209"/>
      <c r="B47" s="2378" t="s">
        <v>300</v>
      </c>
      <c r="C47" s="2379"/>
      <c r="D47" s="2379"/>
      <c r="E47" s="2379"/>
      <c r="F47" s="2379"/>
      <c r="G47" s="2379"/>
      <c r="H47" s="2379"/>
      <c r="I47" s="2379"/>
      <c r="J47" s="2380"/>
      <c r="K47" s="2380"/>
      <c r="L47" s="2380"/>
      <c r="M47" s="2380"/>
      <c r="N47" s="2380"/>
      <c r="O47" s="2380"/>
      <c r="P47" s="2380"/>
      <c r="Q47" s="2380"/>
      <c r="R47" s="2377"/>
      <c r="S47" s="2377"/>
      <c r="T47" s="2377"/>
      <c r="U47" s="2377"/>
      <c r="V47" s="2377"/>
      <c r="W47" s="2377"/>
      <c r="X47" s="2377"/>
      <c r="Y47" s="2377"/>
      <c r="Z47" s="2377"/>
      <c r="AA47" s="2377"/>
      <c r="AB47" s="2377"/>
      <c r="AC47" s="2377"/>
      <c r="AD47" s="2377"/>
      <c r="AE47" s="2377"/>
      <c r="AF47" s="2377"/>
      <c r="AG47" s="2377"/>
      <c r="AH47" s="2377"/>
      <c r="AI47" s="2377"/>
      <c r="AJ47" s="2377"/>
      <c r="AK47" s="2377"/>
      <c r="AL47" s="2366"/>
      <c r="AM47" s="2367"/>
      <c r="AN47" s="2367"/>
      <c r="AO47" s="2368"/>
      <c r="AP47" s="2366"/>
      <c r="AQ47" s="2367"/>
      <c r="AR47" s="2368"/>
      <c r="AS47" s="2358">
        <f t="shared" si="2"/>
        <v>0</v>
      </c>
      <c r="AT47" s="2359"/>
      <c r="AU47" s="2359"/>
      <c r="AV47" s="2359"/>
      <c r="AW47" s="2359"/>
      <c r="AX47" s="2360"/>
      <c r="AY47" s="2369">
        <f t="shared" si="3"/>
        <v>0</v>
      </c>
      <c r="AZ47" s="2370"/>
      <c r="BA47" s="2370"/>
      <c r="BB47" s="2370"/>
      <c r="BC47" s="2370"/>
      <c r="BD47" s="2371"/>
      <c r="BE47" s="1205"/>
    </row>
    <row r="48" spans="1:58" ht="15.75" customHeight="1">
      <c r="A48" s="1209"/>
      <c r="B48" s="1257" t="s">
        <v>2474</v>
      </c>
      <c r="C48" s="1209"/>
      <c r="D48" s="1209"/>
      <c r="E48" s="1209"/>
      <c r="F48" s="1209"/>
      <c r="G48" s="1209"/>
      <c r="H48" s="1209"/>
      <c r="I48" s="1209"/>
      <c r="J48" s="1209"/>
      <c r="K48" s="1209"/>
      <c r="L48" s="1209"/>
      <c r="M48" s="1209"/>
      <c r="N48" s="1209"/>
      <c r="O48" s="1209"/>
      <c r="P48" s="1209"/>
      <c r="Q48" s="1209"/>
      <c r="R48" s="1209"/>
      <c r="S48" s="1209"/>
      <c r="T48" s="1209"/>
      <c r="U48" s="1209"/>
      <c r="V48" s="1209"/>
      <c r="W48" s="1209"/>
      <c r="X48" s="1209"/>
      <c r="Y48" s="1209"/>
      <c r="Z48" s="1209"/>
      <c r="AA48" s="1209"/>
      <c r="AB48" s="1209"/>
      <c r="AC48" s="1209"/>
      <c r="AD48" s="1209"/>
      <c r="AE48" s="1209"/>
      <c r="AF48" s="1209"/>
      <c r="AG48" s="1209"/>
      <c r="AH48" s="1209"/>
      <c r="AI48" s="1209"/>
      <c r="AJ48" s="1209"/>
      <c r="AK48" s="1209"/>
      <c r="AL48" s="1209"/>
      <c r="AM48" s="1209"/>
      <c r="AN48" s="1209"/>
      <c r="AO48" s="1209"/>
      <c r="AP48" s="1209"/>
      <c r="AQ48" s="1209"/>
      <c r="AR48" s="1209"/>
      <c r="AS48" s="1209"/>
      <c r="AT48" s="1209"/>
      <c r="AU48" s="1209"/>
      <c r="AV48" s="1209"/>
      <c r="AW48" s="1209"/>
      <c r="AX48" s="1209"/>
      <c r="AY48" s="1209"/>
      <c r="AZ48" s="1209"/>
      <c r="BA48" s="1209"/>
      <c r="BB48" s="1209"/>
      <c r="BC48" s="1209"/>
      <c r="BD48" s="1209"/>
      <c r="BE48" s="1205"/>
      <c r="BF48" s="1201"/>
    </row>
    <row r="49" spans="1:58" ht="15.75" customHeight="1" thickBot="1">
      <c r="A49" s="1209"/>
      <c r="B49" s="1257" t="s">
        <v>2182</v>
      </c>
      <c r="C49" s="1209"/>
      <c r="D49" s="1209"/>
      <c r="E49" s="1209"/>
      <c r="F49" s="1209"/>
      <c r="G49" s="1209"/>
      <c r="H49" s="1209"/>
      <c r="I49" s="1209"/>
      <c r="J49" s="1209"/>
      <c r="K49" s="1209"/>
      <c r="L49" s="1209"/>
      <c r="M49" s="1209"/>
      <c r="N49" s="1209"/>
      <c r="O49" s="1209"/>
      <c r="P49" s="1209"/>
      <c r="Q49" s="1209"/>
      <c r="R49" s="1209"/>
      <c r="S49" s="1209"/>
      <c r="T49" s="1209"/>
      <c r="U49" s="1209"/>
      <c r="V49" s="1209"/>
      <c r="W49" s="1209"/>
      <c r="X49" s="1209"/>
      <c r="Y49" s="1209"/>
      <c r="Z49" s="1209"/>
      <c r="AA49" s="1209"/>
      <c r="AB49" s="1209"/>
      <c r="AC49" s="1209"/>
      <c r="AD49" s="1209"/>
      <c r="AE49" s="1209"/>
      <c r="AF49" s="1209"/>
      <c r="AG49" s="1209"/>
      <c r="AH49" s="1209"/>
      <c r="AI49" s="1209"/>
      <c r="AJ49" s="1209"/>
      <c r="AK49" s="1209"/>
      <c r="AL49" s="1209"/>
      <c r="AM49" s="1209"/>
      <c r="AN49" s="1209"/>
      <c r="AO49" s="1209"/>
      <c r="AP49" s="1217"/>
      <c r="AQ49" s="1217"/>
      <c r="AR49" s="1217"/>
      <c r="AS49" s="1217"/>
      <c r="AT49" s="1217"/>
      <c r="AU49" s="1217"/>
      <c r="AV49" s="1217"/>
      <c r="AW49" s="1217"/>
      <c r="AX49" s="1209"/>
      <c r="AY49" s="1209"/>
      <c r="AZ49" s="1209"/>
      <c r="BA49" s="1209"/>
      <c r="BB49" s="1209"/>
      <c r="BC49" s="1209"/>
      <c r="BD49" s="1209"/>
      <c r="BE49" s="1205"/>
      <c r="BF49" s="1201"/>
    </row>
    <row r="50" spans="1:58" ht="15.75" customHeight="1">
      <c r="A50" s="1209"/>
      <c r="B50" s="2372" t="s">
        <v>1814</v>
      </c>
      <c r="C50" s="2373"/>
      <c r="D50" s="2373"/>
      <c r="E50" s="2373"/>
      <c r="F50" s="2373"/>
      <c r="G50" s="2373"/>
      <c r="H50" s="2373"/>
      <c r="I50" s="2373"/>
      <c r="J50" s="2373"/>
      <c r="K50" s="2373"/>
      <c r="L50" s="2373"/>
      <c r="M50" s="2373"/>
      <c r="N50" s="2373"/>
      <c r="O50" s="2373"/>
      <c r="P50" s="2373"/>
      <c r="Q50" s="2373"/>
      <c r="R50" s="2373"/>
      <c r="S50" s="2373"/>
      <c r="T50" s="2373"/>
      <c r="U50" s="2373"/>
      <c r="V50" s="2373"/>
      <c r="W50" s="2373"/>
      <c r="X50" s="2373"/>
      <c r="Y50" s="2373"/>
      <c r="Z50" s="2373"/>
      <c r="AA50" s="2373"/>
      <c r="AB50" s="2373"/>
      <c r="AC50" s="2373"/>
      <c r="AD50" s="2373"/>
      <c r="AE50" s="2373"/>
      <c r="AF50" s="2373"/>
      <c r="AG50" s="2373"/>
      <c r="AH50" s="2373"/>
      <c r="AI50" s="2373"/>
      <c r="AJ50" s="2373"/>
      <c r="AK50" s="2373"/>
      <c r="AL50" s="2373"/>
      <c r="AM50" s="2373"/>
      <c r="AN50" s="2373"/>
      <c r="AO50" s="2374"/>
      <c r="AP50" s="1217"/>
      <c r="AQ50" s="1217"/>
      <c r="AR50" s="1217"/>
      <c r="AS50" s="1217"/>
      <c r="AT50" s="1217"/>
      <c r="AU50" s="1217"/>
      <c r="AV50" s="1217"/>
      <c r="AW50" s="1217"/>
      <c r="AX50" s="1209"/>
      <c r="AY50" s="1209"/>
      <c r="AZ50" s="1209"/>
      <c r="BA50" s="1209"/>
      <c r="BB50" s="1209"/>
      <c r="BC50" s="1209"/>
      <c r="BD50" s="1209"/>
      <c r="BE50" s="1205"/>
    </row>
    <row r="51" spans="1:58" ht="33.75" customHeight="1">
      <c r="A51" s="1209"/>
      <c r="B51" s="2217" t="s">
        <v>1815</v>
      </c>
      <c r="C51" s="2218"/>
      <c r="D51" s="2218"/>
      <c r="E51" s="2218"/>
      <c r="F51" s="2218"/>
      <c r="G51" s="2218"/>
      <c r="H51" s="2218"/>
      <c r="I51" s="2218"/>
      <c r="J51" s="2218" t="s">
        <v>2475</v>
      </c>
      <c r="K51" s="2218"/>
      <c r="L51" s="2218"/>
      <c r="M51" s="2218"/>
      <c r="N51" s="2218"/>
      <c r="O51" s="2218"/>
      <c r="P51" s="2218"/>
      <c r="Q51" s="2218"/>
      <c r="R51" s="2375" t="s">
        <v>2476</v>
      </c>
      <c r="S51" s="2375"/>
      <c r="T51" s="2375"/>
      <c r="U51" s="2375"/>
      <c r="V51" s="2375"/>
      <c r="W51" s="2375"/>
      <c r="X51" s="2375"/>
      <c r="Y51" s="2375"/>
      <c r="Z51" s="2375" t="s">
        <v>1816</v>
      </c>
      <c r="AA51" s="2375"/>
      <c r="AB51" s="2375"/>
      <c r="AC51" s="2375"/>
      <c r="AD51" s="2375"/>
      <c r="AE51" s="2375"/>
      <c r="AF51" s="2375"/>
      <c r="AG51" s="2375"/>
      <c r="AH51" s="2375" t="s">
        <v>1817</v>
      </c>
      <c r="AI51" s="2375"/>
      <c r="AJ51" s="2375"/>
      <c r="AK51" s="2375"/>
      <c r="AL51" s="2375"/>
      <c r="AM51" s="2375"/>
      <c r="AN51" s="2375"/>
      <c r="AO51" s="2376"/>
      <c r="AP51" s="1217"/>
      <c r="AQ51" s="1217"/>
      <c r="AR51" s="1217"/>
      <c r="AS51" s="1217"/>
      <c r="AT51" s="1217"/>
      <c r="AU51" s="1217"/>
      <c r="AV51" s="1217"/>
      <c r="AW51" s="1217"/>
      <c r="AX51" s="1220"/>
      <c r="AY51" s="1209"/>
      <c r="AZ51" s="1209"/>
      <c r="BA51" s="1209"/>
      <c r="BB51" s="1209"/>
      <c r="BC51" s="1209"/>
      <c r="BD51" s="1209"/>
      <c r="BE51" s="1205"/>
    </row>
    <row r="52" spans="1:58" ht="15.75" customHeight="1">
      <c r="A52" s="1209"/>
      <c r="B52" s="2364" t="s">
        <v>2183</v>
      </c>
      <c r="C52" s="2365"/>
      <c r="D52" s="2365"/>
      <c r="E52" s="2365"/>
      <c r="F52" s="2365"/>
      <c r="G52" s="2365"/>
      <c r="H52" s="2365"/>
      <c r="I52" s="2365"/>
      <c r="J52" s="2381">
        <v>0</v>
      </c>
      <c r="K52" s="2381"/>
      <c r="L52" s="2381"/>
      <c r="M52" s="2381"/>
      <c r="N52" s="2381"/>
      <c r="O52" s="2381"/>
      <c r="P52" s="2381"/>
      <c r="Q52" s="2381"/>
      <c r="R52" s="2382">
        <v>0</v>
      </c>
      <c r="S52" s="2382"/>
      <c r="T52" s="2382"/>
      <c r="U52" s="2382"/>
      <c r="V52" s="2382"/>
      <c r="W52" s="2382"/>
      <c r="X52" s="2382"/>
      <c r="Y52" s="2382"/>
      <c r="Z52" s="2383">
        <v>0</v>
      </c>
      <c r="AA52" s="2383"/>
      <c r="AB52" s="2383"/>
      <c r="AC52" s="2383"/>
      <c r="AD52" s="2383"/>
      <c r="AE52" s="2383"/>
      <c r="AF52" s="2383"/>
      <c r="AG52" s="2383"/>
      <c r="AH52" s="2384"/>
      <c r="AI52" s="2384"/>
      <c r="AJ52" s="2384"/>
      <c r="AK52" s="2384"/>
      <c r="AL52" s="2384"/>
      <c r="AM52" s="2384"/>
      <c r="AN52" s="2384"/>
      <c r="AO52" s="2385"/>
      <c r="AP52" s="1217"/>
      <c r="AQ52" s="1217"/>
      <c r="AR52" s="1217"/>
      <c r="AS52" s="1217"/>
      <c r="AT52" s="1217"/>
      <c r="AU52" s="1217"/>
      <c r="AV52" s="1217"/>
      <c r="AW52" s="1217"/>
      <c r="AX52" s="1220"/>
      <c r="AY52" s="1209"/>
      <c r="AZ52" s="1209"/>
      <c r="BA52" s="1209"/>
      <c r="BB52" s="1209"/>
      <c r="BC52" s="1209"/>
      <c r="BD52" s="1209"/>
      <c r="BE52" s="1205"/>
    </row>
    <row r="53" spans="1:58" ht="15.75" customHeight="1">
      <c r="A53" s="1209"/>
      <c r="B53" s="2364" t="s">
        <v>2184</v>
      </c>
      <c r="C53" s="2365"/>
      <c r="D53" s="2365"/>
      <c r="E53" s="2365"/>
      <c r="F53" s="2365"/>
      <c r="G53" s="2365"/>
      <c r="H53" s="2365"/>
      <c r="I53" s="2365"/>
      <c r="J53" s="2381">
        <v>0</v>
      </c>
      <c r="K53" s="2381"/>
      <c r="L53" s="2381"/>
      <c r="M53" s="2381"/>
      <c r="N53" s="2381"/>
      <c r="O53" s="2381"/>
      <c r="P53" s="2381"/>
      <c r="Q53" s="2381"/>
      <c r="R53" s="2382">
        <v>0</v>
      </c>
      <c r="S53" s="2382"/>
      <c r="T53" s="2382"/>
      <c r="U53" s="2382"/>
      <c r="V53" s="2382"/>
      <c r="W53" s="2382"/>
      <c r="X53" s="2382"/>
      <c r="Y53" s="2382"/>
      <c r="Z53" s="2383">
        <v>0</v>
      </c>
      <c r="AA53" s="2383"/>
      <c r="AB53" s="2383"/>
      <c r="AC53" s="2383"/>
      <c r="AD53" s="2383"/>
      <c r="AE53" s="2383"/>
      <c r="AF53" s="2383"/>
      <c r="AG53" s="2383"/>
      <c r="AH53" s="2384"/>
      <c r="AI53" s="2384"/>
      <c r="AJ53" s="2384"/>
      <c r="AK53" s="2384"/>
      <c r="AL53" s="2384"/>
      <c r="AM53" s="2384"/>
      <c r="AN53" s="2384"/>
      <c r="AO53" s="2385"/>
      <c r="AP53" s="1217"/>
      <c r="AQ53" s="1217"/>
      <c r="AR53" s="1217"/>
      <c r="AS53" s="1217"/>
      <c r="AT53" s="1217"/>
      <c r="AU53" s="1217"/>
      <c r="AV53" s="1217"/>
      <c r="AW53" s="1217"/>
      <c r="AX53" s="1209"/>
      <c r="AY53" s="1209"/>
      <c r="AZ53" s="1209"/>
      <c r="BA53" s="1209"/>
      <c r="BB53" s="1209"/>
      <c r="BC53" s="1209"/>
      <c r="BD53" s="1209"/>
      <c r="BE53" s="1205"/>
    </row>
    <row r="54" spans="1:58" ht="15.75" customHeight="1">
      <c r="A54" s="1209"/>
      <c r="B54" s="2364"/>
      <c r="C54" s="2365"/>
      <c r="D54" s="2365"/>
      <c r="E54" s="2365"/>
      <c r="F54" s="2365"/>
      <c r="G54" s="2365"/>
      <c r="H54" s="2365"/>
      <c r="I54" s="2365"/>
      <c r="J54" s="2381"/>
      <c r="K54" s="2381"/>
      <c r="L54" s="2381"/>
      <c r="M54" s="2381"/>
      <c r="N54" s="2381"/>
      <c r="O54" s="2381"/>
      <c r="P54" s="2381"/>
      <c r="Q54" s="2381"/>
      <c r="R54" s="2382"/>
      <c r="S54" s="2382"/>
      <c r="T54" s="2382"/>
      <c r="U54" s="2382"/>
      <c r="V54" s="2382"/>
      <c r="W54" s="2382"/>
      <c r="X54" s="2382"/>
      <c r="Y54" s="2382"/>
      <c r="Z54" s="2383"/>
      <c r="AA54" s="2383"/>
      <c r="AB54" s="2383"/>
      <c r="AC54" s="2383"/>
      <c r="AD54" s="2383"/>
      <c r="AE54" s="2383"/>
      <c r="AF54" s="2383"/>
      <c r="AG54" s="2383"/>
      <c r="AH54" s="2384"/>
      <c r="AI54" s="2384"/>
      <c r="AJ54" s="2384"/>
      <c r="AK54" s="2384"/>
      <c r="AL54" s="2384"/>
      <c r="AM54" s="2384"/>
      <c r="AN54" s="2384"/>
      <c r="AO54" s="2385"/>
      <c r="AP54" s="1217"/>
      <c r="AQ54" s="1217"/>
      <c r="AR54" s="1217"/>
      <c r="AS54" s="1217"/>
      <c r="AT54" s="1217"/>
      <c r="AU54" s="1217"/>
      <c r="AV54" s="1217"/>
      <c r="AW54" s="1217"/>
      <c r="AX54" s="1209"/>
      <c r="AY54" s="1209"/>
      <c r="AZ54" s="1209"/>
      <c r="BA54" s="1209"/>
      <c r="BB54" s="1209"/>
      <c r="BC54" s="1209"/>
      <c r="BD54" s="1209"/>
      <c r="BE54" s="1205"/>
    </row>
    <row r="55" spans="1:58" ht="15.75" customHeight="1">
      <c r="A55" s="1209"/>
      <c r="B55" s="2364"/>
      <c r="C55" s="2365"/>
      <c r="D55" s="2365"/>
      <c r="E55" s="2365"/>
      <c r="F55" s="2365"/>
      <c r="G55" s="2365"/>
      <c r="H55" s="2365"/>
      <c r="I55" s="2365"/>
      <c r="J55" s="2381"/>
      <c r="K55" s="2381"/>
      <c r="L55" s="2381"/>
      <c r="M55" s="2381"/>
      <c r="N55" s="2381"/>
      <c r="O55" s="2381"/>
      <c r="P55" s="2381"/>
      <c r="Q55" s="2381"/>
      <c r="R55" s="2382"/>
      <c r="S55" s="2382"/>
      <c r="T55" s="2382"/>
      <c r="U55" s="2382"/>
      <c r="V55" s="2382"/>
      <c r="W55" s="2382"/>
      <c r="X55" s="2382"/>
      <c r="Y55" s="2382"/>
      <c r="Z55" s="2383"/>
      <c r="AA55" s="2383"/>
      <c r="AB55" s="2383"/>
      <c r="AC55" s="2383"/>
      <c r="AD55" s="2383"/>
      <c r="AE55" s="2383"/>
      <c r="AF55" s="2383"/>
      <c r="AG55" s="2383"/>
      <c r="AH55" s="2384"/>
      <c r="AI55" s="2384"/>
      <c r="AJ55" s="2384"/>
      <c r="AK55" s="2384"/>
      <c r="AL55" s="2384"/>
      <c r="AM55" s="2384"/>
      <c r="AN55" s="2384"/>
      <c r="AO55" s="2385"/>
      <c r="AP55" s="1217"/>
      <c r="AQ55" s="1217"/>
      <c r="AR55" s="1217"/>
      <c r="AS55" s="1217"/>
      <c r="AT55" s="1217" t="s">
        <v>250</v>
      </c>
      <c r="AU55" s="1217"/>
      <c r="AV55" s="1217"/>
      <c r="AW55" s="1217"/>
      <c r="AX55" s="1209"/>
      <c r="AY55" s="1209"/>
      <c r="AZ55" s="1209"/>
      <c r="BA55" s="1209"/>
      <c r="BB55" s="1209"/>
      <c r="BC55" s="1209"/>
      <c r="BD55" s="1209"/>
      <c r="BE55" s="1205"/>
    </row>
    <row r="56" spans="1:58" ht="15.75" customHeight="1">
      <c r="A56" s="1209"/>
      <c r="B56" s="2364"/>
      <c r="C56" s="2365"/>
      <c r="D56" s="2365"/>
      <c r="E56" s="2365"/>
      <c r="F56" s="2365"/>
      <c r="G56" s="2365"/>
      <c r="H56" s="2365"/>
      <c r="I56" s="2365"/>
      <c r="J56" s="2381"/>
      <c r="K56" s="2381"/>
      <c r="L56" s="2381"/>
      <c r="M56" s="2381"/>
      <c r="N56" s="2381"/>
      <c r="O56" s="2381"/>
      <c r="P56" s="2381"/>
      <c r="Q56" s="2381"/>
      <c r="R56" s="2382"/>
      <c r="S56" s="2382"/>
      <c r="T56" s="2382"/>
      <c r="U56" s="2382"/>
      <c r="V56" s="2382"/>
      <c r="W56" s="2382"/>
      <c r="X56" s="2382"/>
      <c r="Y56" s="2382"/>
      <c r="Z56" s="2383"/>
      <c r="AA56" s="2383"/>
      <c r="AB56" s="2383"/>
      <c r="AC56" s="2383"/>
      <c r="AD56" s="2383"/>
      <c r="AE56" s="2383"/>
      <c r="AF56" s="2383"/>
      <c r="AG56" s="2383"/>
      <c r="AH56" s="2384"/>
      <c r="AI56" s="2384"/>
      <c r="AJ56" s="2384"/>
      <c r="AK56" s="2384"/>
      <c r="AL56" s="2384"/>
      <c r="AM56" s="2384"/>
      <c r="AN56" s="2384"/>
      <c r="AO56" s="2385"/>
      <c r="AP56" s="1217"/>
      <c r="AQ56" s="1217"/>
      <c r="AR56" s="1217"/>
      <c r="AS56" s="1217"/>
      <c r="AT56" s="1217"/>
      <c r="AU56" s="1217"/>
      <c r="AV56" s="1217"/>
      <c r="AW56" s="1217"/>
      <c r="AX56" s="1209"/>
      <c r="AY56" s="1209"/>
      <c r="AZ56" s="1209"/>
      <c r="BA56" s="1209"/>
      <c r="BB56" s="1209"/>
      <c r="BC56" s="1209"/>
      <c r="BD56" s="1209"/>
      <c r="BE56" s="1205"/>
    </row>
    <row r="57" spans="1:58" s="1255" customFormat="1" ht="15.75" customHeight="1" thickBot="1">
      <c r="A57" s="1217"/>
      <c r="B57" s="2237" t="s">
        <v>1696</v>
      </c>
      <c r="C57" s="2238"/>
      <c r="D57" s="2238"/>
      <c r="E57" s="2238"/>
      <c r="F57" s="2238"/>
      <c r="G57" s="2238"/>
      <c r="H57" s="2238"/>
      <c r="I57" s="2238"/>
      <c r="J57" s="2238"/>
      <c r="K57" s="2238"/>
      <c r="L57" s="2238"/>
      <c r="M57" s="2238"/>
      <c r="N57" s="2238"/>
      <c r="O57" s="2238"/>
      <c r="P57" s="2238"/>
      <c r="Q57" s="2238"/>
      <c r="R57" s="2395">
        <f>SUM(R52:Y56)</f>
        <v>0</v>
      </c>
      <c r="S57" s="2395"/>
      <c r="T57" s="2395"/>
      <c r="U57" s="2395"/>
      <c r="V57" s="2395"/>
      <c r="W57" s="2395"/>
      <c r="X57" s="2395"/>
      <c r="Y57" s="2395"/>
      <c r="Z57" s="2396">
        <f>SUM(Z52:AG56)</f>
        <v>0</v>
      </c>
      <c r="AA57" s="2396"/>
      <c r="AB57" s="2396"/>
      <c r="AC57" s="2396"/>
      <c r="AD57" s="2396"/>
      <c r="AE57" s="2396"/>
      <c r="AF57" s="2396"/>
      <c r="AG57" s="2396"/>
      <c r="AH57" s="2397"/>
      <c r="AI57" s="2397"/>
      <c r="AJ57" s="2397"/>
      <c r="AK57" s="2397"/>
      <c r="AL57" s="2397"/>
      <c r="AM57" s="2397"/>
      <c r="AN57" s="2397"/>
      <c r="AO57" s="2398"/>
      <c r="AP57" s="1217"/>
      <c r="AQ57" s="1217"/>
      <c r="AR57" s="1217"/>
      <c r="AS57" s="1217"/>
      <c r="AT57" s="1217"/>
      <c r="AU57" s="1217"/>
      <c r="AV57" s="1217"/>
      <c r="AW57" s="1217"/>
      <c r="AX57" s="1217"/>
      <c r="AY57" s="1217"/>
      <c r="AZ57" s="1217"/>
      <c r="BA57" s="1217"/>
      <c r="BB57" s="1217"/>
      <c r="BC57" s="1217"/>
      <c r="BD57" s="1217"/>
      <c r="BE57" s="1256"/>
    </row>
    <row r="58" spans="1:58" ht="15.75" customHeight="1" thickBot="1">
      <c r="A58" s="1209"/>
      <c r="B58" s="1209"/>
      <c r="C58" s="1209"/>
      <c r="D58" s="1209"/>
      <c r="E58" s="1209"/>
      <c r="F58" s="1209"/>
      <c r="G58" s="1209"/>
      <c r="H58" s="1209"/>
      <c r="I58" s="1209"/>
      <c r="J58" s="1209"/>
      <c r="K58" s="1209"/>
      <c r="L58" s="1209"/>
      <c r="M58" s="1209"/>
      <c r="N58" s="1209"/>
      <c r="O58" s="1209"/>
      <c r="P58" s="1209"/>
      <c r="Q58" s="1209"/>
      <c r="R58" s="1209"/>
      <c r="S58" s="1209"/>
      <c r="T58" s="1209"/>
      <c r="U58" s="1209"/>
      <c r="V58" s="1209"/>
      <c r="W58" s="1209"/>
      <c r="X58" s="1209"/>
      <c r="Y58" s="1209"/>
      <c r="Z58" s="1209"/>
      <c r="AA58" s="1209"/>
      <c r="AB58" s="1209"/>
      <c r="AC58" s="1209"/>
      <c r="AD58" s="1209"/>
      <c r="AE58" s="1209"/>
      <c r="AF58" s="1209"/>
      <c r="AG58" s="1209"/>
      <c r="AH58" s="1209"/>
      <c r="AI58" s="1209"/>
      <c r="AJ58" s="1209"/>
      <c r="AK58" s="1209"/>
      <c r="AL58" s="1209"/>
      <c r="AM58" s="1209"/>
      <c r="AN58" s="1209"/>
      <c r="AO58" s="1209"/>
      <c r="AP58" s="1209"/>
      <c r="AQ58" s="1209"/>
      <c r="AR58" s="1209"/>
      <c r="AS58" s="1209"/>
      <c r="AT58" s="1209"/>
      <c r="AU58" s="1209"/>
      <c r="AV58" s="1209"/>
      <c r="AW58" s="1209"/>
      <c r="AX58" s="1209"/>
      <c r="AY58" s="1209"/>
      <c r="AZ58" s="1209"/>
      <c r="BA58" s="1209"/>
      <c r="BB58" s="1209"/>
      <c r="BC58" s="1209"/>
      <c r="BD58" s="1209"/>
      <c r="BE58" s="1205"/>
    </row>
    <row r="59" spans="1:58" ht="15.75" customHeight="1">
      <c r="A59" s="1209"/>
      <c r="B59" s="2399" t="s">
        <v>1815</v>
      </c>
      <c r="C59" s="2400"/>
      <c r="D59" s="2400"/>
      <c r="E59" s="2400"/>
      <c r="F59" s="2400"/>
      <c r="G59" s="2400"/>
      <c r="H59" s="2400"/>
      <c r="I59" s="2401"/>
      <c r="J59" s="2285" t="s">
        <v>2477</v>
      </c>
      <c r="K59" s="2285"/>
      <c r="L59" s="2285"/>
      <c r="M59" s="2285"/>
      <c r="N59" s="2285"/>
      <c r="O59" s="2285"/>
      <c r="P59" s="2285"/>
      <c r="Q59" s="2285"/>
      <c r="R59" s="2285"/>
      <c r="S59" s="2285"/>
      <c r="T59" s="2285"/>
      <c r="U59" s="2285"/>
      <c r="V59" s="2285"/>
      <c r="W59" s="2285"/>
      <c r="X59" s="2285"/>
      <c r="Y59" s="2285"/>
      <c r="Z59" s="2285"/>
      <c r="AA59" s="2285"/>
      <c r="AB59" s="2285"/>
      <c r="AC59" s="2285"/>
      <c r="AD59" s="2285"/>
      <c r="AE59" s="2285"/>
      <c r="AF59" s="2285"/>
      <c r="AG59" s="2285"/>
      <c r="AH59" s="2285"/>
      <c r="AI59" s="2285"/>
      <c r="AJ59" s="2285"/>
      <c r="AK59" s="2285"/>
      <c r="AL59" s="2285"/>
      <c r="AM59" s="2285"/>
      <c r="AN59" s="2285"/>
      <c r="AO59" s="2285"/>
      <c r="AP59" s="2285"/>
      <c r="AQ59" s="2285"/>
      <c r="AR59" s="2285"/>
      <c r="AS59" s="2285"/>
      <c r="AT59" s="2285"/>
      <c r="AU59" s="2285"/>
      <c r="AV59" s="2285"/>
      <c r="AW59" s="2286"/>
      <c r="AX59" s="1209"/>
      <c r="AY59" s="1209"/>
      <c r="AZ59" s="1209"/>
      <c r="BA59" s="1209"/>
      <c r="BB59" s="1209"/>
      <c r="BC59" s="1209"/>
      <c r="BD59" s="1209"/>
      <c r="BE59" s="1205"/>
    </row>
    <row r="60" spans="1:58" ht="15.75" customHeight="1">
      <c r="A60" s="1209"/>
      <c r="B60" s="2386" t="str">
        <f>IF(B52="", "", B52)</f>
        <v>Services Company 1</v>
      </c>
      <c r="C60" s="2387"/>
      <c r="D60" s="2387"/>
      <c r="E60" s="2387"/>
      <c r="F60" s="2387"/>
      <c r="G60" s="2387"/>
      <c r="H60" s="2387"/>
      <c r="I60" s="2388"/>
      <c r="J60" s="2389"/>
      <c r="K60" s="2390"/>
      <c r="L60" s="2390"/>
      <c r="M60" s="2390"/>
      <c r="N60" s="2390"/>
      <c r="O60" s="2390"/>
      <c r="P60" s="2390"/>
      <c r="Q60" s="2390"/>
      <c r="R60" s="2390"/>
      <c r="S60" s="2390"/>
      <c r="T60" s="2390"/>
      <c r="U60" s="2390"/>
      <c r="V60" s="2390"/>
      <c r="W60" s="2390"/>
      <c r="X60" s="2390"/>
      <c r="Y60" s="2390"/>
      <c r="Z60" s="2390"/>
      <c r="AA60" s="2390"/>
      <c r="AB60" s="2390"/>
      <c r="AC60" s="2390"/>
      <c r="AD60" s="2390"/>
      <c r="AE60" s="2390"/>
      <c r="AF60" s="2390"/>
      <c r="AG60" s="2390"/>
      <c r="AH60" s="2390"/>
      <c r="AI60" s="2390"/>
      <c r="AJ60" s="2390"/>
      <c r="AK60" s="2390"/>
      <c r="AL60" s="2390"/>
      <c r="AM60" s="2390"/>
      <c r="AN60" s="2390"/>
      <c r="AO60" s="2390"/>
      <c r="AP60" s="2390"/>
      <c r="AQ60" s="2390"/>
      <c r="AR60" s="2390"/>
      <c r="AS60" s="2390"/>
      <c r="AT60" s="2390"/>
      <c r="AU60" s="2390"/>
      <c r="AV60" s="2390"/>
      <c r="AW60" s="2391"/>
      <c r="AX60" s="1209"/>
      <c r="AY60" s="1209"/>
      <c r="AZ60" s="1209"/>
      <c r="BA60" s="1209"/>
      <c r="BB60" s="1209"/>
      <c r="BC60" s="1209"/>
      <c r="BD60" s="1209"/>
      <c r="BE60" s="1205"/>
    </row>
    <row r="61" spans="1:58" ht="15.75" customHeight="1">
      <c r="A61" s="1209"/>
      <c r="B61" s="2386" t="str">
        <f>IF(B53="", "", B53)</f>
        <v>Services Company 2</v>
      </c>
      <c r="C61" s="2387"/>
      <c r="D61" s="2387"/>
      <c r="E61" s="2387"/>
      <c r="F61" s="2387"/>
      <c r="G61" s="2387"/>
      <c r="H61" s="2387"/>
      <c r="I61" s="2388"/>
      <c r="J61" s="2389"/>
      <c r="K61" s="2390"/>
      <c r="L61" s="2390"/>
      <c r="M61" s="2390"/>
      <c r="N61" s="2390"/>
      <c r="O61" s="2390"/>
      <c r="P61" s="2390"/>
      <c r="Q61" s="2390"/>
      <c r="R61" s="2390"/>
      <c r="S61" s="2390"/>
      <c r="T61" s="2390"/>
      <c r="U61" s="2390"/>
      <c r="V61" s="2390"/>
      <c r="W61" s="2390"/>
      <c r="X61" s="2390"/>
      <c r="Y61" s="2390"/>
      <c r="Z61" s="2390"/>
      <c r="AA61" s="2390"/>
      <c r="AB61" s="2390"/>
      <c r="AC61" s="2390"/>
      <c r="AD61" s="2390"/>
      <c r="AE61" s="2390"/>
      <c r="AF61" s="2390"/>
      <c r="AG61" s="2390"/>
      <c r="AH61" s="2390"/>
      <c r="AI61" s="2390"/>
      <c r="AJ61" s="2390"/>
      <c r="AK61" s="2390"/>
      <c r="AL61" s="2390"/>
      <c r="AM61" s="2390"/>
      <c r="AN61" s="2390"/>
      <c r="AO61" s="2390"/>
      <c r="AP61" s="2390"/>
      <c r="AQ61" s="2390"/>
      <c r="AR61" s="2390"/>
      <c r="AS61" s="2390"/>
      <c r="AT61" s="2390"/>
      <c r="AU61" s="2390"/>
      <c r="AV61" s="2390"/>
      <c r="AW61" s="2391"/>
      <c r="AX61" s="1209"/>
      <c r="AY61" s="1209"/>
      <c r="AZ61" s="1209"/>
      <c r="BA61" s="1209"/>
      <c r="BB61" s="1209"/>
      <c r="BC61" s="1209"/>
      <c r="BD61" s="1209"/>
      <c r="BE61" s="1205"/>
    </row>
    <row r="62" spans="1:58" ht="15.75" customHeight="1">
      <c r="A62" s="1209"/>
      <c r="B62" s="2386" t="str">
        <f>IF(B54="", "", B54)</f>
        <v/>
      </c>
      <c r="C62" s="2387"/>
      <c r="D62" s="2387"/>
      <c r="E62" s="2387"/>
      <c r="F62" s="2387"/>
      <c r="G62" s="2387"/>
      <c r="H62" s="2387"/>
      <c r="I62" s="2388"/>
      <c r="J62" s="2389"/>
      <c r="K62" s="2390"/>
      <c r="L62" s="2390"/>
      <c r="M62" s="2390"/>
      <c r="N62" s="2390"/>
      <c r="O62" s="2390"/>
      <c r="P62" s="2390"/>
      <c r="Q62" s="2390"/>
      <c r="R62" s="2390"/>
      <c r="S62" s="2390"/>
      <c r="T62" s="2390"/>
      <c r="U62" s="2390"/>
      <c r="V62" s="2390"/>
      <c r="W62" s="2390"/>
      <c r="X62" s="2390"/>
      <c r="Y62" s="2390"/>
      <c r="Z62" s="2390"/>
      <c r="AA62" s="2390"/>
      <c r="AB62" s="2390"/>
      <c r="AC62" s="2390"/>
      <c r="AD62" s="2390"/>
      <c r="AE62" s="2390"/>
      <c r="AF62" s="2390"/>
      <c r="AG62" s="2390"/>
      <c r="AH62" s="2390"/>
      <c r="AI62" s="2390"/>
      <c r="AJ62" s="2390"/>
      <c r="AK62" s="2390"/>
      <c r="AL62" s="2390"/>
      <c r="AM62" s="2390"/>
      <c r="AN62" s="2390"/>
      <c r="AO62" s="2390"/>
      <c r="AP62" s="2390"/>
      <c r="AQ62" s="2390"/>
      <c r="AR62" s="2390"/>
      <c r="AS62" s="2390"/>
      <c r="AT62" s="2390"/>
      <c r="AU62" s="2390"/>
      <c r="AV62" s="2390"/>
      <c r="AW62" s="2391"/>
      <c r="AX62" s="1209"/>
      <c r="AY62" s="1209"/>
      <c r="AZ62" s="1209"/>
      <c r="BA62" s="1209"/>
      <c r="BB62" s="1209"/>
      <c r="BC62" s="1209"/>
      <c r="BD62" s="1209"/>
      <c r="BE62" s="1205"/>
    </row>
    <row r="63" spans="1:58" ht="15.75" customHeight="1">
      <c r="A63" s="1209"/>
      <c r="B63" s="2386" t="str">
        <f>IF(B55="", "", B55)</f>
        <v/>
      </c>
      <c r="C63" s="2387"/>
      <c r="D63" s="2387"/>
      <c r="E63" s="2387"/>
      <c r="F63" s="2387"/>
      <c r="G63" s="2387"/>
      <c r="H63" s="2387"/>
      <c r="I63" s="2388"/>
      <c r="J63" s="2389"/>
      <c r="K63" s="2390"/>
      <c r="L63" s="2390"/>
      <c r="M63" s="2390"/>
      <c r="N63" s="2390"/>
      <c r="O63" s="2390"/>
      <c r="P63" s="2390"/>
      <c r="Q63" s="2390"/>
      <c r="R63" s="2390"/>
      <c r="S63" s="2390"/>
      <c r="T63" s="2390"/>
      <c r="U63" s="2390"/>
      <c r="V63" s="2390"/>
      <c r="W63" s="2390"/>
      <c r="X63" s="2390"/>
      <c r="Y63" s="2390"/>
      <c r="Z63" s="2390"/>
      <c r="AA63" s="2390"/>
      <c r="AB63" s="2390"/>
      <c r="AC63" s="2390"/>
      <c r="AD63" s="2390"/>
      <c r="AE63" s="2390"/>
      <c r="AF63" s="2390"/>
      <c r="AG63" s="2390"/>
      <c r="AH63" s="2390"/>
      <c r="AI63" s="2390"/>
      <c r="AJ63" s="2390"/>
      <c r="AK63" s="2390"/>
      <c r="AL63" s="2390"/>
      <c r="AM63" s="2390"/>
      <c r="AN63" s="2390"/>
      <c r="AO63" s="2390"/>
      <c r="AP63" s="2390"/>
      <c r="AQ63" s="2390"/>
      <c r="AR63" s="2390"/>
      <c r="AS63" s="2390"/>
      <c r="AT63" s="2390"/>
      <c r="AU63" s="2390"/>
      <c r="AV63" s="2390"/>
      <c r="AW63" s="2391"/>
      <c r="AX63" s="1209"/>
      <c r="AY63" s="1209"/>
      <c r="AZ63" s="1209"/>
      <c r="BA63" s="1209"/>
      <c r="BB63" s="1209"/>
      <c r="BC63" s="1209"/>
      <c r="BD63" s="1209"/>
      <c r="BE63" s="1205"/>
    </row>
    <row r="64" spans="1:58" ht="15.75" customHeight="1" thickBot="1">
      <c r="A64" s="1209"/>
      <c r="B64" s="2392" t="str">
        <f>IF(B56="", "", B56)</f>
        <v/>
      </c>
      <c r="C64" s="2393"/>
      <c r="D64" s="2393"/>
      <c r="E64" s="2393"/>
      <c r="F64" s="2393"/>
      <c r="G64" s="2393"/>
      <c r="H64" s="2393"/>
      <c r="I64" s="2394"/>
      <c r="J64" s="2402"/>
      <c r="K64" s="2403"/>
      <c r="L64" s="2403"/>
      <c r="M64" s="2403"/>
      <c r="N64" s="2403"/>
      <c r="O64" s="2403"/>
      <c r="P64" s="2403"/>
      <c r="Q64" s="2403"/>
      <c r="R64" s="2403"/>
      <c r="S64" s="2403"/>
      <c r="T64" s="2403"/>
      <c r="U64" s="2403"/>
      <c r="V64" s="2403"/>
      <c r="W64" s="2403"/>
      <c r="X64" s="2403"/>
      <c r="Y64" s="2403"/>
      <c r="Z64" s="2403"/>
      <c r="AA64" s="2403"/>
      <c r="AB64" s="2403"/>
      <c r="AC64" s="2403"/>
      <c r="AD64" s="2403"/>
      <c r="AE64" s="2403"/>
      <c r="AF64" s="2403"/>
      <c r="AG64" s="2403"/>
      <c r="AH64" s="2403"/>
      <c r="AI64" s="2403"/>
      <c r="AJ64" s="2403"/>
      <c r="AK64" s="2403"/>
      <c r="AL64" s="2403"/>
      <c r="AM64" s="2403"/>
      <c r="AN64" s="2403"/>
      <c r="AO64" s="2403"/>
      <c r="AP64" s="2403"/>
      <c r="AQ64" s="2403"/>
      <c r="AR64" s="2403"/>
      <c r="AS64" s="2403"/>
      <c r="AT64" s="2403"/>
      <c r="AU64" s="2403"/>
      <c r="AV64" s="2403"/>
      <c r="AW64" s="2404"/>
      <c r="AX64" s="1209"/>
      <c r="AY64" s="1209"/>
      <c r="AZ64" s="1209"/>
      <c r="BA64" s="1209"/>
      <c r="BB64" s="1209"/>
      <c r="BC64" s="1209"/>
      <c r="BD64" s="1209"/>
      <c r="BE64" s="1205"/>
    </row>
    <row r="65" spans="1:65" ht="15.75" customHeight="1">
      <c r="A65" s="1209"/>
      <c r="B65" s="1209"/>
      <c r="C65" s="1209"/>
      <c r="D65" s="1209"/>
      <c r="E65" s="1209"/>
      <c r="F65" s="1209"/>
      <c r="G65" s="1209"/>
      <c r="H65" s="1209"/>
      <c r="I65" s="1209"/>
      <c r="J65" s="1209"/>
      <c r="K65" s="1209"/>
      <c r="L65" s="1209"/>
      <c r="M65" s="1209"/>
      <c r="N65" s="1209"/>
      <c r="O65" s="1209"/>
      <c r="P65" s="1209"/>
      <c r="Q65" s="1209"/>
      <c r="R65" s="1209"/>
      <c r="S65" s="1209"/>
      <c r="T65" s="1209"/>
      <c r="U65" s="1209"/>
      <c r="V65" s="1209"/>
      <c r="W65" s="1209"/>
      <c r="X65" s="1209"/>
      <c r="Y65" s="1209"/>
      <c r="Z65" s="1209"/>
      <c r="AA65" s="1209"/>
      <c r="AB65" s="1209"/>
      <c r="AC65" s="1209"/>
      <c r="AD65" s="1209"/>
      <c r="AE65" s="1209"/>
      <c r="AF65" s="1209"/>
      <c r="AG65" s="1209"/>
      <c r="AH65" s="1209"/>
      <c r="AI65" s="1209"/>
      <c r="AJ65" s="1209"/>
      <c r="AK65" s="1209"/>
      <c r="AL65" s="1209"/>
      <c r="AM65" s="1209"/>
      <c r="AN65" s="1209"/>
      <c r="AO65" s="1209"/>
      <c r="AP65" s="1209"/>
      <c r="AQ65" s="1209"/>
      <c r="AR65" s="1209"/>
      <c r="AS65" s="1209"/>
      <c r="AT65" s="1209"/>
      <c r="AU65" s="1209"/>
      <c r="AV65" s="1209"/>
      <c r="AW65" s="1209"/>
      <c r="AX65" s="1209"/>
      <c r="AY65" s="1209"/>
      <c r="AZ65" s="1209"/>
      <c r="BA65" s="1209"/>
      <c r="BB65" s="1209"/>
      <c r="BC65" s="1209"/>
      <c r="BD65" s="1209"/>
      <c r="BE65" s="1205"/>
    </row>
    <row r="66" spans="1:65" ht="15.75" customHeight="1">
      <c r="A66" s="1209"/>
      <c r="B66" s="1255" t="s">
        <v>1818</v>
      </c>
      <c r="C66" s="1255"/>
      <c r="D66" s="1255"/>
      <c r="E66" s="1255"/>
      <c r="F66" s="1255"/>
      <c r="G66" s="1255"/>
      <c r="H66" s="1255"/>
      <c r="I66" s="1255"/>
      <c r="J66" s="1255"/>
      <c r="K66" s="1255"/>
      <c r="L66" s="1209"/>
      <c r="M66" s="1209"/>
      <c r="N66" s="1209"/>
      <c r="O66" s="1209"/>
      <c r="P66" s="1209"/>
      <c r="Q66" s="1209"/>
      <c r="R66" s="1209"/>
      <c r="S66" s="1209"/>
      <c r="T66" s="1209"/>
      <c r="U66" s="1209"/>
      <c r="V66" s="1209"/>
      <c r="W66" s="1209"/>
      <c r="X66" s="1209"/>
      <c r="Y66" s="1209"/>
      <c r="Z66" s="1209"/>
      <c r="AA66" s="1209"/>
      <c r="AB66" s="1209"/>
      <c r="AC66" s="1209"/>
      <c r="AD66" s="1209"/>
      <c r="AE66" s="1209"/>
      <c r="AF66" s="1209"/>
      <c r="AG66" s="1209"/>
      <c r="AH66" s="1209"/>
      <c r="AI66" s="1209"/>
      <c r="AJ66" s="1209"/>
      <c r="AK66" s="1209"/>
      <c r="AL66" s="1209"/>
      <c r="AM66" s="1209"/>
      <c r="AN66" s="1209"/>
      <c r="AO66" s="1209"/>
      <c r="AP66" s="1209"/>
      <c r="AQ66" s="1209"/>
      <c r="AR66" s="1209"/>
      <c r="AS66" s="1209"/>
      <c r="AT66" s="1209"/>
      <c r="AU66" s="1209"/>
      <c r="AV66" s="1209"/>
      <c r="AW66" s="1209"/>
      <c r="AX66" s="1209"/>
      <c r="AY66" s="1209"/>
      <c r="AZ66" s="1209"/>
      <c r="BA66" s="1209"/>
      <c r="BB66" s="1209"/>
      <c r="BC66" s="1209"/>
      <c r="BD66" s="1209"/>
      <c r="BE66" s="1205"/>
    </row>
    <row r="67" spans="1:65" ht="15.75" customHeight="1" thickBot="1">
      <c r="A67" s="1209"/>
      <c r="B67" s="1209"/>
      <c r="C67" s="1209"/>
      <c r="D67" s="1209"/>
      <c r="E67" s="1209"/>
      <c r="F67" s="1209"/>
      <c r="G67" s="1209"/>
      <c r="H67" s="1209"/>
      <c r="I67" s="1209"/>
      <c r="J67" s="1209"/>
      <c r="K67" s="1209"/>
      <c r="L67" s="1209"/>
      <c r="M67" s="1209"/>
      <c r="N67" s="1209"/>
      <c r="O67" s="1209"/>
      <c r="P67" s="1209"/>
      <c r="Q67" s="1209"/>
      <c r="R67" s="1209"/>
      <c r="S67" s="1209"/>
      <c r="T67" s="1209"/>
      <c r="U67" s="1209"/>
      <c r="V67" s="1209"/>
      <c r="W67" s="1209"/>
      <c r="X67" s="1209"/>
      <c r="Y67" s="1209"/>
      <c r="Z67" s="1209"/>
      <c r="AA67" s="1209"/>
      <c r="AB67" s="1209"/>
      <c r="AC67" s="1209"/>
      <c r="AD67" s="1209"/>
      <c r="AE67" s="1209"/>
      <c r="AF67" s="1209"/>
      <c r="AG67" s="1209"/>
      <c r="AH67" s="1209"/>
      <c r="AI67" s="1209"/>
      <c r="AJ67" s="1209"/>
      <c r="AK67" s="1209"/>
      <c r="AL67" s="1209"/>
      <c r="AM67" s="1209"/>
      <c r="AN67" s="1209"/>
      <c r="AO67" s="1209"/>
      <c r="AP67" s="1209"/>
      <c r="AQ67" s="1209"/>
      <c r="AR67" s="1209"/>
      <c r="AS67" s="1209"/>
      <c r="AT67" s="1209"/>
      <c r="AU67" s="1209"/>
      <c r="AV67" s="1209"/>
      <c r="AW67" s="1209"/>
      <c r="AX67" s="1209"/>
      <c r="AY67" s="1209"/>
      <c r="AZ67" s="1209"/>
      <c r="BA67" s="1209"/>
      <c r="BB67" s="1209"/>
      <c r="BC67" s="1209"/>
      <c r="BD67" s="1209"/>
      <c r="BE67" s="1205"/>
    </row>
    <row r="68" spans="1:65" ht="15.75" customHeight="1" thickBot="1">
      <c r="A68" s="1209"/>
      <c r="B68" s="2284" t="s">
        <v>1819</v>
      </c>
      <c r="C68" s="2285"/>
      <c r="D68" s="2285"/>
      <c r="E68" s="2285"/>
      <c r="F68" s="2285"/>
      <c r="G68" s="2285"/>
      <c r="H68" s="2285"/>
      <c r="I68" s="2285"/>
      <c r="J68" s="2285"/>
      <c r="K68" s="2285"/>
      <c r="L68" s="2285"/>
      <c r="M68" s="2285"/>
      <c r="N68" s="2285"/>
      <c r="O68" s="2285"/>
      <c r="P68" s="2285"/>
      <c r="Q68" s="2285"/>
      <c r="R68" s="2285"/>
      <c r="S68" s="2285"/>
      <c r="T68" s="2285"/>
      <c r="U68" s="2285"/>
      <c r="V68" s="2285"/>
      <c r="W68" s="2285"/>
      <c r="X68" s="2285"/>
      <c r="Y68" s="2285"/>
      <c r="Z68" s="2285"/>
      <c r="AA68" s="2286"/>
      <c r="AB68" s="1209"/>
      <c r="AC68" s="2477" t="s">
        <v>1820</v>
      </c>
      <c r="AD68" s="2478"/>
      <c r="AE68" s="2478"/>
      <c r="AF68" s="2478"/>
      <c r="AG68" s="2478"/>
      <c r="AH68" s="2478"/>
      <c r="AI68" s="2478"/>
      <c r="AJ68" s="2478"/>
      <c r="AK68" s="2478"/>
      <c r="AL68" s="2478"/>
      <c r="AM68" s="2478"/>
      <c r="AN68" s="2478"/>
      <c r="AO68" s="2478"/>
      <c r="AP68" s="2478"/>
      <c r="AQ68" s="2478"/>
      <c r="AR68" s="2478"/>
      <c r="AS68" s="2478"/>
      <c r="AT68" s="2478"/>
      <c r="AU68" s="2478"/>
      <c r="AV68" s="2604" t="s">
        <v>676</v>
      </c>
      <c r="AW68" s="2437"/>
      <c r="AX68" s="2437"/>
      <c r="AY68" s="2437"/>
      <c r="AZ68" s="2437"/>
      <c r="BA68" s="2437"/>
      <c r="BB68" s="2437"/>
      <c r="BC68" s="2438"/>
      <c r="BD68" s="1209"/>
      <c r="BE68" s="1205"/>
      <c r="BM68" s="1254" t="s">
        <v>2478</v>
      </c>
    </row>
    <row r="69" spans="1:65" ht="15.75" customHeight="1" thickTop="1" thickBot="1">
      <c r="A69" s="1209"/>
      <c r="B69" s="2605" t="s">
        <v>1821</v>
      </c>
      <c r="C69" s="2606"/>
      <c r="D69" s="2606"/>
      <c r="E69" s="2606"/>
      <c r="F69" s="2606"/>
      <c r="G69" s="2606"/>
      <c r="H69" s="2606"/>
      <c r="I69" s="2606"/>
      <c r="J69" s="2606"/>
      <c r="K69" s="2606"/>
      <c r="L69" s="2606"/>
      <c r="M69" s="2606"/>
      <c r="N69" s="2606"/>
      <c r="O69" s="2607" t="s">
        <v>1822</v>
      </c>
      <c r="P69" s="2608"/>
      <c r="Q69" s="2608"/>
      <c r="R69" s="2608"/>
      <c r="S69" s="2608"/>
      <c r="T69" s="2608"/>
      <c r="U69" s="2608"/>
      <c r="V69" s="2608"/>
      <c r="W69" s="2608"/>
      <c r="X69" s="2608"/>
      <c r="Y69" s="2608"/>
      <c r="Z69" s="2608"/>
      <c r="AA69" s="2609"/>
      <c r="AB69" s="1209"/>
      <c r="AC69" s="2610" t="s">
        <v>1823</v>
      </c>
      <c r="AD69" s="2611"/>
      <c r="AE69" s="2611"/>
      <c r="AF69" s="2611"/>
      <c r="AG69" s="2611"/>
      <c r="AH69" s="2611"/>
      <c r="AI69" s="2611"/>
      <c r="AJ69" s="2611"/>
      <c r="AK69" s="2611"/>
      <c r="AL69" s="2611"/>
      <c r="AM69" s="2611"/>
      <c r="AN69" s="2611"/>
      <c r="AO69" s="2611"/>
      <c r="AP69" s="2611"/>
      <c r="AQ69" s="2611"/>
      <c r="AR69" s="2611"/>
      <c r="AS69" s="2611"/>
      <c r="AT69" s="2611"/>
      <c r="AU69" s="2611"/>
      <c r="AV69" s="2612"/>
      <c r="AW69" s="2613"/>
      <c r="AX69" s="2613"/>
      <c r="AY69" s="2613"/>
      <c r="AZ69" s="2613"/>
      <c r="BA69" s="2613"/>
      <c r="BB69" s="2613"/>
      <c r="BC69" s="2614"/>
      <c r="BD69" s="1209"/>
      <c r="BE69" s="1205"/>
      <c r="BM69" s="1253" t="s">
        <v>552</v>
      </c>
    </row>
    <row r="70" spans="1:65" ht="15.75" customHeight="1">
      <c r="A70" s="1209"/>
      <c r="B70" s="2332" t="s">
        <v>2479</v>
      </c>
      <c r="C70" s="2333"/>
      <c r="D70" s="2333"/>
      <c r="E70" s="2333"/>
      <c r="F70" s="2333"/>
      <c r="G70" s="2333"/>
      <c r="H70" s="2333"/>
      <c r="I70" s="2333"/>
      <c r="J70" s="2333"/>
      <c r="K70" s="2333"/>
      <c r="L70" s="2333"/>
      <c r="M70" s="2333"/>
      <c r="N70" s="2333"/>
      <c r="O70" s="2412">
        <v>0</v>
      </c>
      <c r="P70" s="2412"/>
      <c r="Q70" s="2412"/>
      <c r="R70" s="2412"/>
      <c r="S70" s="2412"/>
      <c r="T70" s="2412"/>
      <c r="U70" s="2412"/>
      <c r="V70" s="2412"/>
      <c r="W70" s="2412"/>
      <c r="X70" s="2412"/>
      <c r="Y70" s="2412"/>
      <c r="Z70" s="2412"/>
      <c r="AA70" s="2413"/>
      <c r="AB70" s="1209"/>
      <c r="AC70" s="2372" t="s">
        <v>1824</v>
      </c>
      <c r="AD70" s="2373"/>
      <c r="AE70" s="2373"/>
      <c r="AF70" s="2416"/>
      <c r="AG70" s="2416"/>
      <c r="AH70" s="2416"/>
      <c r="AI70" s="2416"/>
      <c r="AJ70" s="2416"/>
      <c r="AK70" s="2416"/>
      <c r="AL70" s="2416"/>
      <c r="AM70" s="2416"/>
      <c r="AN70" s="2416"/>
      <c r="AO70" s="2416"/>
      <c r="AP70" s="2416"/>
      <c r="AQ70" s="2416"/>
      <c r="AR70" s="2416"/>
      <c r="AS70" s="2416"/>
      <c r="AT70" s="2416"/>
      <c r="AU70" s="2417"/>
      <c r="AV70" s="1209"/>
      <c r="AW70" s="1209"/>
      <c r="AX70" s="1209"/>
      <c r="AY70" s="1209"/>
      <c r="AZ70" s="1209"/>
      <c r="BA70" s="1209"/>
      <c r="BB70" s="1209"/>
      <c r="BC70" s="1209"/>
      <c r="BD70" s="1209"/>
      <c r="BE70" s="1205"/>
      <c r="BM70" s="1252" t="s">
        <v>676</v>
      </c>
    </row>
    <row r="71" spans="1:65" ht="15.75" customHeight="1" thickBot="1">
      <c r="A71" s="1209"/>
      <c r="B71" s="2332" t="s">
        <v>2480</v>
      </c>
      <c r="C71" s="2333"/>
      <c r="D71" s="2333"/>
      <c r="E71" s="2333"/>
      <c r="F71" s="2333"/>
      <c r="G71" s="2333"/>
      <c r="H71" s="2333"/>
      <c r="I71" s="2333"/>
      <c r="J71" s="2333"/>
      <c r="K71" s="2333"/>
      <c r="L71" s="2333"/>
      <c r="M71" s="2333"/>
      <c r="N71" s="2333"/>
      <c r="O71" s="2412">
        <v>0</v>
      </c>
      <c r="P71" s="2412"/>
      <c r="Q71" s="2412"/>
      <c r="R71" s="2412"/>
      <c r="S71" s="2412"/>
      <c r="T71" s="2412"/>
      <c r="U71" s="2412"/>
      <c r="V71" s="2412"/>
      <c r="W71" s="2412"/>
      <c r="X71" s="2412"/>
      <c r="Y71" s="2412"/>
      <c r="Z71" s="2412"/>
      <c r="AA71" s="2413"/>
      <c r="AB71" s="1209"/>
      <c r="AC71" s="2418" t="s">
        <v>1825</v>
      </c>
      <c r="AD71" s="2419"/>
      <c r="AE71" s="2419"/>
      <c r="AF71" s="2403"/>
      <c r="AG71" s="2403"/>
      <c r="AH71" s="2403"/>
      <c r="AI71" s="2403"/>
      <c r="AJ71" s="2403"/>
      <c r="AK71" s="2403"/>
      <c r="AL71" s="2403"/>
      <c r="AM71" s="2403"/>
      <c r="AN71" s="2403"/>
      <c r="AO71" s="2403"/>
      <c r="AP71" s="2403"/>
      <c r="AQ71" s="2403"/>
      <c r="AR71" s="2403"/>
      <c r="AS71" s="2403"/>
      <c r="AT71" s="2403"/>
      <c r="AU71" s="2404"/>
      <c r="AV71" s="1209"/>
      <c r="AW71" s="1209"/>
      <c r="AX71" s="1209"/>
      <c r="AY71" s="1209"/>
      <c r="AZ71" s="1209"/>
      <c r="BA71" s="1209"/>
      <c r="BB71" s="1209"/>
      <c r="BC71" s="1209"/>
      <c r="BD71" s="1209"/>
      <c r="BE71" s="1205"/>
      <c r="BM71" s="1200" t="s">
        <v>2481</v>
      </c>
    </row>
    <row r="72" spans="1:65" ht="15.75" customHeight="1">
      <c r="A72" s="1209"/>
      <c r="B72" s="2332" t="s">
        <v>2482</v>
      </c>
      <c r="C72" s="2333"/>
      <c r="D72" s="2333"/>
      <c r="E72" s="2333"/>
      <c r="F72" s="2333"/>
      <c r="G72" s="2333"/>
      <c r="H72" s="2333"/>
      <c r="I72" s="2333"/>
      <c r="J72" s="2333"/>
      <c r="K72" s="2333"/>
      <c r="L72" s="2333"/>
      <c r="M72" s="2333"/>
      <c r="N72" s="2333"/>
      <c r="O72" s="2412">
        <v>0</v>
      </c>
      <c r="P72" s="2412"/>
      <c r="Q72" s="2412"/>
      <c r="R72" s="2412"/>
      <c r="S72" s="2412"/>
      <c r="T72" s="2412"/>
      <c r="U72" s="2412"/>
      <c r="V72" s="2412"/>
      <c r="W72" s="2412"/>
      <c r="X72" s="2412"/>
      <c r="Y72" s="2412"/>
      <c r="Z72" s="2412"/>
      <c r="AA72" s="2413"/>
      <c r="AB72" s="1209"/>
      <c r="AC72" s="2619" t="s">
        <v>2483</v>
      </c>
      <c r="AD72" s="2620"/>
      <c r="AE72" s="2620"/>
      <c r="AF72" s="2620"/>
      <c r="AG72" s="2620"/>
      <c r="AH72" s="2620"/>
      <c r="AI72" s="2620"/>
      <c r="AJ72" s="2620"/>
      <c r="AK72" s="2620"/>
      <c r="AL72" s="2620"/>
      <c r="AM72" s="2620"/>
      <c r="AN72" s="2620"/>
      <c r="AO72" s="2620"/>
      <c r="AP72" s="2620"/>
      <c r="AQ72" s="2620"/>
      <c r="AR72" s="2620"/>
      <c r="AS72" s="2620"/>
      <c r="AT72" s="2620"/>
      <c r="AU72" s="2620"/>
      <c r="AV72" s="2373"/>
      <c r="AW72" s="2373"/>
      <c r="AX72" s="2373"/>
      <c r="AY72" s="2373"/>
      <c r="AZ72" s="2373"/>
      <c r="BA72" s="2373"/>
      <c r="BB72" s="2373"/>
      <c r="BC72" s="2374"/>
      <c r="BD72" s="1209"/>
      <c r="BE72" s="1205"/>
    </row>
    <row r="73" spans="1:65" ht="15.75" customHeight="1">
      <c r="A73" s="1209"/>
      <c r="B73" s="2364" t="s">
        <v>2484</v>
      </c>
      <c r="C73" s="2365"/>
      <c r="D73" s="2365"/>
      <c r="E73" s="2365"/>
      <c r="F73" s="2365"/>
      <c r="G73" s="2365"/>
      <c r="H73" s="2365"/>
      <c r="I73" s="2365"/>
      <c r="J73" s="2365"/>
      <c r="K73" s="2365"/>
      <c r="L73" s="2365"/>
      <c r="M73" s="2365"/>
      <c r="N73" s="2365"/>
      <c r="O73" s="2412">
        <v>0</v>
      </c>
      <c r="P73" s="2412"/>
      <c r="Q73" s="2412"/>
      <c r="R73" s="2412"/>
      <c r="S73" s="2412"/>
      <c r="T73" s="2412"/>
      <c r="U73" s="2412"/>
      <c r="V73" s="2412"/>
      <c r="W73" s="2412"/>
      <c r="X73" s="2412"/>
      <c r="Y73" s="2412"/>
      <c r="Z73" s="2412"/>
      <c r="AA73" s="2413"/>
      <c r="AB73" s="1209"/>
      <c r="AC73" s="2405" t="s">
        <v>2185</v>
      </c>
      <c r="AD73" s="2406"/>
      <c r="AE73" s="2406"/>
      <c r="AF73" s="2406"/>
      <c r="AG73" s="2406"/>
      <c r="AH73" s="2406"/>
      <c r="AI73" s="2406"/>
      <c r="AJ73" s="2406"/>
      <c r="AK73" s="2406"/>
      <c r="AL73" s="2406"/>
      <c r="AM73" s="2406"/>
      <c r="AN73" s="2406"/>
      <c r="AO73" s="2406"/>
      <c r="AP73" s="2406"/>
      <c r="AQ73" s="2406"/>
      <c r="AR73" s="2406"/>
      <c r="AS73" s="2406"/>
      <c r="AT73" s="2406"/>
      <c r="AU73" s="2406"/>
      <c r="AV73" s="2406"/>
      <c r="AW73" s="2406"/>
      <c r="AX73" s="2406"/>
      <c r="AY73" s="2406"/>
      <c r="AZ73" s="2406"/>
      <c r="BA73" s="2406"/>
      <c r="BB73" s="2406"/>
      <c r="BC73" s="2407"/>
      <c r="BD73" s="1209"/>
      <c r="BE73" s="1205"/>
    </row>
    <row r="74" spans="1:65" ht="15.75" customHeight="1">
      <c r="A74" s="1209"/>
      <c r="B74" s="2411"/>
      <c r="C74" s="2381"/>
      <c r="D74" s="2381"/>
      <c r="E74" s="2381"/>
      <c r="F74" s="2381"/>
      <c r="G74" s="2381"/>
      <c r="H74" s="2381"/>
      <c r="I74" s="2381"/>
      <c r="J74" s="2381"/>
      <c r="K74" s="2381"/>
      <c r="L74" s="2381"/>
      <c r="M74" s="2381"/>
      <c r="N74" s="2381"/>
      <c r="O74" s="2412"/>
      <c r="P74" s="2412"/>
      <c r="Q74" s="2412"/>
      <c r="R74" s="2412"/>
      <c r="S74" s="2412"/>
      <c r="T74" s="2412"/>
      <c r="U74" s="2412"/>
      <c r="V74" s="2412"/>
      <c r="W74" s="2412"/>
      <c r="X74" s="2412"/>
      <c r="Y74" s="2412"/>
      <c r="Z74" s="2412"/>
      <c r="AA74" s="2413"/>
      <c r="AB74" s="1209"/>
      <c r="AC74" s="2405"/>
      <c r="AD74" s="2406"/>
      <c r="AE74" s="2406"/>
      <c r="AF74" s="2406"/>
      <c r="AG74" s="2406"/>
      <c r="AH74" s="2406"/>
      <c r="AI74" s="2406"/>
      <c r="AJ74" s="2406"/>
      <c r="AK74" s="2406"/>
      <c r="AL74" s="2406"/>
      <c r="AM74" s="2406"/>
      <c r="AN74" s="2406"/>
      <c r="AO74" s="2406"/>
      <c r="AP74" s="2406"/>
      <c r="AQ74" s="2406"/>
      <c r="AR74" s="2406"/>
      <c r="AS74" s="2406"/>
      <c r="AT74" s="2406"/>
      <c r="AU74" s="2406"/>
      <c r="AV74" s="2406"/>
      <c r="AW74" s="2406"/>
      <c r="AX74" s="2406"/>
      <c r="AY74" s="2406"/>
      <c r="AZ74" s="2406"/>
      <c r="BA74" s="2406"/>
      <c r="BB74" s="2406"/>
      <c r="BC74" s="2407"/>
      <c r="BD74" s="1209"/>
      <c r="BE74" s="1205"/>
    </row>
    <row r="75" spans="1:65" ht="15.75" customHeight="1" thickBot="1">
      <c r="A75" s="1209"/>
      <c r="B75" s="2414" t="s">
        <v>124</v>
      </c>
      <c r="C75" s="2415"/>
      <c r="D75" s="2415"/>
      <c r="E75" s="2415"/>
      <c r="F75" s="2415"/>
      <c r="G75" s="2415"/>
      <c r="H75" s="2415"/>
      <c r="I75" s="2415"/>
      <c r="J75" s="2415"/>
      <c r="K75" s="2415"/>
      <c r="L75" s="2415"/>
      <c r="M75" s="2415"/>
      <c r="N75" s="2415"/>
      <c r="O75" s="2595">
        <f>SUM(O70:AA74)</f>
        <v>0</v>
      </c>
      <c r="P75" s="2595"/>
      <c r="Q75" s="2595"/>
      <c r="R75" s="2595"/>
      <c r="S75" s="2595"/>
      <c r="T75" s="2595"/>
      <c r="U75" s="2595"/>
      <c r="V75" s="2595"/>
      <c r="W75" s="2595"/>
      <c r="X75" s="2595"/>
      <c r="Y75" s="2595"/>
      <c r="Z75" s="2595"/>
      <c r="AA75" s="2596"/>
      <c r="AB75" s="1209"/>
      <c r="AC75" s="2405"/>
      <c r="AD75" s="2406"/>
      <c r="AE75" s="2406"/>
      <c r="AF75" s="2406"/>
      <c r="AG75" s="2406"/>
      <c r="AH75" s="2406"/>
      <c r="AI75" s="2406"/>
      <c r="AJ75" s="2406"/>
      <c r="AK75" s="2406"/>
      <c r="AL75" s="2406"/>
      <c r="AM75" s="2406"/>
      <c r="AN75" s="2406"/>
      <c r="AO75" s="2406"/>
      <c r="AP75" s="2406"/>
      <c r="AQ75" s="2406"/>
      <c r="AR75" s="2406"/>
      <c r="AS75" s="2406"/>
      <c r="AT75" s="2406"/>
      <c r="AU75" s="2406"/>
      <c r="AV75" s="2406"/>
      <c r="AW75" s="2406"/>
      <c r="AX75" s="2406"/>
      <c r="AY75" s="2406"/>
      <c r="AZ75" s="2406"/>
      <c r="BA75" s="2406"/>
      <c r="BB75" s="2406"/>
      <c r="BC75" s="2407"/>
      <c r="BD75" s="1209"/>
      <c r="BE75" s="1205"/>
    </row>
    <row r="76" spans="1:65" ht="15.75" customHeight="1">
      <c r="A76" s="1209"/>
      <c r="B76" s="1209"/>
      <c r="C76" s="1209"/>
      <c r="D76" s="1209"/>
      <c r="E76" s="1209"/>
      <c r="F76" s="1209"/>
      <c r="G76" s="1209"/>
      <c r="H76" s="1209"/>
      <c r="I76" s="1209"/>
      <c r="J76" s="1209"/>
      <c r="K76" s="1209"/>
      <c r="L76" s="1209"/>
      <c r="M76" s="1209"/>
      <c r="N76" s="1209"/>
      <c r="O76" s="1209"/>
      <c r="P76" s="1209"/>
      <c r="Q76" s="1209"/>
      <c r="R76" s="1209"/>
      <c r="S76" s="1209"/>
      <c r="T76" s="1209"/>
      <c r="U76" s="1209"/>
      <c r="V76" s="1209"/>
      <c r="W76" s="1209"/>
      <c r="X76" s="1209"/>
      <c r="Y76" s="1209"/>
      <c r="Z76" s="1209"/>
      <c r="AA76" s="1209"/>
      <c r="AB76" s="1209"/>
      <c r="AC76" s="2405"/>
      <c r="AD76" s="2406"/>
      <c r="AE76" s="2406"/>
      <c r="AF76" s="2406"/>
      <c r="AG76" s="2406"/>
      <c r="AH76" s="2406"/>
      <c r="AI76" s="2406"/>
      <c r="AJ76" s="2406"/>
      <c r="AK76" s="2406"/>
      <c r="AL76" s="2406"/>
      <c r="AM76" s="2406"/>
      <c r="AN76" s="2406"/>
      <c r="AO76" s="2406"/>
      <c r="AP76" s="2406"/>
      <c r="AQ76" s="2406"/>
      <c r="AR76" s="2406"/>
      <c r="AS76" s="2406"/>
      <c r="AT76" s="2406"/>
      <c r="AU76" s="2406"/>
      <c r="AV76" s="2406"/>
      <c r="AW76" s="2406"/>
      <c r="AX76" s="2406"/>
      <c r="AY76" s="2406"/>
      <c r="AZ76" s="2406"/>
      <c r="BA76" s="2406"/>
      <c r="BB76" s="2406"/>
      <c r="BC76" s="2407"/>
      <c r="BD76" s="1209"/>
      <c r="BE76" s="1205"/>
    </row>
    <row r="77" spans="1:65" ht="15.75" customHeight="1" thickBot="1">
      <c r="A77" s="1209"/>
      <c r="B77" s="1209"/>
      <c r="C77" s="1209"/>
      <c r="D77" s="1209"/>
      <c r="E77" s="1209"/>
      <c r="F77" s="1209"/>
      <c r="G77" s="1209"/>
      <c r="H77" s="1209"/>
      <c r="I77" s="1209"/>
      <c r="J77" s="1209"/>
      <c r="K77" s="1209"/>
      <c r="L77" s="1209"/>
      <c r="M77" s="1209"/>
      <c r="N77" s="1209"/>
      <c r="O77" s="1209"/>
      <c r="P77" s="1209"/>
      <c r="Q77" s="1209"/>
      <c r="R77" s="1209"/>
      <c r="S77" s="1209"/>
      <c r="T77" s="1209"/>
      <c r="U77" s="1209"/>
      <c r="V77" s="1209"/>
      <c r="W77" s="1209"/>
      <c r="X77" s="1209"/>
      <c r="Y77" s="1209"/>
      <c r="Z77" s="1209"/>
      <c r="AA77" s="1209"/>
      <c r="AB77" s="1209"/>
      <c r="AC77" s="2408"/>
      <c r="AD77" s="2409"/>
      <c r="AE77" s="2409"/>
      <c r="AF77" s="2409"/>
      <c r="AG77" s="2409"/>
      <c r="AH77" s="2409"/>
      <c r="AI77" s="2409"/>
      <c r="AJ77" s="2409"/>
      <c r="AK77" s="2409"/>
      <c r="AL77" s="2409"/>
      <c r="AM77" s="2409"/>
      <c r="AN77" s="2409"/>
      <c r="AO77" s="2409"/>
      <c r="AP77" s="2409"/>
      <c r="AQ77" s="2409"/>
      <c r="AR77" s="2409"/>
      <c r="AS77" s="2409"/>
      <c r="AT77" s="2409"/>
      <c r="AU77" s="2409"/>
      <c r="AV77" s="2409"/>
      <c r="AW77" s="2409"/>
      <c r="AX77" s="2409"/>
      <c r="AY77" s="2409"/>
      <c r="AZ77" s="2409"/>
      <c r="BA77" s="2409"/>
      <c r="BB77" s="2409"/>
      <c r="BC77" s="2410"/>
      <c r="BD77" s="1209"/>
      <c r="BE77" s="1205"/>
    </row>
    <row r="78" spans="1:65" ht="15.75" customHeight="1" thickBot="1">
      <c r="A78" s="1209"/>
      <c r="B78" s="1240" t="s">
        <v>2620</v>
      </c>
      <c r="C78" s="1246"/>
      <c r="D78" s="1246"/>
      <c r="E78" s="1246"/>
      <c r="F78" s="1246"/>
      <c r="G78" s="1246"/>
      <c r="H78" s="1246"/>
      <c r="I78" s="1246"/>
      <c r="J78" s="1246"/>
      <c r="K78" s="1246"/>
      <c r="L78" s="1246"/>
      <c r="M78" s="1246"/>
      <c r="N78" s="1246"/>
      <c r="O78" s="1246"/>
      <c r="P78" s="1246"/>
      <c r="Q78" s="1245"/>
      <c r="R78" s="1209"/>
      <c r="S78" s="1209"/>
      <c r="T78" s="1209"/>
      <c r="U78" s="1209"/>
      <c r="V78" s="1209"/>
      <c r="W78" s="1209"/>
      <c r="X78" s="1209"/>
      <c r="Y78" s="1209"/>
      <c r="Z78" s="1209"/>
      <c r="AA78" s="1209"/>
      <c r="AB78" s="1209"/>
      <c r="AC78" s="1209"/>
      <c r="AD78" s="1209"/>
      <c r="AE78" s="1209"/>
      <c r="AF78" s="1209"/>
      <c r="AG78" s="1209"/>
      <c r="AH78" s="1209"/>
      <c r="AI78" s="1209"/>
      <c r="AJ78" s="1209"/>
      <c r="AK78" s="1209"/>
      <c r="AL78" s="1209"/>
      <c r="AM78" s="1209"/>
      <c r="AN78" s="1209"/>
      <c r="AO78" s="1209"/>
      <c r="AP78" s="1209"/>
      <c r="AQ78" s="1209"/>
      <c r="AR78" s="1209"/>
      <c r="AS78" s="1209"/>
      <c r="AT78" s="1209"/>
      <c r="AU78" s="1209"/>
      <c r="AV78" s="1209"/>
      <c r="AW78" s="1209"/>
      <c r="AX78" s="1209"/>
      <c r="AY78" s="1209"/>
      <c r="AZ78" s="1209"/>
      <c r="BA78" s="1209"/>
      <c r="BB78" s="1209"/>
      <c r="BC78" s="1209"/>
      <c r="BD78" s="1209"/>
      <c r="BE78" s="1205"/>
    </row>
    <row r="79" spans="1:65" ht="15.75" customHeight="1">
      <c r="A79" s="1209"/>
      <c r="B79" s="1240" t="s">
        <v>1860</v>
      </c>
      <c r="C79" s="1239"/>
      <c r="D79" s="1239"/>
      <c r="E79" s="1251"/>
      <c r="F79" s="2597"/>
      <c r="G79" s="2598"/>
      <c r="H79" s="2598"/>
      <c r="I79" s="2598"/>
      <c r="J79" s="2598"/>
      <c r="K79" s="2598"/>
      <c r="L79" s="2598"/>
      <c r="M79" s="2599"/>
      <c r="N79" s="2599"/>
      <c r="O79" s="2599"/>
      <c r="P79" s="2599"/>
      <c r="Q79" s="2600"/>
      <c r="R79" s="1209"/>
      <c r="S79" s="1209"/>
      <c r="T79" s="1209"/>
      <c r="U79" s="1209"/>
      <c r="V79" s="1209"/>
      <c r="W79" s="1209"/>
      <c r="X79" s="1209"/>
      <c r="Y79" s="1209"/>
      <c r="Z79" s="1209"/>
      <c r="AA79" s="1209"/>
      <c r="AB79" s="1209"/>
      <c r="AC79" s="1209"/>
      <c r="AD79" s="1209"/>
      <c r="AE79" s="1209"/>
      <c r="AF79" s="1209"/>
      <c r="AG79" s="1209"/>
      <c r="AH79" s="1209"/>
      <c r="AI79" s="1209"/>
      <c r="AJ79" s="1209"/>
      <c r="AK79" s="1209"/>
      <c r="AL79" s="1209"/>
      <c r="AM79" s="1209"/>
      <c r="AN79" s="1209"/>
      <c r="AO79" s="1209"/>
      <c r="AP79" s="1209"/>
      <c r="AQ79" s="1209"/>
      <c r="AR79" s="1209"/>
      <c r="AS79" s="1209"/>
      <c r="AT79" s="1209"/>
      <c r="AU79" s="1209"/>
      <c r="AV79" s="1209"/>
      <c r="AW79" s="1209"/>
      <c r="AX79" s="1209"/>
      <c r="AY79" s="1209"/>
      <c r="AZ79" s="1209"/>
      <c r="BA79" s="1209"/>
      <c r="BB79" s="1209"/>
      <c r="BC79" s="1209"/>
      <c r="BD79" s="1209"/>
      <c r="BE79" s="1205"/>
    </row>
    <row r="80" spans="1:65" ht="15.75" customHeight="1" thickBot="1">
      <c r="A80" s="1209"/>
      <c r="B80" s="1244" t="s">
        <v>2612</v>
      </c>
      <c r="C80" s="1243"/>
      <c r="D80" s="1242"/>
      <c r="E80" s="1242"/>
      <c r="F80" s="1242"/>
      <c r="G80" s="1242"/>
      <c r="H80" s="1242"/>
      <c r="I80" s="1242"/>
      <c r="J80" s="1242"/>
      <c r="K80" s="1242"/>
      <c r="L80" s="1241"/>
      <c r="M80" s="1242"/>
      <c r="N80" s="1241"/>
      <c r="O80" s="2601" t="e">
        <f>BR96/SUM($BR$96:$BR$98)</f>
        <v>#DIV/0!</v>
      </c>
      <c r="P80" s="2602"/>
      <c r="Q80" s="2603"/>
      <c r="R80" s="1209"/>
      <c r="S80" s="1209"/>
      <c r="T80" s="1209"/>
      <c r="U80" s="1209"/>
      <c r="V80" s="1209"/>
      <c r="W80" s="1209"/>
      <c r="X80" s="1209"/>
      <c r="Y80" s="1209"/>
      <c r="Z80" s="1209"/>
      <c r="AA80" s="1209"/>
      <c r="AB80" s="1209"/>
      <c r="AC80" s="1209"/>
      <c r="AD80" s="1209"/>
      <c r="AE80" s="1209"/>
      <c r="AF80" s="1209"/>
      <c r="AG80" s="1209"/>
      <c r="AH80" s="1209"/>
      <c r="AI80" s="1209"/>
      <c r="AJ80" s="1209"/>
      <c r="AK80" s="1209"/>
      <c r="AL80" s="1209"/>
      <c r="AM80" s="1209"/>
      <c r="AN80" s="1209"/>
      <c r="AO80" s="1209"/>
      <c r="AP80" s="1209"/>
      <c r="AQ80" s="1209"/>
      <c r="AR80" s="1209"/>
      <c r="AS80" s="1209"/>
      <c r="AT80" s="1209"/>
      <c r="AU80" s="1209"/>
      <c r="AV80" s="1209"/>
      <c r="AW80" s="1209"/>
      <c r="AX80" s="1209"/>
      <c r="AY80" s="1209"/>
      <c r="AZ80" s="1209"/>
      <c r="BA80" s="1209"/>
      <c r="BB80" s="1209"/>
      <c r="BC80" s="1209"/>
      <c r="BD80" s="1209"/>
      <c r="BE80" s="1205"/>
    </row>
    <row r="81" spans="1:70" ht="15.75" customHeight="1" thickBot="1">
      <c r="A81" s="1209"/>
      <c r="B81" s="1244" t="s">
        <v>2619</v>
      </c>
      <c r="C81" s="1247"/>
      <c r="D81" s="1229"/>
      <c r="E81" s="1229"/>
      <c r="F81" s="1229"/>
      <c r="G81" s="1229"/>
      <c r="H81" s="1229"/>
      <c r="I81" s="1229"/>
      <c r="J81" s="1229"/>
      <c r="K81" s="1229"/>
      <c r="L81" s="1229"/>
      <c r="M81" s="1229"/>
      <c r="N81" s="1249"/>
      <c r="O81" s="2615" t="s">
        <v>2551</v>
      </c>
      <c r="P81" s="2616"/>
      <c r="Q81" s="2617"/>
      <c r="R81" s="1209"/>
      <c r="S81" s="1209"/>
      <c r="T81" s="1209"/>
      <c r="U81" s="1209"/>
      <c r="V81" s="1209"/>
      <c r="W81" s="1209"/>
      <c r="X81" s="1209"/>
      <c r="Y81" s="1209"/>
      <c r="Z81" s="1209"/>
      <c r="AA81" s="1209"/>
      <c r="AB81" s="1209"/>
      <c r="AC81" s="1209"/>
      <c r="AD81" s="1209"/>
      <c r="AE81" s="1209"/>
      <c r="AF81" s="1209"/>
      <c r="AG81" s="1209"/>
      <c r="AH81" s="1209"/>
      <c r="AI81" s="1209"/>
      <c r="AJ81" s="1209"/>
      <c r="AK81" s="1209"/>
      <c r="AL81" s="1209"/>
      <c r="AM81" s="1209"/>
      <c r="AN81" s="1209"/>
      <c r="AO81" s="1209"/>
      <c r="AP81" s="1209"/>
      <c r="AQ81" s="1209"/>
      <c r="AR81" s="1209"/>
      <c r="AS81" s="1209"/>
      <c r="AT81" s="1209"/>
      <c r="AU81" s="1209"/>
      <c r="AV81" s="1209"/>
      <c r="AW81" s="1209"/>
      <c r="AX81" s="1209"/>
      <c r="AY81" s="1209"/>
      <c r="AZ81" s="1209"/>
      <c r="BA81" s="1209"/>
      <c r="BB81" s="1209"/>
      <c r="BC81" s="1209"/>
      <c r="BD81" s="1209"/>
      <c r="BE81" s="1205"/>
    </row>
    <row r="82" spans="1:70" ht="15.75" customHeight="1" thickBot="1">
      <c r="A82" s="1209"/>
      <c r="B82" s="1209"/>
      <c r="C82" s="1209"/>
      <c r="D82" s="1209"/>
      <c r="E82" s="1209"/>
      <c r="F82" s="1209"/>
      <c r="G82" s="1209"/>
      <c r="H82" s="1209"/>
      <c r="I82" s="1209"/>
      <c r="J82" s="1209"/>
      <c r="K82" s="1209"/>
      <c r="L82" s="1209"/>
      <c r="M82" s="1209"/>
      <c r="N82" s="1209"/>
      <c r="O82" s="1209"/>
      <c r="P82" s="1209"/>
      <c r="Q82" s="1209"/>
      <c r="R82" s="1209"/>
      <c r="S82" s="1209"/>
      <c r="T82" s="1209"/>
      <c r="U82" s="1209"/>
      <c r="V82" s="1209"/>
      <c r="W82" s="1209"/>
      <c r="X82" s="1209"/>
      <c r="Y82" s="1209"/>
      <c r="Z82" s="1209"/>
      <c r="AA82" s="1209"/>
      <c r="AB82" s="1209"/>
      <c r="AC82" s="1209"/>
      <c r="AD82" s="1209"/>
      <c r="AE82" s="1209"/>
      <c r="AF82" s="1209"/>
      <c r="AG82" s="1209"/>
      <c r="AH82" s="1209"/>
      <c r="AI82" s="1209"/>
      <c r="AJ82" s="1209"/>
      <c r="AK82" s="1209"/>
      <c r="AL82" s="1209"/>
      <c r="AM82" s="1209"/>
      <c r="AN82" s="1209"/>
      <c r="AO82" s="1209"/>
      <c r="AP82" s="1209"/>
      <c r="AQ82" s="1209"/>
      <c r="AR82" s="1209"/>
      <c r="AS82" s="1209"/>
      <c r="AT82" s="1209"/>
      <c r="AU82" s="1209"/>
      <c r="AV82" s="1209"/>
      <c r="AW82" s="1209"/>
      <c r="AX82" s="1209"/>
      <c r="AY82" s="1209"/>
      <c r="AZ82" s="1209"/>
      <c r="BA82" s="1209"/>
      <c r="BB82" s="1209"/>
      <c r="BC82" s="1209"/>
      <c r="BD82" s="1209"/>
      <c r="BE82" s="1205"/>
    </row>
    <row r="83" spans="1:70" ht="15.75" customHeight="1">
      <c r="A83" s="1209"/>
      <c r="B83" s="2222" t="s">
        <v>2168</v>
      </c>
      <c r="C83" s="2223"/>
      <c r="D83" s="2223"/>
      <c r="E83" s="2223"/>
      <c r="F83" s="2223"/>
      <c r="G83" s="2223"/>
      <c r="H83" s="2223"/>
      <c r="I83" s="2223"/>
      <c r="J83" s="2223"/>
      <c r="K83" s="2223"/>
      <c r="L83" s="2223"/>
      <c r="M83" s="2223"/>
      <c r="N83" s="2223"/>
      <c r="O83" s="2223"/>
      <c r="P83" s="2223"/>
      <c r="Q83" s="2223"/>
      <c r="R83" s="2223"/>
      <c r="S83" s="2223"/>
      <c r="T83" s="2223"/>
      <c r="U83" s="2223"/>
      <c r="V83" s="2223"/>
      <c r="W83" s="2223"/>
      <c r="X83" s="2223"/>
      <c r="Y83" s="2223"/>
      <c r="Z83" s="2223"/>
      <c r="AA83" s="2223"/>
      <c r="AB83" s="2223"/>
      <c r="AC83" s="2223"/>
      <c r="AD83" s="2223"/>
      <c r="AE83" s="2223"/>
      <c r="AF83" s="2223"/>
      <c r="AG83" s="2223"/>
      <c r="AH83" s="2224"/>
      <c r="AI83" s="1209"/>
      <c r="AJ83" s="2258" t="s">
        <v>2618</v>
      </c>
      <c r="AK83" s="2259"/>
      <c r="AL83" s="2259"/>
      <c r="AM83" s="2259"/>
      <c r="AN83" s="2259"/>
      <c r="AO83" s="2259"/>
      <c r="AP83" s="2259"/>
      <c r="AQ83" s="2259"/>
      <c r="AR83" s="2259"/>
      <c r="AS83" s="2259"/>
      <c r="AT83" s="2259"/>
      <c r="AU83" s="2259"/>
      <c r="AV83" s="2259"/>
      <c r="AW83" s="2259"/>
      <c r="AX83" s="2259"/>
      <c r="AY83" s="2262" t="s">
        <v>552</v>
      </c>
      <c r="AZ83" s="2262"/>
      <c r="BA83" s="2262"/>
      <c r="BB83" s="2263"/>
      <c r="BC83" s="1209"/>
      <c r="BD83" s="1209"/>
      <c r="BE83" s="1205"/>
    </row>
    <row r="84" spans="1:70" ht="15.75" customHeight="1">
      <c r="A84" s="1209"/>
      <c r="B84" s="2217"/>
      <c r="C84" s="2218"/>
      <c r="D84" s="2218"/>
      <c r="E84" s="2218"/>
      <c r="F84" s="2218"/>
      <c r="G84" s="2218"/>
      <c r="H84" s="2218"/>
      <c r="I84" s="2218" t="s">
        <v>1826</v>
      </c>
      <c r="J84" s="2218"/>
      <c r="K84" s="2218"/>
      <c r="L84" s="2218"/>
      <c r="M84" s="2218"/>
      <c r="N84" s="2218"/>
      <c r="O84" s="2218" t="s">
        <v>1827</v>
      </c>
      <c r="P84" s="2218"/>
      <c r="Q84" s="2218"/>
      <c r="R84" s="2218"/>
      <c r="S84" s="2218"/>
      <c r="T84" s="2218"/>
      <c r="U84" s="2218"/>
      <c r="V84" s="2214" t="s">
        <v>2186</v>
      </c>
      <c r="W84" s="2214"/>
      <c r="X84" s="2214"/>
      <c r="Y84" s="2214"/>
      <c r="Z84" s="2214"/>
      <c r="AA84" s="2214"/>
      <c r="AB84" s="2215" t="s">
        <v>1828</v>
      </c>
      <c r="AC84" s="2215"/>
      <c r="AD84" s="2215"/>
      <c r="AE84" s="2215"/>
      <c r="AF84" s="2215"/>
      <c r="AG84" s="2215"/>
      <c r="AH84" s="2216"/>
      <c r="AI84" s="1209"/>
      <c r="AJ84" s="2260"/>
      <c r="AK84" s="2261"/>
      <c r="AL84" s="2261"/>
      <c r="AM84" s="2261"/>
      <c r="AN84" s="2261"/>
      <c r="AO84" s="2261"/>
      <c r="AP84" s="2261"/>
      <c r="AQ84" s="2261"/>
      <c r="AR84" s="2261"/>
      <c r="AS84" s="2261"/>
      <c r="AT84" s="2261"/>
      <c r="AU84" s="2261"/>
      <c r="AV84" s="2261"/>
      <c r="AW84" s="2261"/>
      <c r="AX84" s="2261"/>
      <c r="AY84" s="2264"/>
      <c r="AZ84" s="2264"/>
      <c r="BA84" s="2264"/>
      <c r="BB84" s="2265"/>
      <c r="BC84" s="1209"/>
      <c r="BD84" s="1209"/>
      <c r="BE84" s="1205"/>
    </row>
    <row r="85" spans="1:70" ht="15.75" customHeight="1">
      <c r="A85" s="1209"/>
      <c r="B85" s="2217"/>
      <c r="C85" s="2218"/>
      <c r="D85" s="2218"/>
      <c r="E85" s="2218"/>
      <c r="F85" s="2218"/>
      <c r="G85" s="2218"/>
      <c r="H85" s="2218"/>
      <c r="I85" s="2218"/>
      <c r="J85" s="2218"/>
      <c r="K85" s="2218"/>
      <c r="L85" s="2218"/>
      <c r="M85" s="2218"/>
      <c r="N85" s="2218"/>
      <c r="O85" s="2218"/>
      <c r="P85" s="2218"/>
      <c r="Q85" s="2218"/>
      <c r="R85" s="2218"/>
      <c r="S85" s="2218"/>
      <c r="T85" s="2218"/>
      <c r="U85" s="2218"/>
      <c r="V85" s="2214"/>
      <c r="W85" s="2214"/>
      <c r="X85" s="2214"/>
      <c r="Y85" s="2214"/>
      <c r="Z85" s="2214"/>
      <c r="AA85" s="2214"/>
      <c r="AB85" s="2215"/>
      <c r="AC85" s="2215"/>
      <c r="AD85" s="2215"/>
      <c r="AE85" s="2215"/>
      <c r="AF85" s="2215"/>
      <c r="AG85" s="2215"/>
      <c r="AH85" s="2216"/>
      <c r="AI85" s="1209"/>
      <c r="AJ85" s="2260"/>
      <c r="AK85" s="2261"/>
      <c r="AL85" s="2261"/>
      <c r="AM85" s="2261"/>
      <c r="AN85" s="2261"/>
      <c r="AO85" s="2261"/>
      <c r="AP85" s="2261"/>
      <c r="AQ85" s="2261"/>
      <c r="AR85" s="2261"/>
      <c r="AS85" s="2261"/>
      <c r="AT85" s="2261"/>
      <c r="AU85" s="2261"/>
      <c r="AV85" s="2261"/>
      <c r="AW85" s="2261"/>
      <c r="AX85" s="2261"/>
      <c r="AY85" s="2264"/>
      <c r="AZ85" s="2264"/>
      <c r="BA85" s="2264"/>
      <c r="BB85" s="2265"/>
      <c r="BC85" s="1209"/>
      <c r="BD85" s="1209"/>
      <c r="BE85" s="1205"/>
    </row>
    <row r="86" spans="1:70" ht="15.75" customHeight="1">
      <c r="A86" s="1209"/>
      <c r="B86" s="2217" t="s">
        <v>2169</v>
      </c>
      <c r="C86" s="2218"/>
      <c r="D86" s="2218"/>
      <c r="E86" s="2218"/>
      <c r="F86" s="2218"/>
      <c r="G86" s="2218"/>
      <c r="H86" s="2218"/>
      <c r="I86" s="2219">
        <v>0</v>
      </c>
      <c r="J86" s="2219"/>
      <c r="K86" s="2219"/>
      <c r="L86" s="2219"/>
      <c r="M86" s="2219"/>
      <c r="N86" s="2219"/>
      <c r="O86" s="2219">
        <v>0</v>
      </c>
      <c r="P86" s="2219"/>
      <c r="Q86" s="2219"/>
      <c r="R86" s="2219"/>
      <c r="S86" s="2219"/>
      <c r="T86" s="2219"/>
      <c r="U86" s="2219"/>
      <c r="V86" s="2219">
        <v>0</v>
      </c>
      <c r="W86" s="2219"/>
      <c r="X86" s="2219"/>
      <c r="Y86" s="2219"/>
      <c r="Z86" s="2219"/>
      <c r="AA86" s="2219"/>
      <c r="AB86" s="2219">
        <v>0</v>
      </c>
      <c r="AC86" s="2219"/>
      <c r="AD86" s="2219"/>
      <c r="AE86" s="2219"/>
      <c r="AF86" s="2219"/>
      <c r="AG86" s="2219"/>
      <c r="AH86" s="2225"/>
      <c r="AI86" s="1209"/>
      <c r="AJ86" s="2260"/>
      <c r="AK86" s="2261"/>
      <c r="AL86" s="2261"/>
      <c r="AM86" s="2261"/>
      <c r="AN86" s="2261"/>
      <c r="AO86" s="2261"/>
      <c r="AP86" s="2261"/>
      <c r="AQ86" s="2261"/>
      <c r="AR86" s="2261"/>
      <c r="AS86" s="2261"/>
      <c r="AT86" s="2261"/>
      <c r="AU86" s="2261"/>
      <c r="AV86" s="2261"/>
      <c r="AW86" s="2261"/>
      <c r="AX86" s="2261"/>
      <c r="AY86" s="2264"/>
      <c r="AZ86" s="2264"/>
      <c r="BA86" s="2264"/>
      <c r="BB86" s="2265"/>
      <c r="BC86" s="1209"/>
      <c r="BD86" s="1209"/>
      <c r="BE86" s="1205"/>
    </row>
    <row r="87" spans="1:70" ht="15.75" customHeight="1">
      <c r="A87" s="1209"/>
      <c r="B87" s="2217" t="s">
        <v>2170</v>
      </c>
      <c r="C87" s="2218"/>
      <c r="D87" s="2218"/>
      <c r="E87" s="2218"/>
      <c r="F87" s="2218"/>
      <c r="G87" s="2218"/>
      <c r="H87" s="2218"/>
      <c r="I87" s="2219">
        <v>0</v>
      </c>
      <c r="J87" s="2219"/>
      <c r="K87" s="2219"/>
      <c r="L87" s="2219"/>
      <c r="M87" s="2219"/>
      <c r="N87" s="2219"/>
      <c r="O87" s="2219">
        <v>0</v>
      </c>
      <c r="P87" s="2219"/>
      <c r="Q87" s="2219"/>
      <c r="R87" s="2219"/>
      <c r="S87" s="2219"/>
      <c r="T87" s="2219"/>
      <c r="U87" s="2219"/>
      <c r="V87" s="2219">
        <v>0</v>
      </c>
      <c r="W87" s="2219"/>
      <c r="X87" s="2219"/>
      <c r="Y87" s="2219"/>
      <c r="Z87" s="2219"/>
      <c r="AA87" s="2219"/>
      <c r="AB87" s="2219">
        <v>0</v>
      </c>
      <c r="AC87" s="2219"/>
      <c r="AD87" s="2219"/>
      <c r="AE87" s="2219"/>
      <c r="AF87" s="2219"/>
      <c r="AG87" s="2219"/>
      <c r="AH87" s="2225"/>
      <c r="AI87" s="1209"/>
      <c r="AJ87" s="2231" t="s">
        <v>2485</v>
      </c>
      <c r="AK87" s="2232"/>
      <c r="AL87" s="2232"/>
      <c r="AM87" s="2232"/>
      <c r="AN87" s="2232"/>
      <c r="AO87" s="2232"/>
      <c r="AP87" s="2232"/>
      <c r="AQ87" s="2232"/>
      <c r="AR87" s="2232"/>
      <c r="AS87" s="2232"/>
      <c r="AT87" s="2232"/>
      <c r="AU87" s="2232"/>
      <c r="AV87" s="2232"/>
      <c r="AW87" s="2232"/>
      <c r="AX87" s="2232"/>
      <c r="AY87" s="2232"/>
      <c r="AZ87" s="2232"/>
      <c r="BA87" s="2232"/>
      <c r="BB87" s="2233"/>
      <c r="BC87" s="1209"/>
      <c r="BD87" s="1209"/>
      <c r="BE87" s="1205"/>
    </row>
    <row r="88" spans="1:70" ht="15.75" customHeight="1" thickBot="1">
      <c r="A88" s="1209"/>
      <c r="B88" s="2237" t="s">
        <v>1829</v>
      </c>
      <c r="C88" s="2238"/>
      <c r="D88" s="2238"/>
      <c r="E88" s="2238"/>
      <c r="F88" s="2238"/>
      <c r="G88" s="2238"/>
      <c r="H88" s="2238"/>
      <c r="I88" s="2239">
        <v>0</v>
      </c>
      <c r="J88" s="2239"/>
      <c r="K88" s="2239"/>
      <c r="L88" s="2239"/>
      <c r="M88" s="2239"/>
      <c r="N88" s="2239"/>
      <c r="O88" s="2239">
        <v>0</v>
      </c>
      <c r="P88" s="2239"/>
      <c r="Q88" s="2239"/>
      <c r="R88" s="2239"/>
      <c r="S88" s="2239"/>
      <c r="T88" s="2239"/>
      <c r="U88" s="2239"/>
      <c r="V88" s="2239">
        <v>0</v>
      </c>
      <c r="W88" s="2239"/>
      <c r="X88" s="2239"/>
      <c r="Y88" s="2239"/>
      <c r="Z88" s="2239"/>
      <c r="AA88" s="2239"/>
      <c r="AB88" s="2239">
        <v>0</v>
      </c>
      <c r="AC88" s="2239"/>
      <c r="AD88" s="2239"/>
      <c r="AE88" s="2239"/>
      <c r="AF88" s="2239"/>
      <c r="AG88" s="2239"/>
      <c r="AH88" s="2240"/>
      <c r="AI88" s="1209"/>
      <c r="AJ88" s="2234"/>
      <c r="AK88" s="2235"/>
      <c r="AL88" s="2235"/>
      <c r="AM88" s="2235"/>
      <c r="AN88" s="2235"/>
      <c r="AO88" s="2235"/>
      <c r="AP88" s="2235"/>
      <c r="AQ88" s="2235"/>
      <c r="AR88" s="2235"/>
      <c r="AS88" s="2235"/>
      <c r="AT88" s="2235"/>
      <c r="AU88" s="2235"/>
      <c r="AV88" s="2235"/>
      <c r="AW88" s="2235"/>
      <c r="AX88" s="2235"/>
      <c r="AY88" s="2235"/>
      <c r="AZ88" s="2235"/>
      <c r="BA88" s="2235"/>
      <c r="BB88" s="2236"/>
      <c r="BC88" s="1209"/>
      <c r="BD88" s="1209"/>
      <c r="BE88" s="1205"/>
    </row>
    <row r="89" spans="1:70" ht="15.75" customHeight="1">
      <c r="A89" s="1209"/>
      <c r="B89" s="1209"/>
      <c r="C89" s="1209"/>
      <c r="D89" s="1209"/>
      <c r="E89" s="1209"/>
      <c r="F89" s="1209"/>
      <c r="G89" s="1209"/>
      <c r="H89" s="1209"/>
      <c r="I89" s="1209"/>
      <c r="J89" s="1209"/>
      <c r="K89" s="1209"/>
      <c r="L89" s="1209"/>
      <c r="M89" s="1209"/>
      <c r="N89" s="1209"/>
      <c r="O89" s="1209"/>
      <c r="P89" s="1209"/>
      <c r="Q89" s="1209"/>
      <c r="R89" s="1209"/>
      <c r="S89" s="1209"/>
      <c r="T89" s="1209"/>
      <c r="U89" s="1209"/>
      <c r="V89" s="1209"/>
      <c r="W89" s="1209"/>
      <c r="X89" s="1209"/>
      <c r="Y89" s="1209"/>
      <c r="Z89" s="1209"/>
      <c r="AA89" s="1209"/>
      <c r="AB89" s="1209"/>
      <c r="AC89" s="1209"/>
      <c r="AD89" s="1209"/>
      <c r="AE89" s="1209"/>
      <c r="AF89" s="1209"/>
      <c r="AG89" s="1209"/>
      <c r="AH89" s="1209"/>
      <c r="AI89" s="1209"/>
      <c r="AJ89" s="1209"/>
      <c r="AK89" s="1209"/>
      <c r="AL89" s="1209"/>
      <c r="AM89" s="1209"/>
      <c r="AN89" s="1209"/>
      <c r="AO89" s="1209"/>
      <c r="AP89" s="1209"/>
      <c r="AQ89" s="1209"/>
      <c r="AR89" s="1209"/>
      <c r="AS89" s="1209"/>
      <c r="AT89" s="1209"/>
      <c r="AU89" s="1209"/>
      <c r="AV89" s="1209"/>
      <c r="AW89" s="1209"/>
      <c r="AX89" s="1209"/>
      <c r="AY89" s="1209"/>
      <c r="AZ89" s="1209"/>
      <c r="BA89" s="1209"/>
      <c r="BB89" s="1209"/>
      <c r="BC89" s="1209"/>
      <c r="BD89" s="1209"/>
      <c r="BE89" s="1205"/>
    </row>
    <row r="90" spans="1:70" ht="15.75" customHeight="1" thickBot="1">
      <c r="A90" s="1209"/>
      <c r="B90" s="1209"/>
      <c r="C90" s="1209"/>
      <c r="D90" s="1209"/>
      <c r="E90" s="1209"/>
      <c r="F90" s="1209"/>
      <c r="G90" s="1209"/>
      <c r="H90" s="1209"/>
      <c r="I90" s="1209"/>
      <c r="J90" s="1209"/>
      <c r="K90" s="1209"/>
      <c r="L90" s="1209"/>
      <c r="M90" s="1209"/>
      <c r="N90" s="1209"/>
      <c r="O90" s="1209"/>
      <c r="P90" s="1209"/>
      <c r="Q90" s="1209"/>
      <c r="R90" s="1209"/>
      <c r="S90" s="1209"/>
      <c r="T90" s="1209"/>
      <c r="U90" s="1209"/>
      <c r="V90" s="1209"/>
      <c r="W90" s="1209"/>
      <c r="X90" s="1209"/>
      <c r="Y90" s="1209"/>
      <c r="Z90" s="1209"/>
      <c r="AA90" s="1209"/>
      <c r="AB90" s="1209"/>
      <c r="AC90" s="1209"/>
      <c r="AD90" s="1209"/>
      <c r="AE90" s="1209"/>
      <c r="AF90" s="1209"/>
      <c r="AG90" s="1209"/>
      <c r="AH90" s="1209"/>
      <c r="AI90" s="1209"/>
      <c r="AJ90" s="1209"/>
      <c r="AK90" s="1209"/>
      <c r="AL90" s="1209"/>
      <c r="AM90" s="1209"/>
      <c r="AN90" s="1209"/>
      <c r="AO90" s="1209"/>
      <c r="AP90" s="1209"/>
      <c r="AQ90" s="1209"/>
      <c r="AR90" s="1209"/>
      <c r="AS90" s="1209"/>
      <c r="AT90" s="1209"/>
      <c r="AU90" s="1209"/>
      <c r="AV90" s="1209"/>
      <c r="AW90" s="1209"/>
      <c r="AX90" s="1209"/>
      <c r="AY90" s="1209"/>
      <c r="AZ90" s="1209"/>
      <c r="BA90" s="1209"/>
      <c r="BB90" s="1209"/>
      <c r="BC90" s="1209"/>
      <c r="BD90" s="1209"/>
      <c r="BE90" s="1205"/>
    </row>
    <row r="91" spans="1:70" ht="15.75" customHeight="1" thickBot="1">
      <c r="A91" s="1209"/>
      <c r="B91" s="1240" t="s">
        <v>2617</v>
      </c>
      <c r="C91" s="1250"/>
      <c r="D91" s="1246"/>
      <c r="E91" s="1246"/>
      <c r="F91" s="1246"/>
      <c r="G91" s="1246"/>
      <c r="H91" s="1246"/>
      <c r="I91" s="1246"/>
      <c r="J91" s="1246"/>
      <c r="K91" s="1246"/>
      <c r="L91" s="1246"/>
      <c r="M91" s="1246"/>
      <c r="N91" s="1246"/>
      <c r="O91" s="1246"/>
      <c r="P91" s="1246"/>
      <c r="Q91" s="1245"/>
      <c r="R91" s="1209"/>
      <c r="S91" s="1209"/>
      <c r="T91" s="1209"/>
      <c r="U91" s="1209"/>
      <c r="V91" s="1209"/>
      <c r="W91" s="1209"/>
      <c r="X91" s="1209"/>
      <c r="Y91" s="1209"/>
      <c r="Z91" s="1209"/>
      <c r="AA91" s="1209"/>
      <c r="AB91" s="1209"/>
      <c r="AC91" s="1209"/>
      <c r="AD91" s="1209"/>
      <c r="AE91" s="1209"/>
      <c r="AF91" s="1209"/>
      <c r="AG91" s="1209"/>
      <c r="AH91" s="1209"/>
      <c r="AI91" s="1209"/>
      <c r="AJ91" s="1209"/>
      <c r="AK91" s="1209"/>
      <c r="AL91" s="1209"/>
      <c r="AM91" s="1209"/>
      <c r="AN91" s="1209"/>
      <c r="AO91" s="1209"/>
      <c r="AP91" s="1209"/>
      <c r="AQ91" s="1209"/>
      <c r="AR91" s="1209"/>
      <c r="AS91" s="1209"/>
      <c r="AT91" s="1209"/>
      <c r="AU91" s="1209"/>
      <c r="AV91" s="1209"/>
      <c r="AW91" s="1209"/>
      <c r="AX91" s="1209"/>
      <c r="AY91" s="1209"/>
      <c r="AZ91" s="1209"/>
      <c r="BA91" s="1209"/>
      <c r="BB91" s="1209"/>
      <c r="BC91" s="1209"/>
      <c r="BD91" s="1209"/>
      <c r="BE91" s="1205"/>
    </row>
    <row r="92" spans="1:70" ht="15.75" customHeight="1">
      <c r="A92" s="1209"/>
      <c r="B92" s="1237" t="s">
        <v>1860</v>
      </c>
      <c r="C92" s="1237"/>
      <c r="D92" s="1236"/>
      <c r="E92" s="1235"/>
      <c r="F92" s="2618"/>
      <c r="G92" s="2599"/>
      <c r="H92" s="2599"/>
      <c r="I92" s="2599"/>
      <c r="J92" s="2599"/>
      <c r="K92" s="2599"/>
      <c r="L92" s="2599"/>
      <c r="M92" s="2599"/>
      <c r="N92" s="2599"/>
      <c r="O92" s="2599"/>
      <c r="P92" s="2599"/>
      <c r="Q92" s="2600"/>
      <c r="R92" s="1209"/>
      <c r="S92" s="1209"/>
      <c r="T92" s="1209"/>
      <c r="U92" s="1209"/>
      <c r="V92" s="1209"/>
      <c r="W92" s="1209"/>
      <c r="X92" s="1209"/>
      <c r="Y92" s="1209"/>
      <c r="Z92" s="1209"/>
      <c r="AA92" s="1209"/>
      <c r="AB92" s="1209"/>
      <c r="AC92" s="1209"/>
      <c r="AD92" s="1209"/>
      <c r="AE92" s="1209"/>
      <c r="AF92" s="1209"/>
      <c r="AG92" s="1209"/>
      <c r="AH92" s="1209"/>
      <c r="AI92" s="1209"/>
      <c r="AJ92" s="1209"/>
      <c r="AK92" s="1209"/>
      <c r="AL92" s="1209"/>
      <c r="AM92" s="1209"/>
      <c r="AN92" s="1209"/>
      <c r="AO92" s="1209"/>
      <c r="AP92" s="1209"/>
      <c r="AQ92" s="1209"/>
      <c r="AR92" s="1209"/>
      <c r="AS92" s="1209"/>
      <c r="AT92" s="1209"/>
      <c r="AU92" s="1209"/>
      <c r="AV92" s="1209"/>
      <c r="AW92" s="1209"/>
      <c r="AX92" s="1209"/>
      <c r="AY92" s="1209"/>
      <c r="AZ92" s="1209"/>
      <c r="BA92" s="1209"/>
      <c r="BB92" s="1209"/>
      <c r="BC92" s="1209"/>
      <c r="BD92" s="1209"/>
      <c r="BE92" s="1205"/>
    </row>
    <row r="93" spans="1:70" ht="15.75" customHeight="1" thickBot="1">
      <c r="A93" s="1209"/>
      <c r="B93" s="1244" t="s">
        <v>2612</v>
      </c>
      <c r="C93" s="1243"/>
      <c r="D93" s="1242"/>
      <c r="E93" s="1242"/>
      <c r="F93" s="1242"/>
      <c r="G93" s="1242"/>
      <c r="H93" s="1242"/>
      <c r="I93" s="1242"/>
      <c r="J93" s="1242"/>
      <c r="K93" s="1242"/>
      <c r="L93" s="1241"/>
      <c r="M93" s="1242"/>
      <c r="N93" s="1241"/>
      <c r="O93" s="2601" t="e">
        <f>BR97/SUM($BR$96:$BR$98)</f>
        <v>#DIV/0!</v>
      </c>
      <c r="P93" s="2602"/>
      <c r="Q93" s="2603"/>
      <c r="R93" s="1209"/>
      <c r="S93" s="1209"/>
      <c r="T93" s="1209"/>
      <c r="U93" s="1209"/>
      <c r="V93" s="1209"/>
      <c r="W93" s="1209"/>
      <c r="X93" s="1209"/>
      <c r="Y93" s="1209"/>
      <c r="Z93" s="1209"/>
      <c r="AA93" s="1209"/>
      <c r="AB93" s="1209"/>
      <c r="AC93" s="1209"/>
      <c r="AD93" s="1209"/>
      <c r="AE93" s="1209"/>
      <c r="AF93" s="1209"/>
      <c r="AG93" s="1209"/>
      <c r="AH93" s="1209"/>
      <c r="AI93" s="1209"/>
      <c r="AJ93" s="1209"/>
      <c r="AK93" s="1209"/>
      <c r="AL93" s="1209"/>
      <c r="AM93" s="1209"/>
      <c r="AN93" s="1209"/>
      <c r="AO93" s="1209"/>
      <c r="AP93" s="1209"/>
      <c r="AQ93" s="1209"/>
      <c r="AR93" s="1209"/>
      <c r="AS93" s="1209"/>
      <c r="AT93" s="1209"/>
      <c r="AU93" s="1209"/>
      <c r="AV93" s="1209"/>
      <c r="AW93" s="1209"/>
      <c r="AX93" s="1209"/>
      <c r="AY93" s="1209"/>
      <c r="AZ93" s="1209"/>
      <c r="BA93" s="1209"/>
      <c r="BB93" s="1209"/>
      <c r="BC93" s="1209"/>
      <c r="BD93" s="1209"/>
      <c r="BE93" s="1205"/>
    </row>
    <row r="94" spans="1:70" ht="15.75" customHeight="1" thickBot="1">
      <c r="A94" s="1209"/>
      <c r="B94" s="1244" t="s">
        <v>2616</v>
      </c>
      <c r="C94" s="1247"/>
      <c r="D94" s="1229"/>
      <c r="E94" s="1229"/>
      <c r="F94" s="1229"/>
      <c r="G94" s="1229"/>
      <c r="H94" s="1229"/>
      <c r="I94" s="1229"/>
      <c r="J94" s="1229"/>
      <c r="K94" s="1229"/>
      <c r="L94" s="1229"/>
      <c r="M94" s="1229"/>
      <c r="N94" s="1249"/>
      <c r="O94" s="2615" t="s">
        <v>2551</v>
      </c>
      <c r="P94" s="2616"/>
      <c r="Q94" s="2617"/>
      <c r="R94" s="1209"/>
      <c r="S94" s="1209"/>
      <c r="T94" s="1209"/>
      <c r="U94" s="1209"/>
      <c r="V94" s="1209"/>
      <c r="W94" s="1209"/>
      <c r="X94" s="1209"/>
      <c r="Y94" s="1209"/>
      <c r="Z94" s="1209"/>
      <c r="AA94" s="1209"/>
      <c r="AB94" s="1209"/>
      <c r="AC94" s="1209"/>
      <c r="AD94" s="1209"/>
      <c r="AE94" s="1209"/>
      <c r="AF94" s="1209"/>
      <c r="AG94" s="1209"/>
      <c r="AH94" s="1209"/>
      <c r="AI94" s="1209"/>
      <c r="AJ94" s="1209"/>
      <c r="AK94" s="1209"/>
      <c r="AL94" s="1209"/>
      <c r="AM94" s="1209"/>
      <c r="AN94" s="1209"/>
      <c r="AO94" s="1209"/>
      <c r="AP94" s="1209"/>
      <c r="AQ94" s="1209"/>
      <c r="AR94" s="1209"/>
      <c r="AS94" s="1209"/>
      <c r="AT94" s="1209"/>
      <c r="AU94" s="1209"/>
      <c r="AV94" s="1209"/>
      <c r="AW94" s="1209"/>
      <c r="AX94" s="1209"/>
      <c r="AY94" s="1209"/>
      <c r="AZ94" s="1209"/>
      <c r="BA94" s="1209"/>
      <c r="BB94" s="1209"/>
      <c r="BC94" s="1209"/>
      <c r="BD94" s="1209"/>
      <c r="BE94" s="1205"/>
    </row>
    <row r="95" spans="1:70" ht="15.75" customHeight="1" thickBot="1">
      <c r="A95" s="1209"/>
      <c r="B95" s="1209"/>
      <c r="C95" s="1209"/>
      <c r="D95" s="1209"/>
      <c r="E95" s="1209"/>
      <c r="F95" s="1209"/>
      <c r="G95" s="1209"/>
      <c r="H95" s="1209"/>
      <c r="I95" s="1209"/>
      <c r="J95" s="1209"/>
      <c r="K95" s="1209"/>
      <c r="L95" s="1209"/>
      <c r="M95" s="1209"/>
      <c r="N95" s="1209"/>
      <c r="O95" s="1209"/>
      <c r="P95" s="1209"/>
      <c r="Q95" s="1209"/>
      <c r="R95" s="1209"/>
      <c r="S95" s="1209"/>
      <c r="T95" s="1209"/>
      <c r="U95" s="1209"/>
      <c r="V95" s="1209"/>
      <c r="W95" s="1209"/>
      <c r="X95" s="1209"/>
      <c r="Y95" s="1209"/>
      <c r="Z95" s="1209"/>
      <c r="AA95" s="1209"/>
      <c r="AB95" s="1209"/>
      <c r="AC95" s="1209"/>
      <c r="AD95" s="1209"/>
      <c r="AE95" s="1209"/>
      <c r="AF95" s="1209"/>
      <c r="AG95" s="1209"/>
      <c r="AH95" s="1209"/>
      <c r="AI95" s="1209"/>
      <c r="AJ95" s="1209"/>
      <c r="AK95" s="1209"/>
      <c r="AL95" s="1209"/>
      <c r="AM95" s="1209"/>
      <c r="AN95" s="1209"/>
      <c r="AO95" s="1209"/>
      <c r="AP95" s="1209"/>
      <c r="AQ95" s="1209"/>
      <c r="AR95" s="1209"/>
      <c r="AS95" s="1209"/>
      <c r="AT95" s="1209"/>
      <c r="AU95" s="1209"/>
      <c r="AV95" s="1209"/>
      <c r="AW95" s="1209"/>
      <c r="AX95" s="1209"/>
      <c r="AY95" s="1209"/>
      <c r="AZ95" s="1209"/>
      <c r="BA95" s="1209"/>
      <c r="BB95" s="1209"/>
      <c r="BC95" s="1209"/>
      <c r="BD95" s="1209"/>
      <c r="BE95" s="1205"/>
    </row>
    <row r="96" spans="1:70" ht="15.75" customHeight="1">
      <c r="A96" s="1209"/>
      <c r="B96" s="2222" t="s">
        <v>2615</v>
      </c>
      <c r="C96" s="2223"/>
      <c r="D96" s="2223"/>
      <c r="E96" s="2223"/>
      <c r="F96" s="2223"/>
      <c r="G96" s="2223"/>
      <c r="H96" s="2223"/>
      <c r="I96" s="2223"/>
      <c r="J96" s="2223"/>
      <c r="K96" s="2223"/>
      <c r="L96" s="2223"/>
      <c r="M96" s="2223"/>
      <c r="N96" s="2223"/>
      <c r="O96" s="2223"/>
      <c r="P96" s="2223"/>
      <c r="Q96" s="2223"/>
      <c r="R96" s="2223"/>
      <c r="S96" s="2223"/>
      <c r="T96" s="2223"/>
      <c r="U96" s="2223"/>
      <c r="V96" s="2223"/>
      <c r="W96" s="2223"/>
      <c r="X96" s="2223"/>
      <c r="Y96" s="2223"/>
      <c r="Z96" s="2223"/>
      <c r="AA96" s="2223"/>
      <c r="AB96" s="2223"/>
      <c r="AC96" s="2223"/>
      <c r="AD96" s="2223"/>
      <c r="AE96" s="2223"/>
      <c r="AF96" s="2223"/>
      <c r="AG96" s="2223"/>
      <c r="AH96" s="2224"/>
      <c r="AI96" s="1209"/>
      <c r="AJ96" s="2258" t="s">
        <v>2614</v>
      </c>
      <c r="AK96" s="2259"/>
      <c r="AL96" s="2259"/>
      <c r="AM96" s="2259"/>
      <c r="AN96" s="2259"/>
      <c r="AO96" s="2259"/>
      <c r="AP96" s="2259"/>
      <c r="AQ96" s="2259"/>
      <c r="AR96" s="2259"/>
      <c r="AS96" s="2259"/>
      <c r="AT96" s="2259"/>
      <c r="AU96" s="2259"/>
      <c r="AV96" s="2259"/>
      <c r="AW96" s="2259"/>
      <c r="AX96" s="2259"/>
      <c r="AY96" s="2262" t="s">
        <v>552</v>
      </c>
      <c r="AZ96" s="2262"/>
      <c r="BA96" s="2262"/>
      <c r="BB96" s="2263"/>
      <c r="BC96" s="1209"/>
      <c r="BD96" s="1209"/>
      <c r="BE96" s="1205"/>
      <c r="BQ96" s="1248" t="str">
        <f>Application!M243</f>
        <v>Eden DTLMU, LLC</v>
      </c>
      <c r="BR96" s="1248">
        <f>Application!AH245</f>
        <v>0</v>
      </c>
    </row>
    <row r="97" spans="1:70" ht="15.75" customHeight="1">
      <c r="A97" s="1209"/>
      <c r="B97" s="2217"/>
      <c r="C97" s="2218"/>
      <c r="D97" s="2218"/>
      <c r="E97" s="2218"/>
      <c r="F97" s="2218"/>
      <c r="G97" s="2218"/>
      <c r="H97" s="2218"/>
      <c r="I97" s="2218" t="s">
        <v>1826</v>
      </c>
      <c r="J97" s="2218"/>
      <c r="K97" s="2218"/>
      <c r="L97" s="2218"/>
      <c r="M97" s="2218"/>
      <c r="N97" s="2218"/>
      <c r="O97" s="2218" t="s">
        <v>1827</v>
      </c>
      <c r="P97" s="2218"/>
      <c r="Q97" s="2218"/>
      <c r="R97" s="2218"/>
      <c r="S97" s="2218"/>
      <c r="T97" s="2218"/>
      <c r="U97" s="2218"/>
      <c r="V97" s="2214" t="s">
        <v>2186</v>
      </c>
      <c r="W97" s="2214"/>
      <c r="X97" s="2214"/>
      <c r="Y97" s="2214"/>
      <c r="Z97" s="2214"/>
      <c r="AA97" s="2214"/>
      <c r="AB97" s="2215" t="s">
        <v>1828</v>
      </c>
      <c r="AC97" s="2215"/>
      <c r="AD97" s="2215"/>
      <c r="AE97" s="2215"/>
      <c r="AF97" s="2215"/>
      <c r="AG97" s="2215"/>
      <c r="AH97" s="2216"/>
      <c r="AI97" s="1209"/>
      <c r="AJ97" s="2260"/>
      <c r="AK97" s="2261"/>
      <c r="AL97" s="2261"/>
      <c r="AM97" s="2261"/>
      <c r="AN97" s="2261"/>
      <c r="AO97" s="2261"/>
      <c r="AP97" s="2261"/>
      <c r="AQ97" s="2261"/>
      <c r="AR97" s="2261"/>
      <c r="AS97" s="2261"/>
      <c r="AT97" s="2261"/>
      <c r="AU97" s="2261"/>
      <c r="AV97" s="2261"/>
      <c r="AW97" s="2261"/>
      <c r="AX97" s="2261"/>
      <c r="AY97" s="2264"/>
      <c r="AZ97" s="2264"/>
      <c r="BA97" s="2264"/>
      <c r="BB97" s="2265"/>
      <c r="BC97" s="1209"/>
      <c r="BD97" s="1209"/>
      <c r="BE97" s="1205"/>
      <c r="BQ97" s="1248" t="str">
        <f>Application!M251</f>
        <v>FTF DTLMU, LLC</v>
      </c>
      <c r="BR97" s="1248">
        <f>Application!AH253</f>
        <v>0</v>
      </c>
    </row>
    <row r="98" spans="1:70" ht="15.75" customHeight="1">
      <c r="A98" s="1209"/>
      <c r="B98" s="2217"/>
      <c r="C98" s="2218"/>
      <c r="D98" s="2218"/>
      <c r="E98" s="2218"/>
      <c r="F98" s="2218"/>
      <c r="G98" s="2218"/>
      <c r="H98" s="2218"/>
      <c r="I98" s="2218"/>
      <c r="J98" s="2218"/>
      <c r="K98" s="2218"/>
      <c r="L98" s="2218"/>
      <c r="M98" s="2218"/>
      <c r="N98" s="2218"/>
      <c r="O98" s="2218"/>
      <c r="P98" s="2218"/>
      <c r="Q98" s="2218"/>
      <c r="R98" s="2218"/>
      <c r="S98" s="2218"/>
      <c r="T98" s="2218"/>
      <c r="U98" s="2218"/>
      <c r="V98" s="2214"/>
      <c r="W98" s="2214"/>
      <c r="X98" s="2214"/>
      <c r="Y98" s="2214"/>
      <c r="Z98" s="2214"/>
      <c r="AA98" s="2214"/>
      <c r="AB98" s="2215"/>
      <c r="AC98" s="2215"/>
      <c r="AD98" s="2215"/>
      <c r="AE98" s="2215"/>
      <c r="AF98" s="2215"/>
      <c r="AG98" s="2215"/>
      <c r="AH98" s="2216"/>
      <c r="AI98" s="1209"/>
      <c r="AJ98" s="2260"/>
      <c r="AK98" s="2261"/>
      <c r="AL98" s="2261"/>
      <c r="AM98" s="2261"/>
      <c r="AN98" s="2261"/>
      <c r="AO98" s="2261"/>
      <c r="AP98" s="2261"/>
      <c r="AQ98" s="2261"/>
      <c r="AR98" s="2261"/>
      <c r="AS98" s="2261"/>
      <c r="AT98" s="2261"/>
      <c r="AU98" s="2261"/>
      <c r="AV98" s="2261"/>
      <c r="AW98" s="2261"/>
      <c r="AX98" s="2261"/>
      <c r="AY98" s="2264"/>
      <c r="AZ98" s="2264"/>
      <c r="BA98" s="2264"/>
      <c r="BB98" s="2265"/>
      <c r="BC98" s="1209"/>
      <c r="BD98" s="1209"/>
      <c r="BE98" s="1205"/>
      <c r="BQ98" s="1248">
        <f>Application!M259</f>
        <v>0</v>
      </c>
      <c r="BR98" s="1248">
        <f>Application!AH261</f>
        <v>0</v>
      </c>
    </row>
    <row r="99" spans="1:70" ht="15.75" customHeight="1">
      <c r="A99" s="1209"/>
      <c r="B99" s="2217" t="s">
        <v>2169</v>
      </c>
      <c r="C99" s="2218"/>
      <c r="D99" s="2218"/>
      <c r="E99" s="2218"/>
      <c r="F99" s="2218"/>
      <c r="G99" s="2218"/>
      <c r="H99" s="2218"/>
      <c r="I99" s="2219">
        <v>0</v>
      </c>
      <c r="J99" s="2219"/>
      <c r="K99" s="2219"/>
      <c r="L99" s="2219"/>
      <c r="M99" s="2219"/>
      <c r="N99" s="2219"/>
      <c r="O99" s="2219">
        <v>0</v>
      </c>
      <c r="P99" s="2219"/>
      <c r="Q99" s="2219"/>
      <c r="R99" s="2219"/>
      <c r="S99" s="2219"/>
      <c r="T99" s="2219"/>
      <c r="U99" s="2219"/>
      <c r="V99" s="2219">
        <v>0</v>
      </c>
      <c r="W99" s="2219"/>
      <c r="X99" s="2219"/>
      <c r="Y99" s="2219"/>
      <c r="Z99" s="2219"/>
      <c r="AA99" s="2219"/>
      <c r="AB99" s="2219">
        <v>0</v>
      </c>
      <c r="AC99" s="2219"/>
      <c r="AD99" s="2219"/>
      <c r="AE99" s="2219"/>
      <c r="AF99" s="2219"/>
      <c r="AG99" s="2219"/>
      <c r="AH99" s="2225"/>
      <c r="AI99" s="1209"/>
      <c r="AJ99" s="2260"/>
      <c r="AK99" s="2261"/>
      <c r="AL99" s="2261"/>
      <c r="AM99" s="2261"/>
      <c r="AN99" s="2261"/>
      <c r="AO99" s="2261"/>
      <c r="AP99" s="2261"/>
      <c r="AQ99" s="2261"/>
      <c r="AR99" s="2261"/>
      <c r="AS99" s="2261"/>
      <c r="AT99" s="2261"/>
      <c r="AU99" s="2261"/>
      <c r="AV99" s="2261"/>
      <c r="AW99" s="2261"/>
      <c r="AX99" s="2261"/>
      <c r="AY99" s="2264"/>
      <c r="AZ99" s="2264"/>
      <c r="BA99" s="2264"/>
      <c r="BB99" s="2265"/>
      <c r="BC99" s="1209"/>
      <c r="BD99" s="1209"/>
      <c r="BE99" s="1205"/>
    </row>
    <row r="100" spans="1:70" ht="15.75" customHeight="1">
      <c r="A100" s="1209"/>
      <c r="B100" s="2217" t="s">
        <v>2170</v>
      </c>
      <c r="C100" s="2218"/>
      <c r="D100" s="2218"/>
      <c r="E100" s="2218"/>
      <c r="F100" s="2218"/>
      <c r="G100" s="2218"/>
      <c r="H100" s="2218"/>
      <c r="I100" s="2219">
        <v>0</v>
      </c>
      <c r="J100" s="2219"/>
      <c r="K100" s="2219"/>
      <c r="L100" s="2219"/>
      <c r="M100" s="2219"/>
      <c r="N100" s="2219"/>
      <c r="O100" s="2219">
        <v>0</v>
      </c>
      <c r="P100" s="2219"/>
      <c r="Q100" s="2219"/>
      <c r="R100" s="2219"/>
      <c r="S100" s="2219"/>
      <c r="T100" s="2219"/>
      <c r="U100" s="2219"/>
      <c r="V100" s="2219">
        <v>0</v>
      </c>
      <c r="W100" s="2219"/>
      <c r="X100" s="2219"/>
      <c r="Y100" s="2219"/>
      <c r="Z100" s="2219"/>
      <c r="AA100" s="2219"/>
      <c r="AB100" s="2219">
        <v>0</v>
      </c>
      <c r="AC100" s="2219"/>
      <c r="AD100" s="2219"/>
      <c r="AE100" s="2219"/>
      <c r="AF100" s="2219"/>
      <c r="AG100" s="2219"/>
      <c r="AH100" s="2225"/>
      <c r="AI100" s="1209"/>
      <c r="AJ100" s="2231" t="s">
        <v>2485</v>
      </c>
      <c r="AK100" s="2232"/>
      <c r="AL100" s="2232"/>
      <c r="AM100" s="2232"/>
      <c r="AN100" s="2232"/>
      <c r="AO100" s="2232"/>
      <c r="AP100" s="2232"/>
      <c r="AQ100" s="2232"/>
      <c r="AR100" s="2232"/>
      <c r="AS100" s="2232"/>
      <c r="AT100" s="2232"/>
      <c r="AU100" s="2232"/>
      <c r="AV100" s="2232"/>
      <c r="AW100" s="2232"/>
      <c r="AX100" s="2232"/>
      <c r="AY100" s="2232"/>
      <c r="AZ100" s="2232"/>
      <c r="BA100" s="2232"/>
      <c r="BB100" s="2233"/>
      <c r="BC100" s="1209"/>
      <c r="BD100" s="1209"/>
      <c r="BE100" s="1205"/>
    </row>
    <row r="101" spans="1:70" ht="15.75" customHeight="1" thickBot="1">
      <c r="A101" s="1209"/>
      <c r="B101" s="2237" t="s">
        <v>1829</v>
      </c>
      <c r="C101" s="2238"/>
      <c r="D101" s="2238"/>
      <c r="E101" s="2238"/>
      <c r="F101" s="2238"/>
      <c r="G101" s="2238"/>
      <c r="H101" s="2238"/>
      <c r="I101" s="2239">
        <v>0</v>
      </c>
      <c r="J101" s="2239"/>
      <c r="K101" s="2239"/>
      <c r="L101" s="2239"/>
      <c r="M101" s="2239"/>
      <c r="N101" s="2239"/>
      <c r="O101" s="2239">
        <v>0</v>
      </c>
      <c r="P101" s="2239"/>
      <c r="Q101" s="2239"/>
      <c r="R101" s="2239"/>
      <c r="S101" s="2239"/>
      <c r="T101" s="2239"/>
      <c r="U101" s="2239"/>
      <c r="V101" s="2239">
        <v>0</v>
      </c>
      <c r="W101" s="2239"/>
      <c r="X101" s="2239"/>
      <c r="Y101" s="2239"/>
      <c r="Z101" s="2239"/>
      <c r="AA101" s="2239"/>
      <c r="AB101" s="2239">
        <v>0</v>
      </c>
      <c r="AC101" s="2239"/>
      <c r="AD101" s="2239"/>
      <c r="AE101" s="2239"/>
      <c r="AF101" s="2239"/>
      <c r="AG101" s="2239"/>
      <c r="AH101" s="2240"/>
      <c r="AI101" s="1209"/>
      <c r="AJ101" s="2234"/>
      <c r="AK101" s="2235"/>
      <c r="AL101" s="2235"/>
      <c r="AM101" s="2235"/>
      <c r="AN101" s="2235"/>
      <c r="AO101" s="2235"/>
      <c r="AP101" s="2235"/>
      <c r="AQ101" s="2235"/>
      <c r="AR101" s="2235"/>
      <c r="AS101" s="2235"/>
      <c r="AT101" s="2235"/>
      <c r="AU101" s="2235"/>
      <c r="AV101" s="2235"/>
      <c r="AW101" s="2235"/>
      <c r="AX101" s="2235"/>
      <c r="AY101" s="2235"/>
      <c r="AZ101" s="2235"/>
      <c r="BA101" s="2235"/>
      <c r="BB101" s="2236"/>
      <c r="BC101" s="1209"/>
      <c r="BD101" s="1209"/>
      <c r="BE101" s="1205"/>
    </row>
    <row r="102" spans="1:70" ht="15.75" customHeight="1" thickBot="1">
      <c r="A102" s="1209"/>
      <c r="B102" s="1209"/>
      <c r="C102" s="1209"/>
      <c r="D102" s="1209"/>
      <c r="E102" s="1209"/>
      <c r="F102" s="1209"/>
      <c r="G102" s="1209"/>
      <c r="H102" s="1209"/>
      <c r="I102" s="1209"/>
      <c r="J102" s="1209"/>
      <c r="K102" s="1209"/>
      <c r="L102" s="1209"/>
      <c r="M102" s="1209"/>
      <c r="N102" s="1209"/>
      <c r="O102" s="1209"/>
      <c r="P102" s="1209"/>
      <c r="Q102" s="1209"/>
      <c r="R102" s="1209"/>
      <c r="S102" s="1209"/>
      <c r="T102" s="1209"/>
      <c r="U102" s="1209"/>
      <c r="V102" s="1209"/>
      <c r="W102" s="1209"/>
      <c r="X102" s="1209"/>
      <c r="Y102" s="1209"/>
      <c r="Z102" s="1209"/>
      <c r="AA102" s="1209"/>
      <c r="AB102" s="1209"/>
      <c r="AC102" s="1209"/>
      <c r="AD102" s="1209"/>
      <c r="AE102" s="1209"/>
      <c r="AF102" s="1209"/>
      <c r="AG102" s="1209"/>
      <c r="AH102" s="1209"/>
      <c r="AI102" s="1209"/>
      <c r="AJ102" s="1209"/>
      <c r="AK102" s="1209"/>
      <c r="AL102" s="1209"/>
      <c r="AM102" s="1209"/>
      <c r="AN102" s="1209"/>
      <c r="AO102" s="1209"/>
      <c r="AP102" s="1209"/>
      <c r="AQ102" s="1209"/>
      <c r="AR102" s="1209"/>
      <c r="AS102" s="1209"/>
      <c r="AT102" s="1209"/>
      <c r="AU102" s="1209"/>
      <c r="AV102" s="1209"/>
      <c r="AW102" s="1209"/>
      <c r="AX102" s="1209"/>
      <c r="AY102" s="1209"/>
      <c r="AZ102" s="1209"/>
      <c r="BA102" s="1209"/>
      <c r="BB102" s="1209"/>
      <c r="BC102" s="1209"/>
      <c r="BD102" s="1209"/>
      <c r="BE102" s="1205"/>
    </row>
    <row r="103" spans="1:70" ht="15.75" customHeight="1" thickBot="1">
      <c r="A103" s="1209"/>
      <c r="B103" s="1231" t="s">
        <v>2613</v>
      </c>
      <c r="C103" s="1247"/>
      <c r="D103" s="1229"/>
      <c r="E103" s="1229"/>
      <c r="F103" s="1246"/>
      <c r="G103" s="1246"/>
      <c r="H103" s="1246"/>
      <c r="I103" s="1246"/>
      <c r="J103" s="1246"/>
      <c r="K103" s="1246"/>
      <c r="L103" s="1246"/>
      <c r="M103" s="1246"/>
      <c r="N103" s="1246"/>
      <c r="O103" s="1245"/>
      <c r="P103" s="1246"/>
      <c r="Q103" s="1246"/>
      <c r="R103" s="1245"/>
      <c r="S103" s="1209" t="s">
        <v>250</v>
      </c>
      <c r="T103" s="1209"/>
      <c r="U103" s="1209"/>
      <c r="V103" s="1209"/>
      <c r="W103" s="1209"/>
      <c r="X103" s="1209"/>
      <c r="Y103" s="1209"/>
      <c r="Z103" s="1209"/>
      <c r="AA103" s="1209"/>
      <c r="AB103" s="1209"/>
      <c r="AC103" s="1209"/>
      <c r="AD103" s="1209"/>
      <c r="AE103" s="1209"/>
      <c r="AF103" s="1209"/>
      <c r="AG103" s="1209"/>
      <c r="AH103" s="1209"/>
      <c r="AI103" s="1209"/>
      <c r="AJ103" s="1209"/>
      <c r="AK103" s="1209"/>
      <c r="AL103" s="1209"/>
      <c r="AM103" s="1209"/>
      <c r="AN103" s="1209"/>
      <c r="AO103" s="1209"/>
      <c r="AP103" s="1209"/>
      <c r="AQ103" s="1209"/>
      <c r="AR103" s="1209"/>
      <c r="AS103" s="1209"/>
      <c r="AT103" s="1209"/>
      <c r="AU103" s="1209"/>
      <c r="AV103" s="1209"/>
      <c r="AW103" s="1209"/>
      <c r="AX103" s="1209"/>
      <c r="AY103" s="1209"/>
      <c r="AZ103" s="1209"/>
      <c r="BA103" s="1209"/>
      <c r="BB103" s="1209"/>
      <c r="BC103" s="1209"/>
      <c r="BD103" s="1209"/>
      <c r="BE103" s="1205"/>
    </row>
    <row r="104" spans="1:70" ht="15.75" customHeight="1">
      <c r="A104" s="1209"/>
      <c r="B104" s="1237" t="s">
        <v>1860</v>
      </c>
      <c r="C104" s="1237"/>
      <c r="D104" s="1236"/>
      <c r="E104" s="1235"/>
      <c r="F104" s="2556"/>
      <c r="G104" s="2557"/>
      <c r="H104" s="2557"/>
      <c r="I104" s="2557"/>
      <c r="J104" s="2557"/>
      <c r="K104" s="2557"/>
      <c r="L104" s="2557"/>
      <c r="M104" s="2557"/>
      <c r="N104" s="2557"/>
      <c r="O104" s="2557"/>
      <c r="P104" s="2557"/>
      <c r="Q104" s="2557"/>
      <c r="R104" s="2558"/>
      <c r="S104" s="1209"/>
      <c r="T104" s="1209"/>
      <c r="U104" s="1209"/>
      <c r="V104" s="1209"/>
      <c r="W104" s="1209"/>
      <c r="X104" s="1209"/>
      <c r="Y104" s="1209"/>
      <c r="Z104" s="1209"/>
      <c r="AA104" s="1209"/>
      <c r="AB104" s="1209"/>
      <c r="AC104" s="1209"/>
      <c r="AD104" s="1209"/>
      <c r="AE104" s="1209"/>
      <c r="AF104" s="1209"/>
      <c r="AG104" s="1209"/>
      <c r="AH104" s="1209"/>
      <c r="AI104" s="1209"/>
      <c r="AJ104" s="1209"/>
      <c r="AK104" s="1209"/>
      <c r="AL104" s="1209"/>
      <c r="AM104" s="1209"/>
      <c r="AN104" s="1209"/>
      <c r="AO104" s="1209"/>
      <c r="AP104" s="1209"/>
      <c r="AQ104" s="1209"/>
      <c r="AR104" s="1209"/>
      <c r="AS104" s="1209"/>
      <c r="AT104" s="1209"/>
      <c r="AU104" s="1209"/>
      <c r="AV104" s="1209"/>
      <c r="AW104" s="1209"/>
      <c r="AX104" s="1209"/>
      <c r="AY104" s="1209"/>
      <c r="AZ104" s="1209"/>
      <c r="BA104" s="1209"/>
      <c r="BB104" s="1209"/>
      <c r="BC104" s="1209"/>
      <c r="BD104" s="1209"/>
      <c r="BE104" s="1205"/>
    </row>
    <row r="105" spans="1:70" ht="15.75" customHeight="1" thickBot="1">
      <c r="A105" s="1209"/>
      <c r="B105" s="1244" t="s">
        <v>2612</v>
      </c>
      <c r="C105" s="1243"/>
      <c r="D105" s="1242"/>
      <c r="E105" s="1242"/>
      <c r="F105" s="1242"/>
      <c r="G105" s="1242"/>
      <c r="H105" s="1242"/>
      <c r="I105" s="1242"/>
      <c r="J105" s="1242"/>
      <c r="K105" s="1242"/>
      <c r="L105" s="1241"/>
      <c r="M105" s="1242"/>
      <c r="N105" s="1241"/>
      <c r="O105" s="2615" t="e">
        <f>BR98/SUM(BR96:BR98)</f>
        <v>#DIV/0!</v>
      </c>
      <c r="P105" s="2616"/>
      <c r="Q105" s="2616"/>
      <c r="R105" s="2617"/>
      <c r="S105" s="1209"/>
      <c r="T105" s="1209"/>
      <c r="U105" s="1209"/>
      <c r="V105" s="1209"/>
      <c r="W105" s="1209"/>
      <c r="X105" s="1209"/>
      <c r="Y105" s="1209"/>
      <c r="Z105" s="1209"/>
      <c r="AA105" s="1209"/>
      <c r="AB105" s="1209"/>
      <c r="AC105" s="1209"/>
      <c r="AD105" s="1209"/>
      <c r="AE105" s="1209"/>
      <c r="AF105" s="1209"/>
      <c r="AG105" s="1209"/>
      <c r="AH105" s="1209"/>
      <c r="AI105" s="1209"/>
      <c r="AJ105" s="1209"/>
      <c r="AK105" s="1209"/>
      <c r="AL105" s="1209"/>
      <c r="AM105" s="1209"/>
      <c r="AN105" s="1209"/>
      <c r="AO105" s="1209"/>
      <c r="AP105" s="1209"/>
      <c r="AQ105" s="1209"/>
      <c r="AR105" s="1209"/>
      <c r="AS105" s="1209"/>
      <c r="AT105" s="1209"/>
      <c r="AU105" s="1209"/>
      <c r="AV105" s="1209"/>
      <c r="AW105" s="1209"/>
      <c r="AX105" s="1209"/>
      <c r="AY105" s="1209"/>
      <c r="AZ105" s="1209"/>
      <c r="BA105" s="1209"/>
      <c r="BB105" s="1209"/>
      <c r="BC105" s="1209"/>
      <c r="BD105" s="1209"/>
      <c r="BE105" s="1205"/>
    </row>
    <row r="106" spans="1:70" ht="15.75" customHeight="1" thickBot="1">
      <c r="A106" s="1209"/>
      <c r="B106" s="1209"/>
      <c r="C106" s="1209"/>
      <c r="D106" s="1209"/>
      <c r="E106" s="1209"/>
      <c r="F106" s="1209"/>
      <c r="G106" s="1209"/>
      <c r="H106" s="1209"/>
      <c r="I106" s="1209"/>
      <c r="J106" s="1209"/>
      <c r="K106" s="1209"/>
      <c r="L106" s="1209"/>
      <c r="M106" s="1209"/>
      <c r="N106" s="1209"/>
      <c r="O106" s="1209"/>
      <c r="P106" s="1234"/>
      <c r="Q106" s="1209"/>
      <c r="R106" s="1209"/>
      <c r="S106" s="1209"/>
      <c r="T106" s="1209"/>
      <c r="U106" s="1209"/>
      <c r="V106" s="1209"/>
      <c r="W106" s="1209"/>
      <c r="X106" s="1209"/>
      <c r="Y106" s="1209"/>
      <c r="Z106" s="1209"/>
      <c r="AA106" s="1209"/>
      <c r="AB106" s="1209"/>
      <c r="AC106" s="1209"/>
      <c r="AD106" s="1209"/>
      <c r="AE106" s="1209"/>
      <c r="AF106" s="1209"/>
      <c r="AG106" s="1209"/>
      <c r="AH106" s="1209"/>
      <c r="AI106" s="1209"/>
      <c r="AJ106" s="1209"/>
      <c r="AK106" s="1209"/>
      <c r="AL106" s="1209"/>
      <c r="AM106" s="1209"/>
      <c r="AN106" s="1209"/>
      <c r="AO106" s="1209"/>
      <c r="AP106" s="1209"/>
      <c r="AQ106" s="1209"/>
      <c r="AR106" s="1209"/>
      <c r="AS106" s="1209"/>
      <c r="AT106" s="1209"/>
      <c r="AU106" s="1209"/>
      <c r="AV106" s="1209"/>
      <c r="AW106" s="1209"/>
      <c r="AX106" s="1209"/>
      <c r="AY106" s="1209"/>
      <c r="AZ106" s="1209"/>
      <c r="BA106" s="1209"/>
      <c r="BB106" s="1209"/>
      <c r="BC106" s="1209"/>
      <c r="BD106" s="1209"/>
      <c r="BE106" s="1205"/>
    </row>
    <row r="107" spans="1:70" ht="15.75" customHeight="1">
      <c r="A107" s="1209"/>
      <c r="B107" s="2477" t="s">
        <v>2611</v>
      </c>
      <c r="C107" s="2478"/>
      <c r="D107" s="2478"/>
      <c r="E107" s="2478"/>
      <c r="F107" s="2478"/>
      <c r="G107" s="2478"/>
      <c r="H107" s="2478"/>
      <c r="I107" s="2478"/>
      <c r="J107" s="2478"/>
      <c r="K107" s="2478"/>
      <c r="L107" s="2478"/>
      <c r="M107" s="2478"/>
      <c r="N107" s="2478"/>
      <c r="O107" s="2478"/>
      <c r="P107" s="2478"/>
      <c r="Q107" s="2478"/>
      <c r="R107" s="2478"/>
      <c r="S107" s="2478"/>
      <c r="T107" s="2478"/>
      <c r="U107" s="2478"/>
      <c r="V107" s="2478"/>
      <c r="W107" s="2478"/>
      <c r="X107" s="2478"/>
      <c r="Y107" s="2478"/>
      <c r="Z107" s="2478"/>
      <c r="AA107" s="2478"/>
      <c r="AB107" s="2478"/>
      <c r="AC107" s="2478"/>
      <c r="AD107" s="2478"/>
      <c r="AE107" s="2478"/>
      <c r="AF107" s="2478"/>
      <c r="AG107" s="2478"/>
      <c r="AH107" s="2479"/>
      <c r="AI107" s="1209"/>
      <c r="AJ107" s="1209"/>
      <c r="AK107" s="1209"/>
      <c r="AL107" s="1209"/>
      <c r="AM107" s="1209"/>
      <c r="AN107" s="1209"/>
      <c r="AO107" s="1209"/>
      <c r="AP107" s="1209"/>
      <c r="AQ107" s="1209"/>
      <c r="AR107" s="1209"/>
      <c r="AS107" s="1209"/>
      <c r="AT107" s="1209"/>
      <c r="AU107" s="1209"/>
      <c r="AV107" s="1209"/>
      <c r="AW107" s="1209"/>
      <c r="AX107" s="1209"/>
      <c r="AY107" s="1209"/>
      <c r="AZ107" s="1209"/>
      <c r="BA107" s="1209"/>
      <c r="BB107" s="1209"/>
      <c r="BC107" s="1209"/>
      <c r="BD107" s="1209"/>
      <c r="BE107" s="1205"/>
    </row>
    <row r="108" spans="1:70" ht="16.5" customHeight="1">
      <c r="A108" s="1209"/>
      <c r="B108" s="2217"/>
      <c r="C108" s="2218"/>
      <c r="D108" s="2218"/>
      <c r="E108" s="2218"/>
      <c r="F108" s="2218"/>
      <c r="G108" s="2218"/>
      <c r="H108" s="2218"/>
      <c r="I108" s="2218" t="s">
        <v>1826</v>
      </c>
      <c r="J108" s="2218"/>
      <c r="K108" s="2218"/>
      <c r="L108" s="2218"/>
      <c r="M108" s="2218"/>
      <c r="N108" s="2218"/>
      <c r="O108" s="2218" t="s">
        <v>1827</v>
      </c>
      <c r="P108" s="2218"/>
      <c r="Q108" s="2218"/>
      <c r="R108" s="2218"/>
      <c r="S108" s="2218"/>
      <c r="T108" s="2218"/>
      <c r="U108" s="2218"/>
      <c r="V108" s="2214" t="s">
        <v>2186</v>
      </c>
      <c r="W108" s="2214"/>
      <c r="X108" s="2214"/>
      <c r="Y108" s="2214"/>
      <c r="Z108" s="2214"/>
      <c r="AA108" s="2214"/>
      <c r="AB108" s="2215" t="s">
        <v>1828</v>
      </c>
      <c r="AC108" s="2215"/>
      <c r="AD108" s="2215"/>
      <c r="AE108" s="2215"/>
      <c r="AF108" s="2215"/>
      <c r="AG108" s="2215"/>
      <c r="AH108" s="2216"/>
      <c r="AI108" s="1209"/>
      <c r="AJ108" s="1209"/>
      <c r="AK108" s="1209"/>
      <c r="AL108" s="1209"/>
      <c r="AM108" s="1209"/>
      <c r="AN108" s="1209"/>
      <c r="AO108" s="1209"/>
      <c r="AP108" s="1209"/>
      <c r="AQ108" s="1209"/>
      <c r="AR108" s="1209"/>
      <c r="AS108" s="1209"/>
      <c r="AT108" s="1209"/>
      <c r="AU108" s="1209"/>
      <c r="AV108" s="1209"/>
      <c r="AW108" s="1209"/>
      <c r="AX108" s="1209"/>
      <c r="AY108" s="1209"/>
      <c r="AZ108" s="1209"/>
      <c r="BA108" s="1209"/>
      <c r="BB108" s="1209"/>
      <c r="BC108" s="1209"/>
      <c r="BD108" s="1209"/>
      <c r="BE108" s="1205"/>
    </row>
    <row r="109" spans="1:70" ht="16.5" customHeight="1">
      <c r="A109" s="1209"/>
      <c r="B109" s="2217"/>
      <c r="C109" s="2218"/>
      <c r="D109" s="2218"/>
      <c r="E109" s="2218"/>
      <c r="F109" s="2218"/>
      <c r="G109" s="2218"/>
      <c r="H109" s="2218"/>
      <c r="I109" s="2218"/>
      <c r="J109" s="2218"/>
      <c r="K109" s="2218"/>
      <c r="L109" s="2218"/>
      <c r="M109" s="2218"/>
      <c r="N109" s="2218"/>
      <c r="O109" s="2218"/>
      <c r="P109" s="2218"/>
      <c r="Q109" s="2218"/>
      <c r="R109" s="2218"/>
      <c r="S109" s="2218"/>
      <c r="T109" s="2218"/>
      <c r="U109" s="2218"/>
      <c r="V109" s="2214"/>
      <c r="W109" s="2214"/>
      <c r="X109" s="2214"/>
      <c r="Y109" s="2214"/>
      <c r="Z109" s="2214"/>
      <c r="AA109" s="2214"/>
      <c r="AB109" s="2215"/>
      <c r="AC109" s="2215"/>
      <c r="AD109" s="2215"/>
      <c r="AE109" s="2215"/>
      <c r="AF109" s="2215"/>
      <c r="AG109" s="2215"/>
      <c r="AH109" s="2216"/>
      <c r="AI109" s="1209"/>
      <c r="AJ109" s="1209"/>
      <c r="AK109" s="1209"/>
      <c r="AL109" s="1209"/>
      <c r="AM109" s="1209"/>
      <c r="AN109" s="1209"/>
      <c r="AO109" s="1209"/>
      <c r="AP109" s="1209"/>
      <c r="AQ109" s="1209"/>
      <c r="AR109" s="1209"/>
      <c r="AS109" s="1209"/>
      <c r="AT109" s="1209"/>
      <c r="AU109" s="1209"/>
      <c r="AV109" s="1209"/>
      <c r="AW109" s="1209"/>
      <c r="AX109" s="1209"/>
      <c r="AY109" s="1209"/>
      <c r="AZ109" s="1209"/>
      <c r="BA109" s="1209"/>
      <c r="BB109" s="1209"/>
      <c r="BC109" s="1209"/>
      <c r="BD109" s="1209"/>
      <c r="BE109" s="1205"/>
    </row>
    <row r="110" spans="1:70" ht="15.75" customHeight="1">
      <c r="A110" s="1209"/>
      <c r="B110" s="2217" t="s">
        <v>2169</v>
      </c>
      <c r="C110" s="2218"/>
      <c r="D110" s="2218"/>
      <c r="E110" s="2218"/>
      <c r="F110" s="2218"/>
      <c r="G110" s="2218"/>
      <c r="H110" s="2218"/>
      <c r="I110" s="2219">
        <v>0</v>
      </c>
      <c r="J110" s="2219"/>
      <c r="K110" s="2219"/>
      <c r="L110" s="2219"/>
      <c r="M110" s="2219"/>
      <c r="N110" s="2219"/>
      <c r="O110" s="2219">
        <v>0</v>
      </c>
      <c r="P110" s="2219"/>
      <c r="Q110" s="2219"/>
      <c r="R110" s="2219"/>
      <c r="S110" s="2219"/>
      <c r="T110" s="2219"/>
      <c r="U110" s="2219"/>
      <c r="V110" s="2219">
        <v>0</v>
      </c>
      <c r="W110" s="2219"/>
      <c r="X110" s="2219"/>
      <c r="Y110" s="2219"/>
      <c r="Z110" s="2219"/>
      <c r="AA110" s="2219"/>
      <c r="AB110" s="2219">
        <v>0</v>
      </c>
      <c r="AC110" s="2219"/>
      <c r="AD110" s="2219"/>
      <c r="AE110" s="2219"/>
      <c r="AF110" s="2219"/>
      <c r="AG110" s="2219"/>
      <c r="AH110" s="2225"/>
      <c r="AI110" s="1209"/>
      <c r="AJ110" s="1209"/>
      <c r="AK110" s="1209"/>
      <c r="AL110" s="1209"/>
      <c r="AM110" s="1209"/>
      <c r="AN110" s="1209"/>
      <c r="AO110" s="1209"/>
      <c r="AP110" s="1209"/>
      <c r="AQ110" s="1209"/>
      <c r="AR110" s="1209"/>
      <c r="AS110" s="1209"/>
      <c r="AT110" s="1209"/>
      <c r="AU110" s="1209"/>
      <c r="AV110" s="1209"/>
      <c r="AW110" s="1209"/>
      <c r="AX110" s="1209"/>
      <c r="AY110" s="1209"/>
      <c r="AZ110" s="1209"/>
      <c r="BA110" s="1209"/>
      <c r="BB110" s="1209"/>
      <c r="BC110" s="1209"/>
      <c r="BD110" s="1209"/>
      <c r="BE110" s="1205"/>
    </row>
    <row r="111" spans="1:70" ht="15.75" customHeight="1">
      <c r="A111" s="1209"/>
      <c r="B111" s="2217" t="s">
        <v>2170</v>
      </c>
      <c r="C111" s="2218"/>
      <c r="D111" s="2218"/>
      <c r="E111" s="2218"/>
      <c r="F111" s="2218"/>
      <c r="G111" s="2218"/>
      <c r="H111" s="2218"/>
      <c r="I111" s="2219">
        <v>0</v>
      </c>
      <c r="J111" s="2219"/>
      <c r="K111" s="2219"/>
      <c r="L111" s="2219"/>
      <c r="M111" s="2219"/>
      <c r="N111" s="2219"/>
      <c r="O111" s="2219">
        <v>0</v>
      </c>
      <c r="P111" s="2219"/>
      <c r="Q111" s="2219"/>
      <c r="R111" s="2219"/>
      <c r="S111" s="2219"/>
      <c r="T111" s="2219"/>
      <c r="U111" s="2219"/>
      <c r="V111" s="2219">
        <v>0</v>
      </c>
      <c r="W111" s="2219"/>
      <c r="X111" s="2219"/>
      <c r="Y111" s="2219"/>
      <c r="Z111" s="2219"/>
      <c r="AA111" s="2219"/>
      <c r="AB111" s="2219">
        <v>0</v>
      </c>
      <c r="AC111" s="2219"/>
      <c r="AD111" s="2219"/>
      <c r="AE111" s="2219"/>
      <c r="AF111" s="2219"/>
      <c r="AG111" s="2219"/>
      <c r="AH111" s="2225"/>
      <c r="AI111" s="1209"/>
      <c r="AJ111" s="1209"/>
      <c r="AK111" s="1209"/>
      <c r="AL111" s="1209"/>
      <c r="AM111" s="1209"/>
      <c r="AN111" s="1209"/>
      <c r="AO111" s="1209"/>
      <c r="AP111" s="1209"/>
      <c r="AQ111" s="1209"/>
      <c r="AR111" s="1209"/>
      <c r="AS111" s="1209"/>
      <c r="AT111" s="1209"/>
      <c r="AU111" s="1209"/>
      <c r="AV111" s="1209"/>
      <c r="AW111" s="1209"/>
      <c r="AX111" s="1209"/>
      <c r="AY111" s="1209"/>
      <c r="AZ111" s="1209"/>
      <c r="BA111" s="1209"/>
      <c r="BB111" s="1209"/>
      <c r="BC111" s="1209"/>
      <c r="BD111" s="1209"/>
      <c r="BE111" s="1205"/>
    </row>
    <row r="112" spans="1:70" ht="15.75" customHeight="1" thickBot="1">
      <c r="A112" s="1209"/>
      <c r="B112" s="2237" t="s">
        <v>1829</v>
      </c>
      <c r="C112" s="2238"/>
      <c r="D112" s="2238"/>
      <c r="E112" s="2238"/>
      <c r="F112" s="2238"/>
      <c r="G112" s="2238"/>
      <c r="H112" s="2238"/>
      <c r="I112" s="2239">
        <v>0</v>
      </c>
      <c r="J112" s="2239"/>
      <c r="K112" s="2239"/>
      <c r="L112" s="2239"/>
      <c r="M112" s="2239"/>
      <c r="N112" s="2239"/>
      <c r="O112" s="2239">
        <v>0</v>
      </c>
      <c r="P112" s="2239"/>
      <c r="Q112" s="2239"/>
      <c r="R112" s="2239"/>
      <c r="S112" s="2239"/>
      <c r="T112" s="2239"/>
      <c r="U112" s="2239"/>
      <c r="V112" s="2239">
        <v>0</v>
      </c>
      <c r="W112" s="2239"/>
      <c r="X112" s="2239"/>
      <c r="Y112" s="2239"/>
      <c r="Z112" s="2239"/>
      <c r="AA112" s="2239"/>
      <c r="AB112" s="2239">
        <v>0</v>
      </c>
      <c r="AC112" s="2239"/>
      <c r="AD112" s="2239"/>
      <c r="AE112" s="2239"/>
      <c r="AF112" s="2239"/>
      <c r="AG112" s="2239"/>
      <c r="AH112" s="2240"/>
      <c r="AI112" s="1209"/>
      <c r="AJ112" s="1209"/>
      <c r="AK112" s="1209"/>
      <c r="AL112" s="1209"/>
      <c r="AM112" s="1209"/>
      <c r="AN112" s="1209"/>
      <c r="AO112" s="1209"/>
      <c r="AP112" s="1209"/>
      <c r="AQ112" s="1209"/>
      <c r="AR112" s="1209"/>
      <c r="AS112" s="1209"/>
      <c r="AT112" s="1209"/>
      <c r="AU112" s="1209"/>
      <c r="AV112" s="1209"/>
      <c r="AW112" s="1209"/>
      <c r="AX112" s="1209"/>
      <c r="AY112" s="1209"/>
      <c r="AZ112" s="1209"/>
      <c r="BA112" s="1209"/>
      <c r="BB112" s="1209"/>
      <c r="BC112" s="1209"/>
      <c r="BD112" s="1209"/>
      <c r="BE112" s="1205"/>
    </row>
    <row r="113" spans="1:57" ht="15.75" customHeight="1" thickBot="1">
      <c r="A113" s="1209"/>
      <c r="B113" s="1209"/>
      <c r="C113" s="1209"/>
      <c r="D113" s="1209"/>
      <c r="E113" s="1209"/>
      <c r="F113" s="1209"/>
      <c r="G113" s="1209"/>
      <c r="H113" s="1209"/>
      <c r="I113" s="1209"/>
      <c r="J113" s="1209"/>
      <c r="K113" s="1209"/>
      <c r="L113" s="1209"/>
      <c r="M113" s="1209"/>
      <c r="N113" s="1209"/>
      <c r="O113" s="1209"/>
      <c r="P113" s="1209"/>
      <c r="Q113" s="1209"/>
      <c r="R113" s="1209"/>
      <c r="S113" s="1209"/>
      <c r="T113" s="1209"/>
      <c r="U113" s="1209" t="s">
        <v>250</v>
      </c>
      <c r="V113" s="1209"/>
      <c r="W113" s="1209"/>
      <c r="X113" s="1209"/>
      <c r="Y113" s="1209"/>
      <c r="Z113" s="1209"/>
      <c r="AA113" s="1209"/>
      <c r="AB113" s="1209"/>
      <c r="AC113" s="1209"/>
      <c r="AD113" s="1209"/>
      <c r="AE113" s="1209"/>
      <c r="AF113" s="1209"/>
      <c r="AG113" s="1209"/>
      <c r="AH113" s="1209"/>
      <c r="AI113" s="1209"/>
      <c r="AJ113" s="1209"/>
      <c r="AK113" s="1209"/>
      <c r="AL113" s="1209"/>
      <c r="AM113" s="1209"/>
      <c r="AN113" s="1209"/>
      <c r="AO113" s="1209"/>
      <c r="AP113" s="1209"/>
      <c r="AQ113" s="1209"/>
      <c r="AR113" s="1209"/>
      <c r="AS113" s="1209"/>
      <c r="AT113" s="1209"/>
      <c r="AU113" s="1209"/>
      <c r="AV113" s="1209"/>
      <c r="AW113" s="1209"/>
      <c r="AX113" s="1209"/>
      <c r="AY113" s="1209"/>
      <c r="AZ113" s="1209"/>
      <c r="BA113" s="1209"/>
      <c r="BB113" s="1209"/>
      <c r="BC113" s="1209"/>
      <c r="BD113" s="1209"/>
      <c r="BE113" s="1205"/>
    </row>
    <row r="114" spans="1:57" ht="15.75" customHeight="1" thickBot="1">
      <c r="A114" s="1209"/>
      <c r="B114" s="1240" t="s">
        <v>2610</v>
      </c>
      <c r="C114" s="1239"/>
      <c r="D114" s="1239"/>
      <c r="E114" s="1239"/>
      <c r="F114" s="1239"/>
      <c r="G114" s="1239"/>
      <c r="H114" s="1239"/>
      <c r="I114" s="1239"/>
      <c r="J114" s="1239"/>
      <c r="K114" s="1239"/>
      <c r="L114" s="1239"/>
      <c r="M114" s="1239"/>
      <c r="N114" s="1239"/>
      <c r="O114" s="1239"/>
      <c r="P114" s="1239"/>
      <c r="Q114" s="1239"/>
      <c r="R114" s="1238"/>
      <c r="S114" s="1209"/>
      <c r="T114" s="1209"/>
      <c r="U114" s="1209"/>
      <c r="V114" s="1209"/>
      <c r="W114" s="1209"/>
      <c r="X114" s="1209"/>
      <c r="Y114" s="1209"/>
      <c r="Z114" s="1209"/>
      <c r="AA114" s="1209"/>
      <c r="AB114" s="1209"/>
      <c r="AC114" s="1209"/>
      <c r="AD114" s="1209"/>
      <c r="AE114" s="1209"/>
      <c r="AF114" s="1209"/>
      <c r="AG114" s="1209"/>
      <c r="AH114" s="1209"/>
      <c r="AI114" s="1209"/>
      <c r="AJ114" s="1209"/>
      <c r="AK114" s="1209"/>
      <c r="AL114" s="1209"/>
      <c r="AM114" s="1209"/>
      <c r="AN114" s="1209"/>
      <c r="AO114" s="1209"/>
      <c r="AP114" s="1209"/>
      <c r="AQ114" s="1209"/>
      <c r="AR114" s="1209"/>
      <c r="AS114" s="1209"/>
      <c r="AT114" s="1209"/>
      <c r="AU114" s="1209"/>
      <c r="AV114" s="1209"/>
      <c r="AW114" s="1209"/>
      <c r="AX114" s="1209"/>
      <c r="AY114" s="1209"/>
      <c r="AZ114" s="1209"/>
      <c r="BA114" s="1209"/>
      <c r="BB114" s="1209"/>
      <c r="BC114" s="1209"/>
      <c r="BD114" s="1209"/>
      <c r="BE114" s="1205"/>
    </row>
    <row r="115" spans="1:57" ht="15.75" customHeight="1">
      <c r="A115" s="1209"/>
      <c r="B115" s="1237" t="s">
        <v>1860</v>
      </c>
      <c r="C115" s="1237"/>
      <c r="D115" s="1236"/>
      <c r="E115" s="1235"/>
      <c r="F115" s="2556"/>
      <c r="G115" s="2557"/>
      <c r="H115" s="2557"/>
      <c r="I115" s="2557"/>
      <c r="J115" s="2557"/>
      <c r="K115" s="2557"/>
      <c r="L115" s="2557"/>
      <c r="M115" s="2557"/>
      <c r="N115" s="2557"/>
      <c r="O115" s="2557"/>
      <c r="P115" s="2557"/>
      <c r="Q115" s="2557"/>
      <c r="R115" s="2558"/>
      <c r="S115" s="1209"/>
      <c r="T115" s="1209"/>
      <c r="U115" s="1209"/>
      <c r="V115" s="1209"/>
      <c r="W115" s="1209"/>
      <c r="X115" s="1209"/>
      <c r="Y115" s="1209"/>
      <c r="Z115" s="1209"/>
      <c r="AA115" s="1209"/>
      <c r="AB115" s="1209"/>
      <c r="AC115" s="1209"/>
      <c r="AD115" s="1209"/>
      <c r="AE115" s="1209"/>
      <c r="AF115" s="1209"/>
      <c r="AG115" s="1209"/>
      <c r="AH115" s="1209"/>
      <c r="AI115" s="1209"/>
      <c r="AJ115" s="1209"/>
      <c r="AK115" s="1209"/>
      <c r="AL115" s="1209"/>
      <c r="AM115" s="1209"/>
      <c r="AN115" s="1209"/>
      <c r="AO115" s="1209"/>
      <c r="AP115" s="1209"/>
      <c r="AQ115" s="1209"/>
      <c r="AR115" s="1209"/>
      <c r="AS115" s="1209"/>
      <c r="AT115" s="1209"/>
      <c r="AU115" s="1209"/>
      <c r="AV115" s="1209"/>
      <c r="AW115" s="1209"/>
      <c r="AX115" s="1209"/>
      <c r="AY115" s="1209"/>
      <c r="AZ115" s="1209"/>
      <c r="BA115" s="1209"/>
      <c r="BB115" s="1209"/>
      <c r="BC115" s="1209"/>
      <c r="BD115" s="1209"/>
      <c r="BE115" s="1205"/>
    </row>
    <row r="116" spans="1:57" ht="15.75" customHeight="1" thickBot="1">
      <c r="A116" s="1209"/>
      <c r="B116" s="1209"/>
      <c r="C116" s="1209"/>
      <c r="D116" s="1209"/>
      <c r="E116" s="1209"/>
      <c r="F116" s="1209"/>
      <c r="G116" s="1209"/>
      <c r="H116" s="1209"/>
      <c r="I116" s="1209"/>
      <c r="J116" s="1209"/>
      <c r="K116" s="1209"/>
      <c r="L116" s="1209"/>
      <c r="M116" s="1209"/>
      <c r="N116" s="1209"/>
      <c r="O116" s="1209"/>
      <c r="P116" s="1209"/>
      <c r="Q116" s="1209"/>
      <c r="R116" s="1209"/>
      <c r="S116" s="1209"/>
      <c r="T116" s="1209"/>
      <c r="U116" s="1209"/>
      <c r="V116" s="1209"/>
      <c r="W116" s="1209"/>
      <c r="X116" s="1209"/>
      <c r="Y116" s="1209"/>
      <c r="Z116" s="1209"/>
      <c r="AA116" s="1209"/>
      <c r="AB116" s="1209"/>
      <c r="AC116" s="1209"/>
      <c r="AD116" s="1209"/>
      <c r="AE116" s="1209"/>
      <c r="AF116" s="1209"/>
      <c r="AG116" s="1209"/>
      <c r="AH116" s="1209"/>
      <c r="AI116" s="1209"/>
      <c r="AJ116" s="1209"/>
      <c r="AK116" s="1209"/>
      <c r="AL116" s="1209"/>
      <c r="AM116" s="1209"/>
      <c r="AN116" s="1209"/>
      <c r="AO116" s="1209"/>
      <c r="AP116" s="1209"/>
      <c r="AQ116" s="1209"/>
      <c r="AR116" s="1209"/>
      <c r="AS116" s="1209"/>
      <c r="AT116" s="1209"/>
      <c r="AU116" s="1209"/>
      <c r="AV116" s="1209"/>
      <c r="AW116" s="1209"/>
      <c r="AX116" s="1209"/>
      <c r="AY116" s="1209"/>
      <c r="AZ116" s="1209"/>
      <c r="BA116" s="1209"/>
      <c r="BB116" s="1209"/>
      <c r="BC116" s="1209"/>
      <c r="BD116" s="1209"/>
      <c r="BE116" s="1205"/>
    </row>
    <row r="117" spans="1:57" ht="15.75" customHeight="1">
      <c r="A117" s="1209"/>
      <c r="B117" s="2258" t="s">
        <v>2486</v>
      </c>
      <c r="C117" s="2259"/>
      <c r="D117" s="2259"/>
      <c r="E117" s="2259"/>
      <c r="F117" s="2259"/>
      <c r="G117" s="2259"/>
      <c r="H117" s="2259"/>
      <c r="I117" s="2259"/>
      <c r="J117" s="2259"/>
      <c r="K117" s="2259"/>
      <c r="L117" s="2259"/>
      <c r="M117" s="2259"/>
      <c r="N117" s="2259"/>
      <c r="O117" s="2259"/>
      <c r="P117" s="2259"/>
      <c r="Q117" s="2262" t="s">
        <v>552</v>
      </c>
      <c r="R117" s="2262"/>
      <c r="S117" s="2262"/>
      <c r="T117" s="2263"/>
      <c r="U117" s="1209"/>
      <c r="V117" s="1209"/>
      <c r="W117" s="1209"/>
      <c r="X117" s="1209"/>
      <c r="Y117" s="1209"/>
      <c r="Z117" s="1209"/>
      <c r="AA117" s="1209"/>
      <c r="AB117" s="1209"/>
      <c r="AC117" s="1209"/>
      <c r="AD117" s="1209"/>
      <c r="AE117" s="1209"/>
      <c r="AF117" s="1209"/>
      <c r="AG117" s="1209"/>
      <c r="AH117" s="1209"/>
      <c r="AI117" s="1209"/>
      <c r="AJ117" s="1209"/>
      <c r="AK117" s="1209"/>
      <c r="AL117" s="1209"/>
      <c r="AM117" s="1209"/>
      <c r="AN117" s="1209"/>
      <c r="AO117" s="1209"/>
      <c r="AP117" s="1209"/>
      <c r="AQ117" s="1209"/>
      <c r="AR117" s="1209"/>
      <c r="AS117" s="1209"/>
      <c r="AT117" s="1209"/>
      <c r="AU117" s="1209"/>
      <c r="AV117" s="1209"/>
      <c r="AW117" s="1209"/>
      <c r="AX117" s="1209"/>
      <c r="AY117" s="1209"/>
      <c r="AZ117" s="1209"/>
      <c r="BA117" s="1209"/>
      <c r="BB117" s="1209"/>
      <c r="BC117" s="1209"/>
      <c r="BD117" s="1209"/>
      <c r="BE117" s="1205"/>
    </row>
    <row r="118" spans="1:57" ht="15.75" customHeight="1">
      <c r="A118" s="1209"/>
      <c r="B118" s="2260"/>
      <c r="C118" s="2261"/>
      <c r="D118" s="2261"/>
      <c r="E118" s="2261"/>
      <c r="F118" s="2261"/>
      <c r="G118" s="2261"/>
      <c r="H118" s="2261"/>
      <c r="I118" s="2261"/>
      <c r="J118" s="2261"/>
      <c r="K118" s="2261"/>
      <c r="L118" s="2261"/>
      <c r="M118" s="2261"/>
      <c r="N118" s="2261"/>
      <c r="O118" s="2261"/>
      <c r="P118" s="2261"/>
      <c r="Q118" s="2264"/>
      <c r="R118" s="2264"/>
      <c r="S118" s="2264"/>
      <c r="T118" s="2265"/>
      <c r="U118" s="1209"/>
      <c r="V118" s="1209"/>
      <c r="W118" s="1209"/>
      <c r="X118" s="1209"/>
      <c r="Y118" s="1209"/>
      <c r="Z118" s="1209"/>
      <c r="AA118" s="1209"/>
      <c r="AB118" s="1209"/>
      <c r="AC118" s="1209"/>
      <c r="AD118" s="1209"/>
      <c r="AE118" s="1209"/>
      <c r="AF118" s="1209"/>
      <c r="AG118" s="1209"/>
      <c r="AH118" s="1209"/>
      <c r="AI118" s="1209"/>
      <c r="AJ118" s="1209"/>
      <c r="AK118" s="1209"/>
      <c r="AL118" s="1209"/>
      <c r="AM118" s="1209"/>
      <c r="AN118" s="1209"/>
      <c r="AO118" s="1209"/>
      <c r="AP118" s="1209"/>
      <c r="AQ118" s="1209"/>
      <c r="AR118" s="1209"/>
      <c r="AS118" s="1209"/>
      <c r="AT118" s="1209"/>
      <c r="AU118" s="1209"/>
      <c r="AV118" s="1209"/>
      <c r="AW118" s="1209"/>
      <c r="AX118" s="1209"/>
      <c r="AY118" s="1209"/>
      <c r="AZ118" s="1209"/>
      <c r="BA118" s="1209"/>
      <c r="BB118" s="1209"/>
      <c r="BC118" s="1209"/>
      <c r="BD118" s="1209"/>
      <c r="BE118" s="1205"/>
    </row>
    <row r="119" spans="1:57" ht="15.75" customHeight="1">
      <c r="A119" s="1209"/>
      <c r="B119" s="2260"/>
      <c r="C119" s="2261"/>
      <c r="D119" s="2261"/>
      <c r="E119" s="2261"/>
      <c r="F119" s="2261"/>
      <c r="G119" s="2261"/>
      <c r="H119" s="2261"/>
      <c r="I119" s="2261"/>
      <c r="J119" s="2261"/>
      <c r="K119" s="2261"/>
      <c r="L119" s="2261"/>
      <c r="M119" s="2261"/>
      <c r="N119" s="2261"/>
      <c r="O119" s="2261"/>
      <c r="P119" s="2261"/>
      <c r="Q119" s="2264"/>
      <c r="R119" s="2264"/>
      <c r="S119" s="2264"/>
      <c r="T119" s="2265"/>
      <c r="U119" s="1209"/>
      <c r="V119" s="1209"/>
      <c r="W119" s="1209"/>
      <c r="X119" s="1209"/>
      <c r="Y119" s="1209"/>
      <c r="Z119" s="1209"/>
      <c r="AA119" s="1209"/>
      <c r="AB119" s="1209"/>
      <c r="AC119" s="1209"/>
      <c r="AD119" s="1209"/>
      <c r="AE119" s="1209"/>
      <c r="AF119" s="1209"/>
      <c r="AG119" s="1209"/>
      <c r="AH119" s="1209"/>
      <c r="AI119" s="1209"/>
      <c r="AJ119" s="1209"/>
      <c r="AK119" s="1209"/>
      <c r="AL119" s="1209"/>
      <c r="AM119" s="1209"/>
      <c r="AN119" s="1209"/>
      <c r="AO119" s="1209"/>
      <c r="AP119" s="1209"/>
      <c r="AQ119" s="1209"/>
      <c r="AR119" s="1209"/>
      <c r="AS119" s="1209"/>
      <c r="AT119" s="1209"/>
      <c r="AU119" s="1209"/>
      <c r="AV119" s="1209"/>
      <c r="AW119" s="1209"/>
      <c r="AX119" s="1209"/>
      <c r="AY119" s="1209"/>
      <c r="AZ119" s="1209"/>
      <c r="BA119" s="1209"/>
      <c r="BB119" s="1209"/>
      <c r="BC119" s="1209"/>
      <c r="BD119" s="1209"/>
      <c r="BE119" s="1205"/>
    </row>
    <row r="120" spans="1:57" ht="15.75" customHeight="1">
      <c r="A120" s="1209"/>
      <c r="B120" s="2260"/>
      <c r="C120" s="2261"/>
      <c r="D120" s="2261"/>
      <c r="E120" s="2261"/>
      <c r="F120" s="2261"/>
      <c r="G120" s="2261"/>
      <c r="H120" s="2261"/>
      <c r="I120" s="2261"/>
      <c r="J120" s="2261"/>
      <c r="K120" s="2261"/>
      <c r="L120" s="2261"/>
      <c r="M120" s="2261"/>
      <c r="N120" s="2261"/>
      <c r="O120" s="2261"/>
      <c r="P120" s="2261"/>
      <c r="Q120" s="2264"/>
      <c r="R120" s="2264"/>
      <c r="S120" s="2264"/>
      <c r="T120" s="2265"/>
      <c r="U120" s="1209"/>
      <c r="V120" s="1209"/>
      <c r="W120" s="1209"/>
      <c r="X120" s="1209"/>
      <c r="Y120" s="1209"/>
      <c r="Z120" s="1209"/>
      <c r="AA120" s="1209"/>
      <c r="AB120" s="1209"/>
      <c r="AC120" s="1209"/>
      <c r="AD120" s="1209"/>
      <c r="AE120" s="1209"/>
      <c r="AF120" s="1209"/>
      <c r="AG120" s="1209"/>
      <c r="AH120" s="1209"/>
      <c r="AI120" s="1209"/>
      <c r="AJ120" s="1209"/>
      <c r="AK120" s="1209"/>
      <c r="AL120" s="1209"/>
      <c r="AM120" s="1209"/>
      <c r="AN120" s="1209"/>
      <c r="AO120" s="1209"/>
      <c r="AP120" s="1209"/>
      <c r="AQ120" s="1209"/>
      <c r="AR120" s="1209"/>
      <c r="AS120" s="1209"/>
      <c r="AT120" s="1209"/>
      <c r="AU120" s="1209"/>
      <c r="AV120" s="1209"/>
      <c r="AW120" s="1209"/>
      <c r="AX120" s="1209"/>
      <c r="AY120" s="1209"/>
      <c r="AZ120" s="1209"/>
      <c r="BA120" s="1209"/>
      <c r="BB120" s="1209"/>
      <c r="BC120" s="1209"/>
      <c r="BD120" s="1209"/>
      <c r="BE120" s="1205"/>
    </row>
    <row r="121" spans="1:57" ht="15.75" customHeight="1">
      <c r="A121" s="1209"/>
      <c r="B121" s="2231" t="s">
        <v>2187</v>
      </c>
      <c r="C121" s="2232"/>
      <c r="D121" s="2232"/>
      <c r="E121" s="2232"/>
      <c r="F121" s="2232"/>
      <c r="G121" s="2232"/>
      <c r="H121" s="2232"/>
      <c r="I121" s="2232"/>
      <c r="J121" s="2232"/>
      <c r="K121" s="2232"/>
      <c r="L121" s="2232"/>
      <c r="M121" s="2232"/>
      <c r="N121" s="2232"/>
      <c r="O121" s="2232"/>
      <c r="P121" s="2232"/>
      <c r="Q121" s="2232"/>
      <c r="R121" s="2232"/>
      <c r="S121" s="2232"/>
      <c r="T121" s="2233"/>
      <c r="U121" s="1209"/>
      <c r="V121" s="1209"/>
      <c r="W121" s="1209"/>
      <c r="X121" s="1209"/>
      <c r="Y121" s="1209"/>
      <c r="Z121" s="1209"/>
      <c r="AA121" s="1209"/>
      <c r="AB121" s="1209"/>
      <c r="AC121" s="1209"/>
      <c r="AD121" s="1209"/>
      <c r="AE121" s="1209"/>
      <c r="AF121" s="1209"/>
      <c r="AG121" s="1209"/>
      <c r="AH121" s="1209"/>
      <c r="AI121" s="1209"/>
      <c r="AJ121" s="1209"/>
      <c r="AK121" s="1209"/>
      <c r="AL121" s="1209"/>
      <c r="AM121" s="1209"/>
      <c r="AN121" s="1209"/>
      <c r="AO121" s="1209"/>
      <c r="AP121" s="1209"/>
      <c r="AQ121" s="1209"/>
      <c r="AR121" s="1209"/>
      <c r="AS121" s="1209"/>
      <c r="AT121" s="1209"/>
      <c r="AU121" s="1209"/>
      <c r="AV121" s="1209"/>
      <c r="AW121" s="1209"/>
      <c r="AX121" s="1209"/>
      <c r="AY121" s="1209"/>
      <c r="AZ121" s="1209"/>
      <c r="BA121" s="1209"/>
      <c r="BB121" s="1209"/>
      <c r="BC121" s="1209"/>
      <c r="BD121" s="1209"/>
      <c r="BE121" s="1205"/>
    </row>
    <row r="122" spans="1:57" ht="15.75" customHeight="1" thickBot="1">
      <c r="A122" s="1209"/>
      <c r="B122" s="2234"/>
      <c r="C122" s="2235"/>
      <c r="D122" s="2235"/>
      <c r="E122" s="2235"/>
      <c r="F122" s="2235"/>
      <c r="G122" s="2235"/>
      <c r="H122" s="2235"/>
      <c r="I122" s="2235"/>
      <c r="J122" s="2235"/>
      <c r="K122" s="2235"/>
      <c r="L122" s="2235"/>
      <c r="M122" s="2235"/>
      <c r="N122" s="2235"/>
      <c r="O122" s="2235"/>
      <c r="P122" s="2235"/>
      <c r="Q122" s="2235"/>
      <c r="R122" s="2235"/>
      <c r="S122" s="2235"/>
      <c r="T122" s="2236"/>
      <c r="U122" s="1209"/>
      <c r="V122" s="1209"/>
      <c r="W122" s="1209"/>
      <c r="X122" s="1209"/>
      <c r="Y122" s="1209"/>
      <c r="Z122" s="1209"/>
      <c r="AA122" s="1209"/>
      <c r="AB122" s="1209"/>
      <c r="AC122" s="1209"/>
      <c r="AD122" s="1209"/>
      <c r="AE122" s="1209"/>
      <c r="AF122" s="1209"/>
      <c r="AG122" s="1209"/>
      <c r="AH122" s="1209"/>
      <c r="AI122" s="1209"/>
      <c r="AJ122" s="1209"/>
      <c r="AK122" s="1209"/>
      <c r="AL122" s="1209"/>
      <c r="AM122" s="1209"/>
      <c r="AN122" s="1209"/>
      <c r="AO122" s="1209"/>
      <c r="AP122" s="1209"/>
      <c r="AQ122" s="1209"/>
      <c r="AR122" s="1209"/>
      <c r="AS122" s="1209"/>
      <c r="AT122" s="1209"/>
      <c r="AU122" s="1209"/>
      <c r="AV122" s="1209"/>
      <c r="AW122" s="1209"/>
      <c r="AX122" s="1209"/>
      <c r="AY122" s="1209"/>
      <c r="AZ122" s="1209"/>
      <c r="BA122" s="1209"/>
      <c r="BB122" s="1209"/>
      <c r="BC122" s="1209"/>
      <c r="BD122" s="1209"/>
      <c r="BE122" s="1205"/>
    </row>
    <row r="123" spans="1:57" ht="15.75" customHeight="1" thickBot="1">
      <c r="A123" s="1209"/>
      <c r="B123" s="1209"/>
      <c r="C123" s="1209"/>
      <c r="D123" s="1209"/>
      <c r="E123" s="1209"/>
      <c r="F123" s="1209"/>
      <c r="G123" s="1209"/>
      <c r="H123" s="1209"/>
      <c r="I123" s="1209"/>
      <c r="J123" s="1209"/>
      <c r="K123" s="1209"/>
      <c r="L123" s="1209"/>
      <c r="M123" s="1209"/>
      <c r="N123" s="1209"/>
      <c r="O123" s="1209"/>
      <c r="P123" s="1209"/>
      <c r="Q123" s="1209"/>
      <c r="R123" s="1209"/>
      <c r="S123" s="1209"/>
      <c r="T123" s="1209"/>
      <c r="U123" s="1209"/>
      <c r="V123" s="1209"/>
      <c r="W123" s="1209"/>
      <c r="X123" s="1209"/>
      <c r="Y123" s="1209"/>
      <c r="Z123" s="1209"/>
      <c r="AA123" s="1209"/>
      <c r="AB123" s="1209"/>
      <c r="AC123" s="1209"/>
      <c r="AD123" s="1209"/>
      <c r="AE123" s="1209"/>
      <c r="AF123" s="1209"/>
      <c r="AG123" s="1209"/>
      <c r="AH123" s="1209"/>
      <c r="AI123" s="1209"/>
      <c r="AJ123" s="1209"/>
      <c r="AK123" s="1209"/>
      <c r="AL123" s="1209"/>
      <c r="AM123" s="1209"/>
      <c r="AN123" s="1209"/>
      <c r="AO123" s="1209"/>
      <c r="AP123" s="1209"/>
      <c r="AQ123" s="1209"/>
      <c r="AR123" s="1209"/>
      <c r="AS123" s="1209"/>
      <c r="AT123" s="1209"/>
      <c r="AU123" s="1209"/>
      <c r="AV123" s="1209"/>
      <c r="AW123" s="1209"/>
      <c r="AX123" s="1209"/>
      <c r="AY123" s="1209"/>
      <c r="AZ123" s="1209"/>
      <c r="BA123" s="1209"/>
      <c r="BB123" s="1209"/>
      <c r="BC123" s="1209"/>
      <c r="BD123" s="1209"/>
      <c r="BE123" s="1205"/>
    </row>
    <row r="124" spans="1:57" ht="15.75" customHeight="1" thickBot="1">
      <c r="A124" s="1209"/>
      <c r="B124" s="1231" t="s">
        <v>1830</v>
      </c>
      <c r="C124" s="1229"/>
      <c r="D124" s="1229"/>
      <c r="E124" s="1229"/>
      <c r="F124" s="1229"/>
      <c r="G124" s="1229"/>
      <c r="H124" s="1229"/>
      <c r="I124" s="1229"/>
      <c r="J124" s="1229"/>
      <c r="K124" s="1229"/>
      <c r="L124" s="1229"/>
      <c r="M124" s="1229"/>
      <c r="N124" s="1229"/>
      <c r="O124" s="1229"/>
      <c r="P124" s="1229"/>
      <c r="Q124" s="1229"/>
      <c r="R124" s="1228"/>
      <c r="S124" s="1209"/>
      <c r="T124" s="1209"/>
      <c r="U124" s="1209"/>
      <c r="V124" s="1209"/>
      <c r="W124" s="1209"/>
      <c r="X124" s="1209"/>
      <c r="Y124" s="1209"/>
      <c r="Z124" s="1209"/>
      <c r="AA124" s="1209"/>
      <c r="AB124" s="1209"/>
      <c r="AC124" s="1209"/>
      <c r="AD124" s="1209"/>
      <c r="AE124" s="1209"/>
      <c r="AF124" s="1209"/>
      <c r="AG124" s="1209"/>
      <c r="AH124" s="1209"/>
      <c r="AI124" s="1209"/>
      <c r="AJ124" s="1209"/>
      <c r="AK124" s="1209"/>
      <c r="AL124" s="1209"/>
      <c r="AM124" s="1209"/>
      <c r="AN124" s="1209"/>
      <c r="AO124" s="1209"/>
      <c r="AP124" s="1209"/>
      <c r="AQ124" s="1209"/>
      <c r="AR124" s="1209"/>
      <c r="AS124" s="1209"/>
      <c r="AT124" s="1209"/>
      <c r="AU124" s="1209"/>
      <c r="AV124" s="1209"/>
      <c r="AW124" s="1209"/>
      <c r="AX124" s="1209"/>
      <c r="AY124" s="1209"/>
      <c r="AZ124" s="1209"/>
      <c r="BA124" s="1209"/>
      <c r="BB124" s="1209"/>
      <c r="BC124" s="1209"/>
      <c r="BD124" s="1209"/>
      <c r="BE124" s="1205"/>
    </row>
    <row r="125" spans="1:57" ht="15.75" customHeight="1" thickBot="1">
      <c r="A125" s="1209"/>
      <c r="B125" s="1209"/>
      <c r="C125" s="1209"/>
      <c r="D125" s="1209"/>
      <c r="E125" s="1209"/>
      <c r="F125" s="1209"/>
      <c r="G125" s="1209"/>
      <c r="H125" s="1209"/>
      <c r="I125" s="1209"/>
      <c r="J125" s="1209"/>
      <c r="K125" s="1209"/>
      <c r="L125" s="1209"/>
      <c r="M125" s="1209"/>
      <c r="N125" s="1209"/>
      <c r="O125" s="1209"/>
      <c r="P125" s="1234"/>
      <c r="Q125" s="1209"/>
      <c r="R125" s="1209"/>
      <c r="S125" s="1209"/>
      <c r="T125" s="1209"/>
      <c r="U125" s="1209"/>
      <c r="V125" s="1209"/>
      <c r="W125" s="1209"/>
      <c r="X125" s="2258" t="s">
        <v>2171</v>
      </c>
      <c r="Y125" s="2259"/>
      <c r="Z125" s="2259"/>
      <c r="AA125" s="2259"/>
      <c r="AB125" s="2259"/>
      <c r="AC125" s="2259"/>
      <c r="AD125" s="2259"/>
      <c r="AE125" s="2259"/>
      <c r="AF125" s="2259"/>
      <c r="AG125" s="2259"/>
      <c r="AH125" s="2259"/>
      <c r="AI125" s="2259"/>
      <c r="AJ125" s="2259"/>
      <c r="AK125" s="2259"/>
      <c r="AL125" s="2259"/>
      <c r="AM125" s="2259"/>
      <c r="AN125" s="2259"/>
      <c r="AO125" s="2259"/>
      <c r="AP125" s="2259"/>
      <c r="AQ125" s="2259"/>
      <c r="AR125" s="2259"/>
      <c r="AS125" s="2259"/>
      <c r="AT125" s="2259"/>
      <c r="AU125" s="2259"/>
      <c r="AV125" s="2259"/>
      <c r="AW125" s="2259"/>
      <c r="AX125" s="2259"/>
      <c r="AY125" s="2259"/>
      <c r="AZ125" s="2259"/>
      <c r="BA125" s="2259"/>
      <c r="BB125" s="2259"/>
      <c r="BC125" s="2259"/>
      <c r="BD125" s="2420"/>
      <c r="BE125" s="1205"/>
    </row>
    <row r="126" spans="1:57" ht="15.75" customHeight="1">
      <c r="A126" s="1209"/>
      <c r="B126" s="2422" t="s">
        <v>1686</v>
      </c>
      <c r="C126" s="2423"/>
      <c r="D126" s="2423"/>
      <c r="E126" s="2423"/>
      <c r="F126" s="2423"/>
      <c r="G126" s="2423"/>
      <c r="H126" s="2423"/>
      <c r="I126" s="2423"/>
      <c r="J126" s="2423"/>
      <c r="K126" s="2423"/>
      <c r="L126" s="2423"/>
      <c r="M126" s="2423"/>
      <c r="N126" s="2423"/>
      <c r="O126" s="2423"/>
      <c r="P126" s="2423"/>
      <c r="Q126" s="2423"/>
      <c r="R126" s="2423"/>
      <c r="S126" s="2423"/>
      <c r="T126" s="2423"/>
      <c r="U126" s="2424"/>
      <c r="V126" s="1209"/>
      <c r="W126" s="1209"/>
      <c r="X126" s="2260"/>
      <c r="Y126" s="2261"/>
      <c r="Z126" s="2261"/>
      <c r="AA126" s="2261"/>
      <c r="AB126" s="2261"/>
      <c r="AC126" s="2261"/>
      <c r="AD126" s="2261"/>
      <c r="AE126" s="2261"/>
      <c r="AF126" s="2261"/>
      <c r="AG126" s="2261"/>
      <c r="AH126" s="2261"/>
      <c r="AI126" s="2261"/>
      <c r="AJ126" s="2261"/>
      <c r="AK126" s="2261"/>
      <c r="AL126" s="2261"/>
      <c r="AM126" s="2261"/>
      <c r="AN126" s="2261"/>
      <c r="AO126" s="2261"/>
      <c r="AP126" s="2261"/>
      <c r="AQ126" s="2261"/>
      <c r="AR126" s="2261"/>
      <c r="AS126" s="2261"/>
      <c r="AT126" s="2261"/>
      <c r="AU126" s="2261"/>
      <c r="AV126" s="2261"/>
      <c r="AW126" s="2261"/>
      <c r="AX126" s="2261"/>
      <c r="AY126" s="2261"/>
      <c r="AZ126" s="2261"/>
      <c r="BA126" s="2261"/>
      <c r="BB126" s="2261"/>
      <c r="BC126" s="2261"/>
      <c r="BD126" s="2421"/>
      <c r="BE126" s="1205"/>
    </row>
    <row r="127" spans="1:57" ht="15.75" customHeight="1">
      <c r="A127" s="1209"/>
      <c r="B127" s="2425"/>
      <c r="C127" s="2426"/>
      <c r="D127" s="2426"/>
      <c r="E127" s="2426"/>
      <c r="F127" s="2426"/>
      <c r="G127" s="2426"/>
      <c r="H127" s="2426"/>
      <c r="I127" s="2218" t="s">
        <v>2172</v>
      </c>
      <c r="J127" s="2218"/>
      <c r="K127" s="2218"/>
      <c r="L127" s="2218"/>
      <c r="M127" s="2218"/>
      <c r="N127" s="2218"/>
      <c r="O127" s="2427" t="s">
        <v>2173</v>
      </c>
      <c r="P127" s="2427"/>
      <c r="Q127" s="2427"/>
      <c r="R127" s="2427"/>
      <c r="S127" s="2427"/>
      <c r="T127" s="2427"/>
      <c r="U127" s="2428"/>
      <c r="V127" s="1209"/>
      <c r="W127" s="1209"/>
      <c r="X127" s="2405" t="s">
        <v>2185</v>
      </c>
      <c r="Y127" s="2406"/>
      <c r="Z127" s="2406"/>
      <c r="AA127" s="2406"/>
      <c r="AB127" s="2406"/>
      <c r="AC127" s="2406"/>
      <c r="AD127" s="2406"/>
      <c r="AE127" s="2406"/>
      <c r="AF127" s="2406"/>
      <c r="AG127" s="2406"/>
      <c r="AH127" s="2406"/>
      <c r="AI127" s="2406"/>
      <c r="AJ127" s="2406"/>
      <c r="AK127" s="2406"/>
      <c r="AL127" s="2406"/>
      <c r="AM127" s="2406"/>
      <c r="AN127" s="2406"/>
      <c r="AO127" s="2406"/>
      <c r="AP127" s="2406"/>
      <c r="AQ127" s="2406"/>
      <c r="AR127" s="2406"/>
      <c r="AS127" s="2406"/>
      <c r="AT127" s="2406"/>
      <c r="AU127" s="2406"/>
      <c r="AV127" s="2406"/>
      <c r="AW127" s="2406"/>
      <c r="AX127" s="2406"/>
      <c r="AY127" s="2406"/>
      <c r="AZ127" s="2406"/>
      <c r="BA127" s="2406"/>
      <c r="BB127" s="2406"/>
      <c r="BC127" s="2406"/>
      <c r="BD127" s="2407"/>
      <c r="BE127" s="1205"/>
    </row>
    <row r="128" spans="1:57" ht="15.75" customHeight="1">
      <c r="A128" s="1209"/>
      <c r="B128" s="2431" t="s">
        <v>2174</v>
      </c>
      <c r="C128" s="2432"/>
      <c r="D128" s="2432"/>
      <c r="E128" s="2432"/>
      <c r="F128" s="2432"/>
      <c r="G128" s="2432"/>
      <c r="H128" s="2432"/>
      <c r="I128" s="2219">
        <v>0</v>
      </c>
      <c r="J128" s="2219"/>
      <c r="K128" s="2219"/>
      <c r="L128" s="2219"/>
      <c r="M128" s="2219"/>
      <c r="N128" s="2219"/>
      <c r="O128" s="2219">
        <v>0</v>
      </c>
      <c r="P128" s="2219"/>
      <c r="Q128" s="2219"/>
      <c r="R128" s="2219"/>
      <c r="S128" s="2219"/>
      <c r="T128" s="2219"/>
      <c r="U128" s="2225"/>
      <c r="V128" s="1209"/>
      <c r="W128" s="1209"/>
      <c r="X128" s="2405"/>
      <c r="Y128" s="2406"/>
      <c r="Z128" s="2406"/>
      <c r="AA128" s="2406"/>
      <c r="AB128" s="2406"/>
      <c r="AC128" s="2406"/>
      <c r="AD128" s="2406"/>
      <c r="AE128" s="2406"/>
      <c r="AF128" s="2406"/>
      <c r="AG128" s="2406"/>
      <c r="AH128" s="2406"/>
      <c r="AI128" s="2406"/>
      <c r="AJ128" s="2406"/>
      <c r="AK128" s="2406"/>
      <c r="AL128" s="2406"/>
      <c r="AM128" s="2406"/>
      <c r="AN128" s="2406"/>
      <c r="AO128" s="2406"/>
      <c r="AP128" s="2406"/>
      <c r="AQ128" s="2406"/>
      <c r="AR128" s="2406"/>
      <c r="AS128" s="2406"/>
      <c r="AT128" s="2406"/>
      <c r="AU128" s="2406"/>
      <c r="AV128" s="2406"/>
      <c r="AW128" s="2406"/>
      <c r="AX128" s="2406"/>
      <c r="AY128" s="2406"/>
      <c r="AZ128" s="2406"/>
      <c r="BA128" s="2406"/>
      <c r="BB128" s="2406"/>
      <c r="BC128" s="2406"/>
      <c r="BD128" s="2407"/>
      <c r="BE128" s="1205"/>
    </row>
    <row r="129" spans="1:57" ht="15.75" customHeight="1" thickBot="1">
      <c r="A129" s="1209"/>
      <c r="B129" s="2433" t="s">
        <v>2175</v>
      </c>
      <c r="C129" s="2434"/>
      <c r="D129" s="2434"/>
      <c r="E129" s="2434"/>
      <c r="F129" s="2434"/>
      <c r="G129" s="2434"/>
      <c r="H129" s="2434"/>
      <c r="I129" s="2239">
        <v>0</v>
      </c>
      <c r="J129" s="2239"/>
      <c r="K129" s="2239"/>
      <c r="L129" s="2239"/>
      <c r="M129" s="2239"/>
      <c r="N129" s="2239"/>
      <c r="O129" s="2429"/>
      <c r="P129" s="2429"/>
      <c r="Q129" s="2429"/>
      <c r="R129" s="2429"/>
      <c r="S129" s="2429"/>
      <c r="T129" s="2429"/>
      <c r="U129" s="2430"/>
      <c r="V129" s="1209"/>
      <c r="W129" s="1209"/>
      <c r="X129" s="2405"/>
      <c r="Y129" s="2406"/>
      <c r="Z129" s="2406"/>
      <c r="AA129" s="2406"/>
      <c r="AB129" s="2406"/>
      <c r="AC129" s="2406"/>
      <c r="AD129" s="2406"/>
      <c r="AE129" s="2406"/>
      <c r="AF129" s="2406"/>
      <c r="AG129" s="2406"/>
      <c r="AH129" s="2406"/>
      <c r="AI129" s="2406"/>
      <c r="AJ129" s="2406"/>
      <c r="AK129" s="2406"/>
      <c r="AL129" s="2406"/>
      <c r="AM129" s="2406"/>
      <c r="AN129" s="2406"/>
      <c r="AO129" s="2406"/>
      <c r="AP129" s="2406"/>
      <c r="AQ129" s="2406"/>
      <c r="AR129" s="2406"/>
      <c r="AS129" s="2406"/>
      <c r="AT129" s="2406"/>
      <c r="AU129" s="2406"/>
      <c r="AV129" s="2406"/>
      <c r="AW129" s="2406"/>
      <c r="AX129" s="2406"/>
      <c r="AY129" s="2406"/>
      <c r="AZ129" s="2406"/>
      <c r="BA129" s="2406"/>
      <c r="BB129" s="2406"/>
      <c r="BC129" s="2406"/>
      <c r="BD129" s="2407"/>
      <c r="BE129" s="1205"/>
    </row>
    <row r="130" spans="1:57" ht="15.75" customHeight="1" thickBot="1">
      <c r="A130" s="1209"/>
      <c r="B130" s="1209"/>
      <c r="C130" s="1209"/>
      <c r="D130" s="1209"/>
      <c r="E130" s="1209"/>
      <c r="F130" s="1209"/>
      <c r="G130" s="1209"/>
      <c r="H130" s="1209"/>
      <c r="I130" s="1209"/>
      <c r="J130" s="1209"/>
      <c r="K130" s="1209"/>
      <c r="L130" s="1209"/>
      <c r="M130" s="1209"/>
      <c r="N130" s="1209"/>
      <c r="O130" s="1209"/>
      <c r="P130" s="1209"/>
      <c r="Q130" s="1209"/>
      <c r="R130" s="1209"/>
      <c r="S130" s="1209"/>
      <c r="T130" s="1209"/>
      <c r="U130" s="1209"/>
      <c r="V130" s="1209"/>
      <c r="W130" s="1209"/>
      <c r="X130" s="2405"/>
      <c r="Y130" s="2406"/>
      <c r="Z130" s="2406"/>
      <c r="AA130" s="2406"/>
      <c r="AB130" s="2406"/>
      <c r="AC130" s="2406"/>
      <c r="AD130" s="2406"/>
      <c r="AE130" s="2406"/>
      <c r="AF130" s="2406"/>
      <c r="AG130" s="2406"/>
      <c r="AH130" s="2406"/>
      <c r="AI130" s="2406"/>
      <c r="AJ130" s="2406"/>
      <c r="AK130" s="2406"/>
      <c r="AL130" s="2406"/>
      <c r="AM130" s="2406"/>
      <c r="AN130" s="2406"/>
      <c r="AO130" s="2406"/>
      <c r="AP130" s="2406"/>
      <c r="AQ130" s="2406"/>
      <c r="AR130" s="2406"/>
      <c r="AS130" s="2406"/>
      <c r="AT130" s="2406"/>
      <c r="AU130" s="2406"/>
      <c r="AV130" s="2406"/>
      <c r="AW130" s="2406"/>
      <c r="AX130" s="2406"/>
      <c r="AY130" s="2406"/>
      <c r="AZ130" s="2406"/>
      <c r="BA130" s="2406"/>
      <c r="BB130" s="2406"/>
      <c r="BC130" s="2406"/>
      <c r="BD130" s="2407"/>
      <c r="BE130" s="1205"/>
    </row>
    <row r="131" spans="1:57" ht="15.75" customHeight="1" thickBot="1">
      <c r="A131" s="1209"/>
      <c r="B131" s="1231" t="s">
        <v>1831</v>
      </c>
      <c r="C131" s="1230"/>
      <c r="D131" s="1230"/>
      <c r="E131" s="1230"/>
      <c r="F131" s="1230"/>
      <c r="G131" s="1230"/>
      <c r="H131" s="1230"/>
      <c r="I131" s="1230"/>
      <c r="J131" s="1230"/>
      <c r="K131" s="1230"/>
      <c r="L131" s="1230"/>
      <c r="M131" s="1230"/>
      <c r="N131" s="1230"/>
      <c r="O131" s="1230"/>
      <c r="P131" s="1232"/>
      <c r="Q131" s="1220" t="s">
        <v>250</v>
      </c>
      <c r="R131" s="1220" t="s">
        <v>250</v>
      </c>
      <c r="S131" s="1209"/>
      <c r="T131" s="1209"/>
      <c r="U131" s="1209"/>
      <c r="V131" s="1209" t="s">
        <v>250</v>
      </c>
      <c r="W131" s="1209"/>
      <c r="X131" s="2405"/>
      <c r="Y131" s="2406"/>
      <c r="Z131" s="2406"/>
      <c r="AA131" s="2406"/>
      <c r="AB131" s="2406"/>
      <c r="AC131" s="2406"/>
      <c r="AD131" s="2406"/>
      <c r="AE131" s="2406"/>
      <c r="AF131" s="2406"/>
      <c r="AG131" s="2406"/>
      <c r="AH131" s="2406"/>
      <c r="AI131" s="2406"/>
      <c r="AJ131" s="2406"/>
      <c r="AK131" s="2406"/>
      <c r="AL131" s="2406"/>
      <c r="AM131" s="2406"/>
      <c r="AN131" s="2406"/>
      <c r="AO131" s="2406"/>
      <c r="AP131" s="2406"/>
      <c r="AQ131" s="2406"/>
      <c r="AR131" s="2406"/>
      <c r="AS131" s="2406"/>
      <c r="AT131" s="2406"/>
      <c r="AU131" s="2406"/>
      <c r="AV131" s="2406"/>
      <c r="AW131" s="2406"/>
      <c r="AX131" s="2406"/>
      <c r="AY131" s="2406"/>
      <c r="AZ131" s="2406"/>
      <c r="BA131" s="2406"/>
      <c r="BB131" s="2406"/>
      <c r="BC131" s="2406"/>
      <c r="BD131" s="2407"/>
      <c r="BE131" s="1205"/>
    </row>
    <row r="132" spans="1:57" ht="15.75" customHeight="1" thickBot="1">
      <c r="A132" s="1209"/>
      <c r="B132" s="1209"/>
      <c r="C132" s="1209"/>
      <c r="D132" s="1209"/>
      <c r="E132" s="1209"/>
      <c r="F132" s="1209"/>
      <c r="G132" s="1209"/>
      <c r="H132" s="1209"/>
      <c r="I132" s="1209"/>
      <c r="J132" s="1209"/>
      <c r="K132" s="1209"/>
      <c r="L132" s="1209"/>
      <c r="M132" s="1209"/>
      <c r="N132" s="1209"/>
      <c r="O132" s="1209"/>
      <c r="P132" s="1209"/>
      <c r="Q132" s="1209"/>
      <c r="R132" s="1209"/>
      <c r="S132" s="1209"/>
      <c r="T132" s="1209"/>
      <c r="U132" s="1209"/>
      <c r="V132" s="1209"/>
      <c r="W132" s="1209"/>
      <c r="X132" s="2405"/>
      <c r="Y132" s="2406"/>
      <c r="Z132" s="2406"/>
      <c r="AA132" s="2406"/>
      <c r="AB132" s="2406"/>
      <c r="AC132" s="2406"/>
      <c r="AD132" s="2406"/>
      <c r="AE132" s="2406"/>
      <c r="AF132" s="2406"/>
      <c r="AG132" s="2406"/>
      <c r="AH132" s="2406"/>
      <c r="AI132" s="2406"/>
      <c r="AJ132" s="2406"/>
      <c r="AK132" s="2406"/>
      <c r="AL132" s="2406"/>
      <c r="AM132" s="2406"/>
      <c r="AN132" s="2406"/>
      <c r="AO132" s="2406"/>
      <c r="AP132" s="2406"/>
      <c r="AQ132" s="2406"/>
      <c r="AR132" s="2406"/>
      <c r="AS132" s="2406"/>
      <c r="AT132" s="2406"/>
      <c r="AU132" s="2406"/>
      <c r="AV132" s="2406"/>
      <c r="AW132" s="2406"/>
      <c r="AX132" s="2406"/>
      <c r="AY132" s="2406"/>
      <c r="AZ132" s="2406"/>
      <c r="BA132" s="2406"/>
      <c r="BB132" s="2406"/>
      <c r="BC132" s="2406"/>
      <c r="BD132" s="2407"/>
      <c r="BE132" s="1205"/>
    </row>
    <row r="133" spans="1:57" ht="15.75" customHeight="1">
      <c r="A133" s="1209"/>
      <c r="B133" s="2284" t="s">
        <v>1832</v>
      </c>
      <c r="C133" s="2285"/>
      <c r="D133" s="2285"/>
      <c r="E133" s="2285"/>
      <c r="F133" s="2285"/>
      <c r="G133" s="2285"/>
      <c r="H133" s="2285"/>
      <c r="I133" s="2285"/>
      <c r="J133" s="2285"/>
      <c r="K133" s="2285"/>
      <c r="L133" s="2285"/>
      <c r="M133" s="2285"/>
      <c r="N133" s="2285"/>
      <c r="O133" s="2285"/>
      <c r="P133" s="2285"/>
      <c r="Q133" s="2285"/>
      <c r="R133" s="2285"/>
      <c r="S133" s="2285"/>
      <c r="T133" s="2285"/>
      <c r="U133" s="2286"/>
      <c r="V133" s="1209"/>
      <c r="W133" s="1209"/>
      <c r="X133" s="2405"/>
      <c r="Y133" s="2406"/>
      <c r="Z133" s="2406"/>
      <c r="AA133" s="2406"/>
      <c r="AB133" s="2406"/>
      <c r="AC133" s="2406"/>
      <c r="AD133" s="2406"/>
      <c r="AE133" s="2406"/>
      <c r="AF133" s="2406"/>
      <c r="AG133" s="2406"/>
      <c r="AH133" s="2406"/>
      <c r="AI133" s="2406"/>
      <c r="AJ133" s="2406"/>
      <c r="AK133" s="2406"/>
      <c r="AL133" s="2406"/>
      <c r="AM133" s="2406"/>
      <c r="AN133" s="2406"/>
      <c r="AO133" s="2406"/>
      <c r="AP133" s="2406"/>
      <c r="AQ133" s="2406"/>
      <c r="AR133" s="2406"/>
      <c r="AS133" s="2406"/>
      <c r="AT133" s="2406"/>
      <c r="AU133" s="2406"/>
      <c r="AV133" s="2406"/>
      <c r="AW133" s="2406"/>
      <c r="AX133" s="2406"/>
      <c r="AY133" s="2406"/>
      <c r="AZ133" s="2406"/>
      <c r="BA133" s="2406"/>
      <c r="BB133" s="2406"/>
      <c r="BC133" s="2406"/>
      <c r="BD133" s="2407"/>
      <c r="BE133" s="1205"/>
    </row>
    <row r="134" spans="1:57" ht="15.75" customHeight="1">
      <c r="A134" s="1209"/>
      <c r="B134" s="2425"/>
      <c r="C134" s="2426"/>
      <c r="D134" s="2426"/>
      <c r="E134" s="2426"/>
      <c r="F134" s="2426"/>
      <c r="G134" s="2426"/>
      <c r="H134" s="2426"/>
      <c r="I134" s="2449" t="s">
        <v>1827</v>
      </c>
      <c r="J134" s="2449"/>
      <c r="K134" s="2449"/>
      <c r="L134" s="2449"/>
      <c r="M134" s="2449"/>
      <c r="N134" s="2449"/>
      <c r="O134" s="2449"/>
      <c r="P134" s="2449" t="s">
        <v>2186</v>
      </c>
      <c r="Q134" s="2449"/>
      <c r="R134" s="2449"/>
      <c r="S134" s="2449"/>
      <c r="T134" s="2449"/>
      <c r="U134" s="2450"/>
      <c r="V134" s="1209"/>
      <c r="W134" s="1209"/>
      <c r="X134" s="2405"/>
      <c r="Y134" s="2406"/>
      <c r="Z134" s="2406"/>
      <c r="AA134" s="2406"/>
      <c r="AB134" s="2406"/>
      <c r="AC134" s="2406"/>
      <c r="AD134" s="2406"/>
      <c r="AE134" s="2406"/>
      <c r="AF134" s="2406"/>
      <c r="AG134" s="2406"/>
      <c r="AH134" s="2406"/>
      <c r="AI134" s="2406"/>
      <c r="AJ134" s="2406"/>
      <c r="AK134" s="2406"/>
      <c r="AL134" s="2406"/>
      <c r="AM134" s="2406"/>
      <c r="AN134" s="2406"/>
      <c r="AO134" s="2406"/>
      <c r="AP134" s="2406"/>
      <c r="AQ134" s="2406"/>
      <c r="AR134" s="2406"/>
      <c r="AS134" s="2406"/>
      <c r="AT134" s="2406"/>
      <c r="AU134" s="2406"/>
      <c r="AV134" s="2406"/>
      <c r="AW134" s="2406"/>
      <c r="AX134" s="2406"/>
      <c r="AY134" s="2406"/>
      <c r="AZ134" s="2406"/>
      <c r="BA134" s="2406"/>
      <c r="BB134" s="2406"/>
      <c r="BC134" s="2406"/>
      <c r="BD134" s="2407"/>
      <c r="BE134" s="1205"/>
    </row>
    <row r="135" spans="1:57" ht="15.75" customHeight="1">
      <c r="A135" s="1209"/>
      <c r="B135" s="2425"/>
      <c r="C135" s="2426"/>
      <c r="D135" s="2426"/>
      <c r="E135" s="2426"/>
      <c r="F135" s="2426"/>
      <c r="G135" s="2426"/>
      <c r="H135" s="2426"/>
      <c r="I135" s="2449"/>
      <c r="J135" s="2449"/>
      <c r="K135" s="2449"/>
      <c r="L135" s="2449"/>
      <c r="M135" s="2449"/>
      <c r="N135" s="2449"/>
      <c r="O135" s="2449"/>
      <c r="P135" s="2449"/>
      <c r="Q135" s="2449"/>
      <c r="R135" s="2449"/>
      <c r="S135" s="2449"/>
      <c r="T135" s="2449"/>
      <c r="U135" s="2450"/>
      <c r="V135" s="1209"/>
      <c r="W135" s="1209"/>
      <c r="X135" s="2405"/>
      <c r="Y135" s="2406"/>
      <c r="Z135" s="2406"/>
      <c r="AA135" s="2406"/>
      <c r="AB135" s="2406"/>
      <c r="AC135" s="2406"/>
      <c r="AD135" s="2406"/>
      <c r="AE135" s="2406"/>
      <c r="AF135" s="2406"/>
      <c r="AG135" s="2406"/>
      <c r="AH135" s="2406"/>
      <c r="AI135" s="2406"/>
      <c r="AJ135" s="2406"/>
      <c r="AK135" s="2406"/>
      <c r="AL135" s="2406"/>
      <c r="AM135" s="2406"/>
      <c r="AN135" s="2406"/>
      <c r="AO135" s="2406"/>
      <c r="AP135" s="2406"/>
      <c r="AQ135" s="2406"/>
      <c r="AR135" s="2406"/>
      <c r="AS135" s="2406"/>
      <c r="AT135" s="2406"/>
      <c r="AU135" s="2406"/>
      <c r="AV135" s="2406"/>
      <c r="AW135" s="2406"/>
      <c r="AX135" s="2406"/>
      <c r="AY135" s="2406"/>
      <c r="AZ135" s="2406"/>
      <c r="BA135" s="2406"/>
      <c r="BB135" s="2406"/>
      <c r="BC135" s="2406"/>
      <c r="BD135" s="2407"/>
      <c r="BE135" s="1205"/>
    </row>
    <row r="136" spans="1:57" ht="15.75" customHeight="1">
      <c r="A136" s="1209"/>
      <c r="B136" s="2431" t="s">
        <v>2174</v>
      </c>
      <c r="C136" s="2432"/>
      <c r="D136" s="2432"/>
      <c r="E136" s="2432"/>
      <c r="F136" s="2432"/>
      <c r="G136" s="2432"/>
      <c r="H136" s="2432"/>
      <c r="I136" s="2219">
        <v>0</v>
      </c>
      <c r="J136" s="2219"/>
      <c r="K136" s="2219"/>
      <c r="L136" s="2219"/>
      <c r="M136" s="2219"/>
      <c r="N136" s="2219"/>
      <c r="O136" s="2219"/>
      <c r="P136" s="2219">
        <v>0</v>
      </c>
      <c r="Q136" s="2219"/>
      <c r="R136" s="2219"/>
      <c r="S136" s="2219"/>
      <c r="T136" s="2219"/>
      <c r="U136" s="2225"/>
      <c r="V136" s="1209"/>
      <c r="W136" s="1209"/>
      <c r="X136" s="2405"/>
      <c r="Y136" s="2406"/>
      <c r="Z136" s="2406"/>
      <c r="AA136" s="2406"/>
      <c r="AB136" s="2406"/>
      <c r="AC136" s="2406"/>
      <c r="AD136" s="2406"/>
      <c r="AE136" s="2406"/>
      <c r="AF136" s="2406"/>
      <c r="AG136" s="2406"/>
      <c r="AH136" s="2406"/>
      <c r="AI136" s="2406"/>
      <c r="AJ136" s="2406"/>
      <c r="AK136" s="2406"/>
      <c r="AL136" s="2406"/>
      <c r="AM136" s="2406"/>
      <c r="AN136" s="2406"/>
      <c r="AO136" s="2406"/>
      <c r="AP136" s="2406"/>
      <c r="AQ136" s="2406"/>
      <c r="AR136" s="2406"/>
      <c r="AS136" s="2406"/>
      <c r="AT136" s="2406"/>
      <c r="AU136" s="2406"/>
      <c r="AV136" s="2406"/>
      <c r="AW136" s="2406"/>
      <c r="AX136" s="2406"/>
      <c r="AY136" s="2406"/>
      <c r="AZ136" s="2406"/>
      <c r="BA136" s="2406"/>
      <c r="BB136" s="2406"/>
      <c r="BC136" s="2406"/>
      <c r="BD136" s="2407"/>
      <c r="BE136" s="1205"/>
    </row>
    <row r="137" spans="1:57" ht="15.75" customHeight="1" thickBot="1">
      <c r="A137" s="1209"/>
      <c r="B137" s="2433" t="s">
        <v>2175</v>
      </c>
      <c r="C137" s="2434"/>
      <c r="D137" s="2434"/>
      <c r="E137" s="2434"/>
      <c r="F137" s="2434"/>
      <c r="G137" s="2434"/>
      <c r="H137" s="2434"/>
      <c r="I137" s="2239">
        <v>0</v>
      </c>
      <c r="J137" s="2239"/>
      <c r="K137" s="2239"/>
      <c r="L137" s="2239"/>
      <c r="M137" s="2239"/>
      <c r="N137" s="2239"/>
      <c r="O137" s="2239"/>
      <c r="P137" s="2239">
        <v>0</v>
      </c>
      <c r="Q137" s="2239"/>
      <c r="R137" s="2239"/>
      <c r="S137" s="2239"/>
      <c r="T137" s="2239"/>
      <c r="U137" s="2240"/>
      <c r="V137" s="1209"/>
      <c r="W137" s="1209"/>
      <c r="X137" s="2408"/>
      <c r="Y137" s="2409"/>
      <c r="Z137" s="2409"/>
      <c r="AA137" s="2409"/>
      <c r="AB137" s="2409"/>
      <c r="AC137" s="2409"/>
      <c r="AD137" s="2409"/>
      <c r="AE137" s="2409"/>
      <c r="AF137" s="2409"/>
      <c r="AG137" s="2409"/>
      <c r="AH137" s="2409"/>
      <c r="AI137" s="2409"/>
      <c r="AJ137" s="2409"/>
      <c r="AK137" s="2409"/>
      <c r="AL137" s="2409"/>
      <c r="AM137" s="2409"/>
      <c r="AN137" s="2409"/>
      <c r="AO137" s="2409"/>
      <c r="AP137" s="2409"/>
      <c r="AQ137" s="2409"/>
      <c r="AR137" s="2409"/>
      <c r="AS137" s="2409"/>
      <c r="AT137" s="2409"/>
      <c r="AU137" s="2409"/>
      <c r="AV137" s="2409"/>
      <c r="AW137" s="2409"/>
      <c r="AX137" s="2409"/>
      <c r="AY137" s="2409"/>
      <c r="AZ137" s="2409"/>
      <c r="BA137" s="2409"/>
      <c r="BB137" s="2409"/>
      <c r="BC137" s="2409"/>
      <c r="BD137" s="2410"/>
      <c r="BE137" s="1205"/>
    </row>
    <row r="138" spans="1:57" ht="15.75" customHeight="1" thickBot="1">
      <c r="A138" s="1209"/>
      <c r="B138" s="1209"/>
      <c r="C138" s="1209"/>
      <c r="D138" s="1209"/>
      <c r="E138" s="1209"/>
      <c r="F138" s="1209"/>
      <c r="G138" s="1209"/>
      <c r="H138" s="1209"/>
      <c r="I138" s="1209"/>
      <c r="J138" s="1209"/>
      <c r="K138" s="1209"/>
      <c r="L138" s="1209"/>
      <c r="M138" s="1209"/>
      <c r="N138" s="1209"/>
      <c r="O138" s="1209"/>
      <c r="P138" s="1209"/>
      <c r="Q138" s="1233"/>
      <c r="R138" s="1209"/>
      <c r="S138" s="1209"/>
      <c r="T138" s="1209"/>
      <c r="U138" s="1209"/>
      <c r="V138" s="1209"/>
      <c r="W138" s="1209"/>
      <c r="X138" s="1209"/>
      <c r="Y138" s="1209"/>
      <c r="Z138" s="1209"/>
      <c r="AA138" s="1209"/>
      <c r="AB138" s="1209"/>
      <c r="AC138" s="1209"/>
      <c r="AD138" s="1209"/>
      <c r="AE138" s="1209"/>
      <c r="AF138" s="1209"/>
      <c r="AG138" s="1209"/>
      <c r="AH138" s="1209"/>
      <c r="AI138" s="1209"/>
      <c r="AJ138" s="1209"/>
      <c r="AK138" s="1209"/>
      <c r="AL138" s="1209"/>
      <c r="AM138" s="1209"/>
      <c r="AN138" s="1209"/>
      <c r="AO138" s="1209"/>
      <c r="AP138" s="1209"/>
      <c r="AQ138" s="1209"/>
      <c r="AR138" s="1209"/>
      <c r="AS138" s="1209"/>
      <c r="AT138" s="1209"/>
      <c r="AU138" s="1209"/>
      <c r="AV138" s="1209"/>
      <c r="AW138" s="1209"/>
      <c r="AX138" s="1209"/>
      <c r="AY138" s="1209"/>
      <c r="AZ138" s="1209"/>
      <c r="BA138" s="1209"/>
      <c r="BB138" s="1209"/>
      <c r="BC138" s="1209"/>
      <c r="BD138" s="1209"/>
      <c r="BE138" s="1205"/>
    </row>
    <row r="139" spans="1:57" ht="15.75" customHeight="1">
      <c r="A139" s="1209"/>
      <c r="B139" s="2435" t="s">
        <v>1833</v>
      </c>
      <c r="C139" s="2436"/>
      <c r="D139" s="2436"/>
      <c r="E139" s="2436"/>
      <c r="F139" s="2436"/>
      <c r="G139" s="2436"/>
      <c r="H139" s="2436"/>
      <c r="I139" s="2436"/>
      <c r="J139" s="2436"/>
      <c r="K139" s="2436"/>
      <c r="L139" s="2436"/>
      <c r="M139" s="2436"/>
      <c r="N139" s="2436"/>
      <c r="O139" s="2436"/>
      <c r="P139" s="2436"/>
      <c r="Q139" s="2436"/>
      <c r="R139" s="2436"/>
      <c r="S139" s="2436"/>
      <c r="T139" s="2436"/>
      <c r="U139" s="2436"/>
      <c r="V139" s="2436"/>
      <c r="W139" s="2436"/>
      <c r="X139" s="2436"/>
      <c r="Y139" s="2436"/>
      <c r="Z139" s="2436"/>
      <c r="AA139" s="2436"/>
      <c r="AB139" s="2436"/>
      <c r="AC139" s="2436"/>
      <c r="AD139" s="2436"/>
      <c r="AE139" s="2436"/>
      <c r="AF139" s="2436"/>
      <c r="AG139" s="2436"/>
      <c r="AH139" s="2437" t="s">
        <v>552</v>
      </c>
      <c r="AI139" s="2437"/>
      <c r="AJ139" s="2437"/>
      <c r="AK139" s="2437"/>
      <c r="AL139" s="2437"/>
      <c r="AM139" s="2437"/>
      <c r="AN139" s="2437"/>
      <c r="AO139" s="2437"/>
      <c r="AP139" s="2437"/>
      <c r="AQ139" s="2437"/>
      <c r="AR139" s="2437"/>
      <c r="AS139" s="2437"/>
      <c r="AT139" s="2437"/>
      <c r="AU139" s="2437"/>
      <c r="AV139" s="2437"/>
      <c r="AW139" s="2437"/>
      <c r="AX139" s="2438"/>
      <c r="AY139" s="1209"/>
      <c r="AZ139" s="1209"/>
      <c r="BA139" s="1209"/>
      <c r="BB139" s="1209"/>
      <c r="BC139" s="1209"/>
      <c r="BD139" s="1209"/>
      <c r="BE139" s="1205"/>
    </row>
    <row r="140" spans="1:57" ht="15.75" customHeight="1">
      <c r="A140" s="1209"/>
      <c r="B140" s="2439" t="s">
        <v>1834</v>
      </c>
      <c r="C140" s="2440"/>
      <c r="D140" s="2440"/>
      <c r="E140" s="2440"/>
      <c r="F140" s="2440"/>
      <c r="G140" s="2440"/>
      <c r="H140" s="2440"/>
      <c r="I140" s="2440"/>
      <c r="J140" s="2440"/>
      <c r="K140" s="2440"/>
      <c r="L140" s="2440"/>
      <c r="M140" s="2440"/>
      <c r="N140" s="2440"/>
      <c r="O140" s="2440"/>
      <c r="P140" s="2440"/>
      <c r="Q140" s="2440"/>
      <c r="R140" s="2441" t="s">
        <v>2188</v>
      </c>
      <c r="S140" s="2441"/>
      <c r="T140" s="2441"/>
      <c r="U140" s="2441"/>
      <c r="V140" s="2441"/>
      <c r="W140" s="2441"/>
      <c r="X140" s="2441"/>
      <c r="Y140" s="2441"/>
      <c r="Z140" s="2441"/>
      <c r="AA140" s="2441"/>
      <c r="AB140" s="2441"/>
      <c r="AC140" s="2441"/>
      <c r="AD140" s="2441"/>
      <c r="AE140" s="2441"/>
      <c r="AF140" s="2441"/>
      <c r="AG140" s="2441"/>
      <c r="AH140" s="2441"/>
      <c r="AI140" s="2441"/>
      <c r="AJ140" s="2441"/>
      <c r="AK140" s="2441"/>
      <c r="AL140" s="2441"/>
      <c r="AM140" s="2441"/>
      <c r="AN140" s="2441"/>
      <c r="AO140" s="2441"/>
      <c r="AP140" s="2441"/>
      <c r="AQ140" s="2441"/>
      <c r="AR140" s="2441"/>
      <c r="AS140" s="2441"/>
      <c r="AT140" s="2441"/>
      <c r="AU140" s="2441"/>
      <c r="AV140" s="2441"/>
      <c r="AW140" s="2441"/>
      <c r="AX140" s="2442"/>
      <c r="AY140" s="1209"/>
      <c r="AZ140" s="1209"/>
      <c r="BA140" s="1209"/>
      <c r="BB140" s="1209"/>
      <c r="BC140" s="1209" t="s">
        <v>250</v>
      </c>
      <c r="BD140" s="1209"/>
      <c r="BE140" s="1205"/>
    </row>
    <row r="141" spans="1:57" ht="15.75" customHeight="1">
      <c r="A141" s="1209"/>
      <c r="B141" s="2443" t="s">
        <v>2189</v>
      </c>
      <c r="C141" s="2444"/>
      <c r="D141" s="2444"/>
      <c r="E141" s="2444"/>
      <c r="F141" s="2444"/>
      <c r="G141" s="2444"/>
      <c r="H141" s="2444"/>
      <c r="I141" s="2444"/>
      <c r="J141" s="2444"/>
      <c r="K141" s="2444"/>
      <c r="L141" s="2444"/>
      <c r="M141" s="2444"/>
      <c r="N141" s="2444"/>
      <c r="O141" s="2444"/>
      <c r="P141" s="2444"/>
      <c r="Q141" s="2444"/>
      <c r="R141" s="2444"/>
      <c r="S141" s="2444"/>
      <c r="T141" s="2444"/>
      <c r="U141" s="2444"/>
      <c r="V141" s="2444"/>
      <c r="W141" s="2444"/>
      <c r="X141" s="2444"/>
      <c r="Y141" s="2444"/>
      <c r="Z141" s="2444"/>
      <c r="AA141" s="2444"/>
      <c r="AB141" s="2444"/>
      <c r="AC141" s="2444"/>
      <c r="AD141" s="2444"/>
      <c r="AE141" s="2444"/>
      <c r="AF141" s="2444"/>
      <c r="AG141" s="2444"/>
      <c r="AH141" s="2444"/>
      <c r="AI141" s="2444"/>
      <c r="AJ141" s="2444"/>
      <c r="AK141" s="2444"/>
      <c r="AL141" s="2444"/>
      <c r="AM141" s="2444"/>
      <c r="AN141" s="2444"/>
      <c r="AO141" s="2444"/>
      <c r="AP141" s="2444"/>
      <c r="AQ141" s="2444"/>
      <c r="AR141" s="2444"/>
      <c r="AS141" s="2444"/>
      <c r="AT141" s="2444"/>
      <c r="AU141" s="2444"/>
      <c r="AV141" s="2444"/>
      <c r="AW141" s="2444"/>
      <c r="AX141" s="2445"/>
      <c r="AY141" s="1209"/>
      <c r="AZ141" s="1209"/>
      <c r="BA141" s="1209"/>
      <c r="BB141" s="1209"/>
      <c r="BC141" s="1209"/>
      <c r="BD141" s="1209"/>
      <c r="BE141" s="1205"/>
    </row>
    <row r="142" spans="1:57" ht="15.75" customHeight="1">
      <c r="A142" s="1209"/>
      <c r="B142" s="2443"/>
      <c r="C142" s="2444"/>
      <c r="D142" s="2444"/>
      <c r="E142" s="2444"/>
      <c r="F142" s="2444"/>
      <c r="G142" s="2444"/>
      <c r="H142" s="2444"/>
      <c r="I142" s="2444"/>
      <c r="J142" s="2444"/>
      <c r="K142" s="2444"/>
      <c r="L142" s="2444"/>
      <c r="M142" s="2444"/>
      <c r="N142" s="2444"/>
      <c r="O142" s="2444"/>
      <c r="P142" s="2444"/>
      <c r="Q142" s="2444"/>
      <c r="R142" s="2444"/>
      <c r="S142" s="2444"/>
      <c r="T142" s="2444"/>
      <c r="U142" s="2444"/>
      <c r="V142" s="2444"/>
      <c r="W142" s="2444"/>
      <c r="X142" s="2444"/>
      <c r="Y142" s="2444"/>
      <c r="Z142" s="2444"/>
      <c r="AA142" s="2444"/>
      <c r="AB142" s="2444"/>
      <c r="AC142" s="2444"/>
      <c r="AD142" s="2444"/>
      <c r="AE142" s="2444"/>
      <c r="AF142" s="2444"/>
      <c r="AG142" s="2444"/>
      <c r="AH142" s="2444"/>
      <c r="AI142" s="2444"/>
      <c r="AJ142" s="2444"/>
      <c r="AK142" s="2444"/>
      <c r="AL142" s="2444"/>
      <c r="AM142" s="2444"/>
      <c r="AN142" s="2444"/>
      <c r="AO142" s="2444"/>
      <c r="AP142" s="2444"/>
      <c r="AQ142" s="2444"/>
      <c r="AR142" s="2444"/>
      <c r="AS142" s="2444"/>
      <c r="AT142" s="2444"/>
      <c r="AU142" s="2444"/>
      <c r="AV142" s="2444"/>
      <c r="AW142" s="2444"/>
      <c r="AX142" s="2445"/>
      <c r="AY142" s="1209"/>
      <c r="AZ142" s="1209"/>
      <c r="BA142" s="1209"/>
      <c r="BB142" s="1209"/>
      <c r="BC142" s="1209"/>
      <c r="BD142" s="1209"/>
      <c r="BE142" s="1205"/>
    </row>
    <row r="143" spans="1:57" ht="15.75" customHeight="1">
      <c r="A143" s="1209"/>
      <c r="B143" s="2443"/>
      <c r="C143" s="2444"/>
      <c r="D143" s="2444"/>
      <c r="E143" s="2444"/>
      <c r="F143" s="2444"/>
      <c r="G143" s="2444"/>
      <c r="H143" s="2444"/>
      <c r="I143" s="2444"/>
      <c r="J143" s="2444"/>
      <c r="K143" s="2444"/>
      <c r="L143" s="2444"/>
      <c r="M143" s="2444"/>
      <c r="N143" s="2444"/>
      <c r="O143" s="2444"/>
      <c r="P143" s="2444"/>
      <c r="Q143" s="2444"/>
      <c r="R143" s="2444"/>
      <c r="S143" s="2444"/>
      <c r="T143" s="2444"/>
      <c r="U143" s="2444"/>
      <c r="V143" s="2444"/>
      <c r="W143" s="2444"/>
      <c r="X143" s="2444"/>
      <c r="Y143" s="2444"/>
      <c r="Z143" s="2444"/>
      <c r="AA143" s="2444"/>
      <c r="AB143" s="2444"/>
      <c r="AC143" s="2444"/>
      <c r="AD143" s="2444"/>
      <c r="AE143" s="2444"/>
      <c r="AF143" s="2444"/>
      <c r="AG143" s="2444"/>
      <c r="AH143" s="2444"/>
      <c r="AI143" s="2444"/>
      <c r="AJ143" s="2444"/>
      <c r="AK143" s="2444"/>
      <c r="AL143" s="2444"/>
      <c r="AM143" s="2444"/>
      <c r="AN143" s="2444"/>
      <c r="AO143" s="2444"/>
      <c r="AP143" s="2444"/>
      <c r="AQ143" s="2444"/>
      <c r="AR143" s="2444"/>
      <c r="AS143" s="2444"/>
      <c r="AT143" s="2444"/>
      <c r="AU143" s="2444"/>
      <c r="AV143" s="2444"/>
      <c r="AW143" s="2444"/>
      <c r="AX143" s="2445"/>
      <c r="AY143" s="1209"/>
      <c r="AZ143" s="1209"/>
      <c r="BA143" s="1209"/>
      <c r="BB143" s="1209"/>
      <c r="BC143" s="1209"/>
      <c r="BD143" s="1209"/>
      <c r="BE143" s="1205"/>
    </row>
    <row r="144" spans="1:57" ht="15.75" customHeight="1">
      <c r="A144" s="1209"/>
      <c r="B144" s="2443"/>
      <c r="C144" s="2444"/>
      <c r="D144" s="2444"/>
      <c r="E144" s="2444"/>
      <c r="F144" s="2444"/>
      <c r="G144" s="2444"/>
      <c r="H144" s="2444"/>
      <c r="I144" s="2444"/>
      <c r="J144" s="2444"/>
      <c r="K144" s="2444"/>
      <c r="L144" s="2444"/>
      <c r="M144" s="2444"/>
      <c r="N144" s="2444"/>
      <c r="O144" s="2444"/>
      <c r="P144" s="2444"/>
      <c r="Q144" s="2444"/>
      <c r="R144" s="2444"/>
      <c r="S144" s="2444"/>
      <c r="T144" s="2444"/>
      <c r="U144" s="2444"/>
      <c r="V144" s="2444"/>
      <c r="W144" s="2444"/>
      <c r="X144" s="2444"/>
      <c r="Y144" s="2444"/>
      <c r="Z144" s="2444"/>
      <c r="AA144" s="2444"/>
      <c r="AB144" s="2444"/>
      <c r="AC144" s="2444"/>
      <c r="AD144" s="2444"/>
      <c r="AE144" s="2444"/>
      <c r="AF144" s="2444"/>
      <c r="AG144" s="2444"/>
      <c r="AH144" s="2444"/>
      <c r="AI144" s="2444"/>
      <c r="AJ144" s="2444"/>
      <c r="AK144" s="2444"/>
      <c r="AL144" s="2444"/>
      <c r="AM144" s="2444"/>
      <c r="AN144" s="2444"/>
      <c r="AO144" s="2444"/>
      <c r="AP144" s="2444"/>
      <c r="AQ144" s="2444"/>
      <c r="AR144" s="2444"/>
      <c r="AS144" s="2444"/>
      <c r="AT144" s="2444"/>
      <c r="AU144" s="2444"/>
      <c r="AV144" s="2444"/>
      <c r="AW144" s="2444"/>
      <c r="AX144" s="2445"/>
      <c r="AY144" s="1209"/>
      <c r="AZ144" s="1209"/>
      <c r="BA144" s="1209"/>
      <c r="BB144" s="1209"/>
      <c r="BC144" s="1209"/>
      <c r="BD144" s="1209"/>
      <c r="BE144" s="1205"/>
    </row>
    <row r="145" spans="1:57" ht="15.75" customHeight="1">
      <c r="A145" s="1209"/>
      <c r="B145" s="2443"/>
      <c r="C145" s="2444"/>
      <c r="D145" s="2444"/>
      <c r="E145" s="2444"/>
      <c r="F145" s="2444"/>
      <c r="G145" s="2444"/>
      <c r="H145" s="2444"/>
      <c r="I145" s="2444"/>
      <c r="J145" s="2444"/>
      <c r="K145" s="2444"/>
      <c r="L145" s="2444"/>
      <c r="M145" s="2444"/>
      <c r="N145" s="2444"/>
      <c r="O145" s="2444"/>
      <c r="P145" s="2444"/>
      <c r="Q145" s="2444"/>
      <c r="R145" s="2444"/>
      <c r="S145" s="2444"/>
      <c r="T145" s="2444"/>
      <c r="U145" s="2444"/>
      <c r="V145" s="2444"/>
      <c r="W145" s="2444"/>
      <c r="X145" s="2444"/>
      <c r="Y145" s="2444"/>
      <c r="Z145" s="2444"/>
      <c r="AA145" s="2444"/>
      <c r="AB145" s="2444"/>
      <c r="AC145" s="2444"/>
      <c r="AD145" s="2444"/>
      <c r="AE145" s="2444"/>
      <c r="AF145" s="2444"/>
      <c r="AG145" s="2444"/>
      <c r="AH145" s="2444"/>
      <c r="AI145" s="2444"/>
      <c r="AJ145" s="2444"/>
      <c r="AK145" s="2444"/>
      <c r="AL145" s="2444"/>
      <c r="AM145" s="2444"/>
      <c r="AN145" s="2444"/>
      <c r="AO145" s="2444"/>
      <c r="AP145" s="2444"/>
      <c r="AQ145" s="2444"/>
      <c r="AR145" s="2444"/>
      <c r="AS145" s="2444"/>
      <c r="AT145" s="2444"/>
      <c r="AU145" s="2444"/>
      <c r="AV145" s="2444"/>
      <c r="AW145" s="2444"/>
      <c r="AX145" s="2445"/>
      <c r="AY145" s="1209"/>
      <c r="AZ145" s="1209"/>
      <c r="BA145" s="1209"/>
      <c r="BB145" s="1209"/>
      <c r="BC145" s="1209"/>
      <c r="BD145" s="1209"/>
      <c r="BE145" s="1205"/>
    </row>
    <row r="146" spans="1:57" ht="15.75" customHeight="1">
      <c r="A146" s="1209"/>
      <c r="B146" s="2443"/>
      <c r="C146" s="2444"/>
      <c r="D146" s="2444"/>
      <c r="E146" s="2444"/>
      <c r="F146" s="2444"/>
      <c r="G146" s="2444"/>
      <c r="H146" s="2444"/>
      <c r="I146" s="2444"/>
      <c r="J146" s="2444"/>
      <c r="K146" s="2444"/>
      <c r="L146" s="2444"/>
      <c r="M146" s="2444"/>
      <c r="N146" s="2444"/>
      <c r="O146" s="2444"/>
      <c r="P146" s="2444"/>
      <c r="Q146" s="2444"/>
      <c r="R146" s="2444"/>
      <c r="S146" s="2444"/>
      <c r="T146" s="2444"/>
      <c r="U146" s="2444"/>
      <c r="V146" s="2444"/>
      <c r="W146" s="2444"/>
      <c r="X146" s="2444"/>
      <c r="Y146" s="2444"/>
      <c r="Z146" s="2444"/>
      <c r="AA146" s="2444"/>
      <c r="AB146" s="2444"/>
      <c r="AC146" s="2444"/>
      <c r="AD146" s="2444"/>
      <c r="AE146" s="2444"/>
      <c r="AF146" s="2444"/>
      <c r="AG146" s="2444"/>
      <c r="AH146" s="2444"/>
      <c r="AI146" s="2444"/>
      <c r="AJ146" s="2444"/>
      <c r="AK146" s="2444"/>
      <c r="AL146" s="2444"/>
      <c r="AM146" s="2444"/>
      <c r="AN146" s="2444"/>
      <c r="AO146" s="2444"/>
      <c r="AP146" s="2444"/>
      <c r="AQ146" s="2444"/>
      <c r="AR146" s="2444"/>
      <c r="AS146" s="2444"/>
      <c r="AT146" s="2444"/>
      <c r="AU146" s="2444"/>
      <c r="AV146" s="2444"/>
      <c r="AW146" s="2444"/>
      <c r="AX146" s="2445"/>
      <c r="AY146" s="1209"/>
      <c r="AZ146" s="1209"/>
      <c r="BA146" s="1209"/>
      <c r="BB146" s="1209"/>
      <c r="BC146" s="1209"/>
      <c r="BD146" s="1209"/>
      <c r="BE146" s="1205"/>
    </row>
    <row r="147" spans="1:57" ht="15.75" customHeight="1">
      <c r="A147" s="1209"/>
      <c r="B147" s="2443"/>
      <c r="C147" s="2444"/>
      <c r="D147" s="2444"/>
      <c r="E147" s="2444"/>
      <c r="F147" s="2444"/>
      <c r="G147" s="2444"/>
      <c r="H147" s="2444"/>
      <c r="I147" s="2444"/>
      <c r="J147" s="2444"/>
      <c r="K147" s="2444"/>
      <c r="L147" s="2444"/>
      <c r="M147" s="2444"/>
      <c r="N147" s="2444"/>
      <c r="O147" s="2444"/>
      <c r="P147" s="2444"/>
      <c r="Q147" s="2444"/>
      <c r="R147" s="2444"/>
      <c r="S147" s="2444"/>
      <c r="T147" s="2444"/>
      <c r="U147" s="2444"/>
      <c r="V147" s="2444"/>
      <c r="W147" s="2444"/>
      <c r="X147" s="2444"/>
      <c r="Y147" s="2444"/>
      <c r="Z147" s="2444"/>
      <c r="AA147" s="2444"/>
      <c r="AB147" s="2444"/>
      <c r="AC147" s="2444"/>
      <c r="AD147" s="2444"/>
      <c r="AE147" s="2444"/>
      <c r="AF147" s="2444"/>
      <c r="AG147" s="2444"/>
      <c r="AH147" s="2444"/>
      <c r="AI147" s="2444"/>
      <c r="AJ147" s="2444"/>
      <c r="AK147" s="2444"/>
      <c r="AL147" s="2444"/>
      <c r="AM147" s="2444"/>
      <c r="AN147" s="2444"/>
      <c r="AO147" s="2444"/>
      <c r="AP147" s="2444"/>
      <c r="AQ147" s="2444"/>
      <c r="AR147" s="2444"/>
      <c r="AS147" s="2444"/>
      <c r="AT147" s="2444"/>
      <c r="AU147" s="2444"/>
      <c r="AV147" s="2444"/>
      <c r="AW147" s="2444"/>
      <c r="AX147" s="2445"/>
      <c r="AY147" s="1209"/>
      <c r="AZ147" s="1209"/>
      <c r="BA147" s="1209"/>
      <c r="BB147" s="1209"/>
      <c r="BC147" s="1209"/>
      <c r="BD147" s="1209"/>
      <c r="BE147" s="1205"/>
    </row>
    <row r="148" spans="1:57" ht="15.75" customHeight="1">
      <c r="A148" s="1209"/>
      <c r="B148" s="2443"/>
      <c r="C148" s="2444"/>
      <c r="D148" s="2444"/>
      <c r="E148" s="2444"/>
      <c r="F148" s="2444"/>
      <c r="G148" s="2444"/>
      <c r="H148" s="2444"/>
      <c r="I148" s="2444"/>
      <c r="J148" s="2444"/>
      <c r="K148" s="2444"/>
      <c r="L148" s="2444"/>
      <c r="M148" s="2444"/>
      <c r="N148" s="2444"/>
      <c r="O148" s="2444"/>
      <c r="P148" s="2444"/>
      <c r="Q148" s="2444"/>
      <c r="R148" s="2444"/>
      <c r="S148" s="2444"/>
      <c r="T148" s="2444"/>
      <c r="U148" s="2444"/>
      <c r="V148" s="2444"/>
      <c r="W148" s="2444"/>
      <c r="X148" s="2444"/>
      <c r="Y148" s="2444"/>
      <c r="Z148" s="2444"/>
      <c r="AA148" s="2444"/>
      <c r="AB148" s="2444"/>
      <c r="AC148" s="2444"/>
      <c r="AD148" s="2444"/>
      <c r="AE148" s="2444"/>
      <c r="AF148" s="2444"/>
      <c r="AG148" s="2444"/>
      <c r="AH148" s="2444"/>
      <c r="AI148" s="2444"/>
      <c r="AJ148" s="2444"/>
      <c r="AK148" s="2444"/>
      <c r="AL148" s="2444"/>
      <c r="AM148" s="2444"/>
      <c r="AN148" s="2444"/>
      <c r="AO148" s="2444"/>
      <c r="AP148" s="2444"/>
      <c r="AQ148" s="2444"/>
      <c r="AR148" s="2444"/>
      <c r="AS148" s="2444"/>
      <c r="AT148" s="2444"/>
      <c r="AU148" s="2444"/>
      <c r="AV148" s="2444"/>
      <c r="AW148" s="2444"/>
      <c r="AX148" s="2445"/>
      <c r="AY148" s="1209"/>
      <c r="AZ148" s="1209"/>
      <c r="BA148" s="1209"/>
      <c r="BB148" s="1209"/>
      <c r="BC148" s="1209"/>
      <c r="BD148" s="1209"/>
      <c r="BE148" s="1205"/>
    </row>
    <row r="149" spans="1:57" ht="15.75" customHeight="1">
      <c r="A149" s="1209"/>
      <c r="B149" s="2443"/>
      <c r="C149" s="2444"/>
      <c r="D149" s="2444"/>
      <c r="E149" s="2444"/>
      <c r="F149" s="2444"/>
      <c r="G149" s="2444"/>
      <c r="H149" s="2444"/>
      <c r="I149" s="2444"/>
      <c r="J149" s="2444"/>
      <c r="K149" s="2444"/>
      <c r="L149" s="2444"/>
      <c r="M149" s="2444"/>
      <c r="N149" s="2444"/>
      <c r="O149" s="2444"/>
      <c r="P149" s="2444"/>
      <c r="Q149" s="2444"/>
      <c r="R149" s="2444"/>
      <c r="S149" s="2444"/>
      <c r="T149" s="2444"/>
      <c r="U149" s="2444"/>
      <c r="V149" s="2444"/>
      <c r="W149" s="2444"/>
      <c r="X149" s="2444"/>
      <c r="Y149" s="2444"/>
      <c r="Z149" s="2444"/>
      <c r="AA149" s="2444"/>
      <c r="AB149" s="2444"/>
      <c r="AC149" s="2444"/>
      <c r="AD149" s="2444"/>
      <c r="AE149" s="2444"/>
      <c r="AF149" s="2444"/>
      <c r="AG149" s="2444"/>
      <c r="AH149" s="2444"/>
      <c r="AI149" s="2444"/>
      <c r="AJ149" s="2444"/>
      <c r="AK149" s="2444"/>
      <c r="AL149" s="2444"/>
      <c r="AM149" s="2444"/>
      <c r="AN149" s="2444"/>
      <c r="AO149" s="2444"/>
      <c r="AP149" s="2444"/>
      <c r="AQ149" s="2444"/>
      <c r="AR149" s="2444"/>
      <c r="AS149" s="2444"/>
      <c r="AT149" s="2444"/>
      <c r="AU149" s="2444"/>
      <c r="AV149" s="2444"/>
      <c r="AW149" s="2444"/>
      <c r="AX149" s="2445"/>
      <c r="AY149" s="1209"/>
      <c r="AZ149" s="1209"/>
      <c r="BA149" s="1209"/>
      <c r="BB149" s="1209"/>
      <c r="BC149" s="1209"/>
      <c r="BD149" s="1209"/>
      <c r="BE149" s="1205"/>
    </row>
    <row r="150" spans="1:57" ht="15.75" customHeight="1" thickBot="1">
      <c r="A150" s="1209"/>
      <c r="B150" s="2446"/>
      <c r="C150" s="2447"/>
      <c r="D150" s="2447"/>
      <c r="E150" s="2447"/>
      <c r="F150" s="2447"/>
      <c r="G150" s="2447"/>
      <c r="H150" s="2447"/>
      <c r="I150" s="2447"/>
      <c r="J150" s="2447"/>
      <c r="K150" s="2447"/>
      <c r="L150" s="2447"/>
      <c r="M150" s="2447"/>
      <c r="N150" s="2447"/>
      <c r="O150" s="2447"/>
      <c r="P150" s="2447"/>
      <c r="Q150" s="2447"/>
      <c r="R150" s="2447"/>
      <c r="S150" s="2447"/>
      <c r="T150" s="2447"/>
      <c r="U150" s="2447"/>
      <c r="V150" s="2447"/>
      <c r="W150" s="2447"/>
      <c r="X150" s="2447"/>
      <c r="Y150" s="2447"/>
      <c r="Z150" s="2447"/>
      <c r="AA150" s="2447"/>
      <c r="AB150" s="2447"/>
      <c r="AC150" s="2447"/>
      <c r="AD150" s="2447"/>
      <c r="AE150" s="2447"/>
      <c r="AF150" s="2447"/>
      <c r="AG150" s="2447"/>
      <c r="AH150" s="2447"/>
      <c r="AI150" s="2447"/>
      <c r="AJ150" s="2447"/>
      <c r="AK150" s="2447"/>
      <c r="AL150" s="2447"/>
      <c r="AM150" s="2447"/>
      <c r="AN150" s="2447"/>
      <c r="AO150" s="2447"/>
      <c r="AP150" s="2447"/>
      <c r="AQ150" s="2447"/>
      <c r="AR150" s="2447"/>
      <c r="AS150" s="2447"/>
      <c r="AT150" s="2447"/>
      <c r="AU150" s="2447"/>
      <c r="AV150" s="2447"/>
      <c r="AW150" s="2447"/>
      <c r="AX150" s="2448"/>
      <c r="AY150" s="1209"/>
      <c r="AZ150" s="1209"/>
      <c r="BA150" s="1209"/>
      <c r="BB150" s="1209"/>
      <c r="BC150" s="1209"/>
      <c r="BD150" s="1209"/>
      <c r="BE150" s="1205"/>
    </row>
    <row r="151" spans="1:57" ht="15.75" customHeight="1" thickBot="1">
      <c r="A151" s="1209"/>
      <c r="B151" s="1209"/>
      <c r="C151" s="1209"/>
      <c r="D151" s="1209"/>
      <c r="E151" s="1209"/>
      <c r="F151" s="1209"/>
      <c r="G151" s="1209"/>
      <c r="H151" s="1209"/>
      <c r="I151" s="1209"/>
      <c r="J151" s="1209"/>
      <c r="K151" s="1209"/>
      <c r="L151" s="1209"/>
      <c r="M151" s="1209"/>
      <c r="N151" s="1209"/>
      <c r="O151" s="1209"/>
      <c r="P151" s="1209"/>
      <c r="Q151" s="1209"/>
      <c r="R151" s="1209"/>
      <c r="S151" s="1209"/>
      <c r="T151" s="1209"/>
      <c r="U151" s="1209"/>
      <c r="V151" s="1209"/>
      <c r="W151" s="1209"/>
      <c r="X151" s="1209"/>
      <c r="Y151" s="1209"/>
      <c r="Z151" s="1209"/>
      <c r="AA151" s="1209"/>
      <c r="AB151" s="1209"/>
      <c r="AC151" s="1209"/>
      <c r="AD151" s="1209"/>
      <c r="AE151" s="1209"/>
      <c r="AF151" s="1209"/>
      <c r="AG151" s="1209"/>
      <c r="AH151" s="1209"/>
      <c r="AI151" s="1209"/>
      <c r="AJ151" s="1209"/>
      <c r="AK151" s="1209"/>
      <c r="AL151" s="1209"/>
      <c r="AM151" s="1209"/>
      <c r="AN151" s="1209"/>
      <c r="AO151" s="1209"/>
      <c r="AP151" s="1209"/>
      <c r="AQ151" s="1209"/>
      <c r="AR151" s="1209"/>
      <c r="AS151" s="1209"/>
      <c r="AT151" s="1209"/>
      <c r="AU151" s="1209"/>
      <c r="AV151" s="1209"/>
      <c r="AW151" s="1209"/>
      <c r="AX151" s="1209"/>
      <c r="AY151" s="1209"/>
      <c r="AZ151" s="1209"/>
      <c r="BA151" s="1209"/>
      <c r="BB151" s="1209"/>
      <c r="BC151" s="1209"/>
      <c r="BD151" s="1209"/>
      <c r="BE151" s="1205"/>
    </row>
    <row r="152" spans="1:57" ht="15.75" customHeight="1" thickBot="1">
      <c r="A152" s="1209"/>
      <c r="B152" s="1231" t="s">
        <v>1835</v>
      </c>
      <c r="C152" s="1230"/>
      <c r="D152" s="1230"/>
      <c r="E152" s="1230"/>
      <c r="F152" s="1230"/>
      <c r="G152" s="1230"/>
      <c r="H152" s="1230"/>
      <c r="I152" s="1230"/>
      <c r="J152" s="1230"/>
      <c r="K152" s="1230"/>
      <c r="L152" s="1230"/>
      <c r="M152" s="1232"/>
      <c r="N152" s="1220"/>
      <c r="O152" s="1220"/>
      <c r="P152" s="1209"/>
      <c r="Q152" s="1209"/>
      <c r="R152" s="1209"/>
      <c r="S152" s="1209"/>
      <c r="T152" s="1209"/>
      <c r="U152" s="1209" t="s">
        <v>250</v>
      </c>
      <c r="V152" s="1209"/>
      <c r="W152" s="1209"/>
      <c r="X152" s="1231" t="s">
        <v>2190</v>
      </c>
      <c r="Y152" s="1230"/>
      <c r="Z152" s="1230"/>
      <c r="AA152" s="1230"/>
      <c r="AB152" s="1230"/>
      <c r="AC152" s="1230"/>
      <c r="AD152" s="1230"/>
      <c r="AE152" s="1230"/>
      <c r="AF152" s="1230"/>
      <c r="AG152" s="1230"/>
      <c r="AH152" s="1230"/>
      <c r="AI152" s="1230"/>
      <c r="AJ152" s="1230"/>
      <c r="AK152" s="1229"/>
      <c r="AL152" s="1229"/>
      <c r="AM152" s="1228"/>
      <c r="AN152" s="1209"/>
      <c r="AO152" s="1209"/>
      <c r="AP152" s="1209"/>
      <c r="AQ152" s="1209"/>
      <c r="AR152" s="1209"/>
      <c r="AS152" s="1209"/>
      <c r="AT152" s="1209"/>
      <c r="AU152" s="1209"/>
      <c r="AV152" s="1209"/>
      <c r="AW152" s="1209"/>
      <c r="AX152" s="1209"/>
      <c r="AY152" s="1209"/>
      <c r="AZ152" s="1209"/>
      <c r="BA152" s="1209"/>
      <c r="BB152" s="1209"/>
      <c r="BC152" s="1209"/>
      <c r="BD152" s="1209"/>
      <c r="BE152" s="1205"/>
    </row>
    <row r="153" spans="1:57" ht="15.75" customHeight="1" thickBot="1">
      <c r="A153" s="1209"/>
      <c r="B153" s="1209"/>
      <c r="C153" s="1209"/>
      <c r="D153" s="1209"/>
      <c r="E153" s="1209"/>
      <c r="F153" s="1209"/>
      <c r="G153" s="1209"/>
      <c r="H153" s="1209"/>
      <c r="I153" s="1209"/>
      <c r="J153" s="1209"/>
      <c r="K153" s="1209"/>
      <c r="L153" s="1209"/>
      <c r="M153" s="1209"/>
      <c r="N153" s="1209"/>
      <c r="O153" s="1209"/>
      <c r="P153" s="1220"/>
      <c r="Q153" s="1209"/>
      <c r="R153" s="1209"/>
      <c r="S153" s="1209"/>
      <c r="T153" s="1209"/>
      <c r="U153" s="1209"/>
      <c r="V153" s="1209"/>
      <c r="W153" s="1209"/>
      <c r="X153" s="1209"/>
      <c r="Y153" s="1209"/>
      <c r="Z153" s="1209"/>
      <c r="AA153" s="1209"/>
      <c r="AB153" s="1209"/>
      <c r="AC153" s="1209"/>
      <c r="AD153" s="1209"/>
      <c r="AE153" s="1209"/>
      <c r="AF153" s="1209"/>
      <c r="AG153" s="1209"/>
      <c r="AH153" s="1209"/>
      <c r="AI153" s="1209"/>
      <c r="AJ153" s="1209"/>
      <c r="AK153" s="1209"/>
      <c r="AL153" s="1209"/>
      <c r="AM153" s="1209"/>
      <c r="AN153" s="1209"/>
      <c r="AO153" s="1209"/>
      <c r="AP153" s="1209"/>
      <c r="AQ153" s="1209"/>
      <c r="AR153" s="1209"/>
      <c r="AS153" s="1209"/>
      <c r="AT153" s="1209"/>
      <c r="AU153" s="1209"/>
      <c r="AV153" s="1209"/>
      <c r="AW153" s="1209"/>
      <c r="AX153" s="1209"/>
      <c r="AY153" s="1209"/>
      <c r="AZ153" s="1209"/>
      <c r="BA153" s="1209"/>
      <c r="BB153" s="1209"/>
      <c r="BC153" s="1209"/>
      <c r="BD153" s="1209"/>
      <c r="BE153" s="1205"/>
    </row>
    <row r="154" spans="1:57" ht="15.75" customHeight="1">
      <c r="A154" s="1209"/>
      <c r="B154" s="2372" t="s">
        <v>1836</v>
      </c>
      <c r="C154" s="2373"/>
      <c r="D154" s="2373"/>
      <c r="E154" s="2373"/>
      <c r="F154" s="2373"/>
      <c r="G154" s="2373"/>
      <c r="H154" s="2373"/>
      <c r="I154" s="2373"/>
      <c r="J154" s="2373"/>
      <c r="K154" s="2373"/>
      <c r="L154" s="2373"/>
      <c r="M154" s="2373"/>
      <c r="N154" s="2373"/>
      <c r="O154" s="2373"/>
      <c r="P154" s="2373"/>
      <c r="Q154" s="2373"/>
      <c r="R154" s="2373"/>
      <c r="S154" s="2373"/>
      <c r="T154" s="2373"/>
      <c r="U154" s="2374"/>
      <c r="V154" s="1209"/>
      <c r="W154" s="1217"/>
      <c r="X154" s="2372" t="s">
        <v>2191</v>
      </c>
      <c r="Y154" s="2373"/>
      <c r="Z154" s="2373"/>
      <c r="AA154" s="2373"/>
      <c r="AB154" s="2373"/>
      <c r="AC154" s="2373"/>
      <c r="AD154" s="2373"/>
      <c r="AE154" s="2373"/>
      <c r="AF154" s="2373"/>
      <c r="AG154" s="2373"/>
      <c r="AH154" s="2373"/>
      <c r="AI154" s="2373"/>
      <c r="AJ154" s="2373"/>
      <c r="AK154" s="2373"/>
      <c r="AL154" s="2373"/>
      <c r="AM154" s="2373"/>
      <c r="AN154" s="2373"/>
      <c r="AO154" s="2373"/>
      <c r="AP154" s="2373"/>
      <c r="AQ154" s="2374"/>
      <c r="AR154" s="1209"/>
      <c r="AS154" s="1209"/>
      <c r="AT154" s="1209"/>
      <c r="AU154" s="1209"/>
      <c r="AV154" s="1209"/>
      <c r="AW154" s="1209"/>
      <c r="AX154" s="1209"/>
      <c r="AY154" s="1209"/>
      <c r="AZ154" s="1209"/>
      <c r="BA154" s="1209"/>
      <c r="BB154" s="1209"/>
      <c r="BC154" s="1209"/>
      <c r="BD154" s="1209"/>
      <c r="BE154" s="1205"/>
    </row>
    <row r="155" spans="1:57" ht="15.75" customHeight="1">
      <c r="A155" s="1209"/>
      <c r="B155" s="2425"/>
      <c r="C155" s="2426"/>
      <c r="D155" s="2426"/>
      <c r="E155" s="2426"/>
      <c r="F155" s="2426"/>
      <c r="G155" s="2426"/>
      <c r="H155" s="2426"/>
      <c r="I155" s="2449" t="s">
        <v>1827</v>
      </c>
      <c r="J155" s="2449"/>
      <c r="K155" s="2449"/>
      <c r="L155" s="2449"/>
      <c r="M155" s="2449"/>
      <c r="N155" s="2449"/>
      <c r="O155" s="2449"/>
      <c r="P155" s="2449" t="s">
        <v>2192</v>
      </c>
      <c r="Q155" s="2449"/>
      <c r="R155" s="2449"/>
      <c r="S155" s="2449"/>
      <c r="T155" s="2449"/>
      <c r="U155" s="2450"/>
      <c r="V155" s="1209"/>
      <c r="W155" s="1209"/>
      <c r="X155" s="2425"/>
      <c r="Y155" s="2426"/>
      <c r="Z155" s="2426"/>
      <c r="AA155" s="2426"/>
      <c r="AB155" s="2426"/>
      <c r="AC155" s="2426"/>
      <c r="AD155" s="2426"/>
      <c r="AE155" s="2449" t="s">
        <v>1827</v>
      </c>
      <c r="AF155" s="2449"/>
      <c r="AG155" s="2449"/>
      <c r="AH155" s="2449"/>
      <c r="AI155" s="2449"/>
      <c r="AJ155" s="2449"/>
      <c r="AK155" s="2449"/>
      <c r="AL155" s="2449" t="s">
        <v>2186</v>
      </c>
      <c r="AM155" s="2449"/>
      <c r="AN155" s="2449"/>
      <c r="AO155" s="2449"/>
      <c r="AP155" s="2449"/>
      <c r="AQ155" s="2450"/>
      <c r="AR155" s="1209"/>
      <c r="AS155" s="1209"/>
      <c r="AT155" s="1209"/>
      <c r="AU155" s="1209"/>
      <c r="AV155" s="1209"/>
      <c r="AW155" s="1209"/>
      <c r="AX155" s="1209"/>
      <c r="AY155" s="1209"/>
      <c r="AZ155" s="1209"/>
      <c r="BA155" s="1209"/>
      <c r="BB155" s="1209"/>
      <c r="BC155" s="1209"/>
      <c r="BD155" s="1209"/>
      <c r="BE155" s="1205"/>
    </row>
    <row r="156" spans="1:57" ht="15.75" customHeight="1">
      <c r="A156" s="1209"/>
      <c r="B156" s="2425"/>
      <c r="C156" s="2426"/>
      <c r="D156" s="2426"/>
      <c r="E156" s="2426"/>
      <c r="F156" s="2426"/>
      <c r="G156" s="2426"/>
      <c r="H156" s="2426"/>
      <c r="I156" s="2449"/>
      <c r="J156" s="2449"/>
      <c r="K156" s="2449"/>
      <c r="L156" s="2449"/>
      <c r="M156" s="2449"/>
      <c r="N156" s="2449"/>
      <c r="O156" s="2449"/>
      <c r="P156" s="2449"/>
      <c r="Q156" s="2449"/>
      <c r="R156" s="2449"/>
      <c r="S156" s="2449"/>
      <c r="T156" s="2449"/>
      <c r="U156" s="2450"/>
      <c r="V156" s="1209"/>
      <c r="W156" s="1209"/>
      <c r="X156" s="2425"/>
      <c r="Y156" s="2426"/>
      <c r="Z156" s="2426"/>
      <c r="AA156" s="2426"/>
      <c r="AB156" s="2426"/>
      <c r="AC156" s="2426"/>
      <c r="AD156" s="2426"/>
      <c r="AE156" s="2449"/>
      <c r="AF156" s="2449"/>
      <c r="AG156" s="2449"/>
      <c r="AH156" s="2449"/>
      <c r="AI156" s="2449"/>
      <c r="AJ156" s="2449"/>
      <c r="AK156" s="2449"/>
      <c r="AL156" s="2449"/>
      <c r="AM156" s="2449"/>
      <c r="AN156" s="2449"/>
      <c r="AO156" s="2449"/>
      <c r="AP156" s="2449"/>
      <c r="AQ156" s="2450"/>
      <c r="AR156" s="1209"/>
      <c r="AS156" s="1209"/>
      <c r="AT156" s="1209"/>
      <c r="AU156" s="1209"/>
      <c r="AV156" s="1209"/>
      <c r="AW156" s="1209"/>
      <c r="AX156" s="1209"/>
      <c r="AY156" s="1209"/>
      <c r="AZ156" s="1209"/>
      <c r="BA156" s="1209"/>
      <c r="BB156" s="1209"/>
      <c r="BC156" s="1209"/>
      <c r="BD156" s="1209"/>
      <c r="BE156" s="1205"/>
    </row>
    <row r="157" spans="1:57" ht="15.75" customHeight="1" thickBot="1">
      <c r="A157" s="1209"/>
      <c r="B157" s="2431" t="s">
        <v>2174</v>
      </c>
      <c r="C157" s="2432"/>
      <c r="D157" s="2432"/>
      <c r="E157" s="2432"/>
      <c r="F157" s="2432"/>
      <c r="G157" s="2432"/>
      <c r="H157" s="2432"/>
      <c r="I157" s="2219">
        <v>0</v>
      </c>
      <c r="J157" s="2219"/>
      <c r="K157" s="2219"/>
      <c r="L157" s="2219"/>
      <c r="M157" s="2219"/>
      <c r="N157" s="2219"/>
      <c r="O157" s="2219"/>
      <c r="P157" s="2219">
        <v>0</v>
      </c>
      <c r="Q157" s="2219"/>
      <c r="R157" s="2219"/>
      <c r="S157" s="2219"/>
      <c r="T157" s="2219"/>
      <c r="U157" s="2225"/>
      <c r="V157" s="1209"/>
      <c r="W157" s="1209"/>
      <c r="X157" s="2433" t="s">
        <v>2174</v>
      </c>
      <c r="Y157" s="2434"/>
      <c r="Z157" s="2434"/>
      <c r="AA157" s="2434"/>
      <c r="AB157" s="2434"/>
      <c r="AC157" s="2434"/>
      <c r="AD157" s="2434"/>
      <c r="AE157" s="2239">
        <v>0</v>
      </c>
      <c r="AF157" s="2239"/>
      <c r="AG157" s="2239"/>
      <c r="AH157" s="2239"/>
      <c r="AI157" s="2239"/>
      <c r="AJ157" s="2239"/>
      <c r="AK157" s="2239"/>
      <c r="AL157" s="2239">
        <v>0</v>
      </c>
      <c r="AM157" s="2239"/>
      <c r="AN157" s="2239"/>
      <c r="AO157" s="2239"/>
      <c r="AP157" s="2239"/>
      <c r="AQ157" s="2240"/>
      <c r="AR157" s="1209"/>
      <c r="AS157" s="1209"/>
      <c r="AT157" s="1209"/>
      <c r="AU157" s="1209"/>
      <c r="AV157" s="1209"/>
      <c r="AW157" s="1209"/>
      <c r="AX157" s="1209"/>
      <c r="AY157" s="1209"/>
      <c r="AZ157" s="1209"/>
      <c r="BA157" s="1209"/>
      <c r="BB157" s="1209"/>
      <c r="BC157" s="1209"/>
      <c r="BD157" s="1209"/>
      <c r="BE157" s="1205"/>
    </row>
    <row r="158" spans="1:57" ht="15.75" customHeight="1" thickBot="1">
      <c r="A158" s="1209"/>
      <c r="B158" s="2433" t="s">
        <v>2175</v>
      </c>
      <c r="C158" s="2434"/>
      <c r="D158" s="2434"/>
      <c r="E158" s="2434"/>
      <c r="F158" s="2434"/>
      <c r="G158" s="2434"/>
      <c r="H158" s="2434"/>
      <c r="I158" s="2239">
        <v>0</v>
      </c>
      <c r="J158" s="2239"/>
      <c r="K158" s="2239"/>
      <c r="L158" s="2239"/>
      <c r="M158" s="2239"/>
      <c r="N158" s="2239"/>
      <c r="O158" s="2239"/>
      <c r="P158" s="2239">
        <v>0</v>
      </c>
      <c r="Q158" s="2239"/>
      <c r="R158" s="2239"/>
      <c r="S158" s="2239"/>
      <c r="T158" s="2239"/>
      <c r="U158" s="2240"/>
      <c r="V158" s="1209"/>
      <c r="W158" s="1209"/>
      <c r="X158" s="1209"/>
      <c r="Y158" s="1209"/>
      <c r="Z158" s="1209"/>
      <c r="AA158" s="1209"/>
      <c r="AB158" s="1209"/>
      <c r="AC158" s="1209"/>
      <c r="AD158" s="1209"/>
      <c r="AE158" s="1209"/>
      <c r="AF158" s="1209"/>
      <c r="AG158" s="1209"/>
      <c r="AH158" s="1209"/>
      <c r="AI158" s="1209"/>
      <c r="AJ158" s="1209"/>
      <c r="AK158" s="1209"/>
      <c r="AL158" s="1209"/>
      <c r="AM158" s="1209"/>
      <c r="AN158" s="1209"/>
      <c r="AO158" s="1209"/>
      <c r="AP158" s="1209"/>
      <c r="AQ158" s="1209"/>
      <c r="AR158" s="1209"/>
      <c r="AS158" s="1209"/>
      <c r="AT158" s="1209"/>
      <c r="AU158" s="1209"/>
      <c r="AV158" s="1209"/>
      <c r="AW158" s="1209"/>
      <c r="AX158" s="1209"/>
      <c r="AY158" s="1209"/>
      <c r="AZ158" s="1209"/>
      <c r="BA158" s="1209"/>
      <c r="BB158" s="1209"/>
      <c r="BC158" s="1209"/>
      <c r="BD158" s="1209"/>
      <c r="BE158" s="1205"/>
    </row>
    <row r="159" spans="1:57" ht="15.75" customHeight="1" thickBot="1">
      <c r="A159" s="1209"/>
      <c r="B159" s="1209"/>
      <c r="C159" s="1209"/>
      <c r="D159" s="1209"/>
      <c r="E159" s="1209"/>
      <c r="F159" s="1209"/>
      <c r="G159" s="1209"/>
      <c r="H159" s="1209"/>
      <c r="I159" s="1209"/>
      <c r="J159" s="1209"/>
      <c r="K159" s="1209"/>
      <c r="L159" s="1209"/>
      <c r="M159" s="1209"/>
      <c r="N159" s="1209"/>
      <c r="O159" s="1209"/>
      <c r="P159" s="1209"/>
      <c r="Q159" s="1209"/>
      <c r="R159" s="1209"/>
      <c r="S159" s="1209"/>
      <c r="T159" s="1209"/>
      <c r="U159" s="1209"/>
      <c r="V159" s="1209"/>
      <c r="W159" s="1209"/>
      <c r="X159" s="1209"/>
      <c r="Y159" s="1209"/>
      <c r="Z159" s="1209"/>
      <c r="AA159" s="1209"/>
      <c r="AB159" s="1209"/>
      <c r="AC159" s="1209"/>
      <c r="AD159" s="1209"/>
      <c r="AE159" s="1209"/>
      <c r="AF159" s="1209"/>
      <c r="AG159" s="1209"/>
      <c r="AH159" s="1209"/>
      <c r="AI159" s="1209"/>
      <c r="AJ159" s="1209"/>
      <c r="AK159" s="1209"/>
      <c r="AL159" s="1209"/>
      <c r="AM159" s="1209"/>
      <c r="AN159" s="1209"/>
      <c r="AO159" s="1209"/>
      <c r="AP159" s="1209"/>
      <c r="AQ159" s="1209"/>
      <c r="AR159" s="1209"/>
      <c r="AS159" s="1209"/>
      <c r="AT159" s="1209"/>
      <c r="AU159" s="1209"/>
      <c r="AV159" s="1209"/>
      <c r="AW159" s="1209"/>
      <c r="AX159" s="1209"/>
      <c r="AY159" s="1209"/>
      <c r="AZ159" s="1209"/>
      <c r="BA159" s="1209"/>
      <c r="BB159" s="1209"/>
      <c r="BC159" s="1209"/>
      <c r="BD159" s="1209"/>
      <c r="BE159" s="1205"/>
    </row>
    <row r="160" spans="1:57" ht="15.75" customHeight="1">
      <c r="A160" s="1209"/>
      <c r="B160" s="1209"/>
      <c r="C160" s="2372" t="s">
        <v>2176</v>
      </c>
      <c r="D160" s="2373"/>
      <c r="E160" s="2373"/>
      <c r="F160" s="2373"/>
      <c r="G160" s="2373"/>
      <c r="H160" s="2373"/>
      <c r="I160" s="2373"/>
      <c r="J160" s="2373"/>
      <c r="K160" s="2373"/>
      <c r="L160" s="2373"/>
      <c r="M160" s="2373"/>
      <c r="N160" s="2373"/>
      <c r="O160" s="2373"/>
      <c r="P160" s="2373"/>
      <c r="Q160" s="2373"/>
      <c r="R160" s="2373"/>
      <c r="S160" s="2373"/>
      <c r="T160" s="2373"/>
      <c r="U160" s="2373"/>
      <c r="V160" s="2373"/>
      <c r="W160" s="2373"/>
      <c r="X160" s="2373"/>
      <c r="Y160" s="2373"/>
      <c r="Z160" s="2373"/>
      <c r="AA160" s="2373"/>
      <c r="AB160" s="2373"/>
      <c r="AC160" s="2373"/>
      <c r="AD160" s="2373"/>
      <c r="AE160" s="2373"/>
      <c r="AF160" s="2373"/>
      <c r="AG160" s="2374"/>
      <c r="AH160" s="1209"/>
      <c r="AI160" s="1209"/>
      <c r="AJ160" s="1209"/>
      <c r="AK160" s="1209"/>
      <c r="AL160" s="1209"/>
      <c r="AM160" s="1209"/>
      <c r="AN160" s="1209"/>
      <c r="AO160" s="1209"/>
      <c r="AP160" s="1209"/>
      <c r="AQ160" s="1209"/>
      <c r="AR160" s="1209"/>
      <c r="AS160" s="1209"/>
      <c r="AT160" s="1209"/>
      <c r="AU160" s="1209"/>
      <c r="AV160" s="1209"/>
      <c r="AW160" s="1209"/>
      <c r="AX160" s="1209"/>
      <c r="AY160" s="1209"/>
      <c r="AZ160" s="1209"/>
      <c r="BA160" s="1209"/>
      <c r="BB160" s="1209"/>
      <c r="BC160" s="1209"/>
      <c r="BD160" s="1209"/>
      <c r="BE160" s="1205"/>
    </row>
    <row r="161" spans="1:57" ht="15.75" customHeight="1">
      <c r="A161" s="1209"/>
      <c r="B161" s="1209"/>
      <c r="C161" s="2425" t="s">
        <v>1837</v>
      </c>
      <c r="D161" s="2426"/>
      <c r="E161" s="2426"/>
      <c r="F161" s="2426"/>
      <c r="G161" s="2426"/>
      <c r="H161" s="2426"/>
      <c r="I161" s="2426"/>
      <c r="J161" s="2426"/>
      <c r="K161" s="2426"/>
      <c r="L161" s="2426"/>
      <c r="M161" s="2426"/>
      <c r="N161" s="2426"/>
      <c r="O161" s="2426"/>
      <c r="P161" s="2426"/>
      <c r="Q161" s="2426" t="s">
        <v>1838</v>
      </c>
      <c r="R161" s="2426"/>
      <c r="S161" s="2426"/>
      <c r="T161" s="2215" t="s">
        <v>2177</v>
      </c>
      <c r="U161" s="2215"/>
      <c r="V161" s="2215"/>
      <c r="W161" s="2215"/>
      <c r="X161" s="2215"/>
      <c r="Y161" s="2215"/>
      <c r="Z161" s="2215"/>
      <c r="AA161" s="2215"/>
      <c r="AB161" s="2426" t="s">
        <v>1839</v>
      </c>
      <c r="AC161" s="2426"/>
      <c r="AD161" s="2426"/>
      <c r="AE161" s="2426"/>
      <c r="AF161" s="2426"/>
      <c r="AG161" s="2451"/>
      <c r="AH161" s="1209"/>
      <c r="AI161" s="1209"/>
      <c r="AJ161" s="1209"/>
      <c r="AK161" s="1209"/>
      <c r="AL161" s="1209"/>
      <c r="AM161" s="1209"/>
      <c r="AN161" s="1209"/>
      <c r="AO161" s="1209"/>
      <c r="AP161" s="1209"/>
      <c r="AQ161" s="1209"/>
      <c r="AR161" s="1209"/>
      <c r="AS161" s="1209"/>
      <c r="AT161" s="1209"/>
      <c r="AU161" s="1209"/>
      <c r="AV161" s="1209"/>
      <c r="AW161" s="1209"/>
      <c r="AX161" s="1209"/>
      <c r="AY161" s="1209"/>
      <c r="AZ161" s="1209"/>
      <c r="BA161" s="1209"/>
      <c r="BB161" s="1209"/>
      <c r="BC161" s="1209"/>
      <c r="BD161" s="1209"/>
      <c r="BE161" s="1205"/>
    </row>
    <row r="162" spans="1:57" ht="15.75" customHeight="1">
      <c r="A162" s="1209"/>
      <c r="B162" s="1209"/>
      <c r="C162" s="2452" t="s">
        <v>1840</v>
      </c>
      <c r="D162" s="2453"/>
      <c r="E162" s="2453"/>
      <c r="F162" s="2453"/>
      <c r="G162" s="2453"/>
      <c r="H162" s="2453"/>
      <c r="I162" s="2453"/>
      <c r="J162" s="2453"/>
      <c r="K162" s="2453"/>
      <c r="L162" s="2453"/>
      <c r="M162" s="2453"/>
      <c r="N162" s="2453"/>
      <c r="O162" s="2453"/>
      <c r="P162" s="2453"/>
      <c r="Q162" s="2454">
        <v>55</v>
      </c>
      <c r="R162" s="2454"/>
      <c r="S162" s="2454"/>
      <c r="T162" s="2455"/>
      <c r="U162" s="2455"/>
      <c r="V162" s="2455"/>
      <c r="W162" s="2455"/>
      <c r="X162" s="2455"/>
      <c r="Y162" s="2455"/>
      <c r="Z162" s="2455"/>
      <c r="AA162" s="2455"/>
      <c r="AB162" s="1227"/>
      <c r="AC162" s="1227"/>
      <c r="AD162" s="1227"/>
      <c r="AE162" s="1227"/>
      <c r="AF162" s="1227"/>
      <c r="AG162" s="1226"/>
      <c r="AH162" s="1209"/>
      <c r="AI162" s="1209"/>
      <c r="AJ162" s="1209"/>
      <c r="AK162" s="1209"/>
      <c r="AL162" s="1209"/>
      <c r="AM162" s="1209"/>
      <c r="AN162" s="1209"/>
      <c r="AO162" s="1209"/>
      <c r="AP162" s="1209" t="s">
        <v>250</v>
      </c>
      <c r="AQ162" s="1209"/>
      <c r="AR162" s="1209"/>
      <c r="AS162" s="1209"/>
      <c r="AT162" s="1209"/>
      <c r="AU162" s="1209"/>
      <c r="AV162" s="1209"/>
      <c r="AW162" s="1209"/>
      <c r="AX162" s="1209"/>
      <c r="AY162" s="1209"/>
      <c r="AZ162" s="1209"/>
      <c r="BA162" s="1209"/>
      <c r="BB162" s="1209"/>
      <c r="BC162" s="1209"/>
      <c r="BD162" s="1209"/>
      <c r="BE162" s="1205"/>
    </row>
    <row r="163" spans="1:57" ht="15.75" customHeight="1">
      <c r="A163" s="1209"/>
      <c r="B163" s="1209"/>
      <c r="C163" s="2452" t="s">
        <v>1841</v>
      </c>
      <c r="D163" s="2453"/>
      <c r="E163" s="2453"/>
      <c r="F163" s="2453"/>
      <c r="G163" s="2453"/>
      <c r="H163" s="2453"/>
      <c r="I163" s="2453"/>
      <c r="J163" s="2453"/>
      <c r="K163" s="2453"/>
      <c r="L163" s="2453"/>
      <c r="M163" s="2453"/>
      <c r="N163" s="2453"/>
      <c r="O163" s="2453"/>
      <c r="P163" s="2453"/>
      <c r="Q163" s="2454">
        <v>55</v>
      </c>
      <c r="R163" s="2454"/>
      <c r="S163" s="2454"/>
      <c r="T163" s="2458"/>
      <c r="U163" s="2458"/>
      <c r="V163" s="2458"/>
      <c r="W163" s="2458"/>
      <c r="X163" s="2458"/>
      <c r="Y163" s="2458"/>
      <c r="Z163" s="2458"/>
      <c r="AA163" s="2458"/>
      <c r="AB163" s="1227"/>
      <c r="AC163" s="1227"/>
      <c r="AD163" s="1227"/>
      <c r="AE163" s="1227"/>
      <c r="AF163" s="1227"/>
      <c r="AG163" s="1226"/>
      <c r="AH163" s="1209"/>
      <c r="AI163" s="1209"/>
      <c r="AJ163" s="1209"/>
      <c r="AK163" s="1209"/>
      <c r="AL163" s="1209"/>
      <c r="AM163" s="1209"/>
      <c r="AN163" s="1209"/>
      <c r="AO163" s="1209"/>
      <c r="AP163" s="1209"/>
      <c r="AQ163" s="1209"/>
      <c r="AR163" s="1209"/>
      <c r="AS163" s="1209"/>
      <c r="AT163" s="1209"/>
      <c r="AU163" s="1209"/>
      <c r="AV163" s="1209"/>
      <c r="AW163" s="1209"/>
      <c r="AX163" s="1209"/>
      <c r="AY163" s="1209"/>
      <c r="AZ163" s="1209"/>
      <c r="BA163" s="1209"/>
      <c r="BB163" s="1209"/>
      <c r="BC163" s="1209"/>
      <c r="BD163" s="1209"/>
      <c r="BE163" s="1205"/>
    </row>
    <row r="164" spans="1:57" ht="15.75" customHeight="1">
      <c r="A164" s="1209"/>
      <c r="B164" s="1209"/>
      <c r="C164" s="2452" t="s">
        <v>1842</v>
      </c>
      <c r="D164" s="2453"/>
      <c r="E164" s="2453"/>
      <c r="F164" s="2453"/>
      <c r="G164" s="2453"/>
      <c r="H164" s="2453"/>
      <c r="I164" s="2453"/>
      <c r="J164" s="2453"/>
      <c r="K164" s="2453"/>
      <c r="L164" s="2453"/>
      <c r="M164" s="2453"/>
      <c r="N164" s="2453"/>
      <c r="O164" s="2453"/>
      <c r="P164" s="2453"/>
      <c r="Q164" s="2454">
        <v>55</v>
      </c>
      <c r="R164" s="2454"/>
      <c r="S164" s="2454"/>
      <c r="T164" s="2455"/>
      <c r="U164" s="2455"/>
      <c r="V164" s="2455"/>
      <c r="W164" s="2455"/>
      <c r="X164" s="2455"/>
      <c r="Y164" s="2455"/>
      <c r="Z164" s="2455"/>
      <c r="AA164" s="2455"/>
      <c r="AB164" s="1227"/>
      <c r="AC164" s="1227"/>
      <c r="AD164" s="1227"/>
      <c r="AE164" s="1227"/>
      <c r="AF164" s="1227"/>
      <c r="AG164" s="1226"/>
      <c r="AH164" s="1209"/>
      <c r="AI164" s="1209"/>
      <c r="AJ164" s="1209"/>
      <c r="AK164" s="1209"/>
      <c r="AL164" s="1209"/>
      <c r="AM164" s="1209"/>
      <c r="AN164" s="1209"/>
      <c r="AO164" s="1209"/>
      <c r="AP164" s="1209"/>
      <c r="AQ164" s="1209"/>
      <c r="AR164" s="1209"/>
      <c r="AS164" s="1209"/>
      <c r="AT164" s="1209"/>
      <c r="AU164" s="1209"/>
      <c r="AV164" s="1209"/>
      <c r="AW164" s="1209"/>
      <c r="AX164" s="1209"/>
      <c r="AY164" s="1209"/>
      <c r="AZ164" s="1209"/>
      <c r="BA164" s="1209"/>
      <c r="BB164" s="1209"/>
      <c r="BC164" s="1209"/>
      <c r="BD164" s="1209"/>
      <c r="BE164" s="1205"/>
    </row>
    <row r="165" spans="1:57" ht="15.75" customHeight="1">
      <c r="A165" s="1209"/>
      <c r="B165" s="1209"/>
      <c r="C165" s="2452" t="s">
        <v>1813</v>
      </c>
      <c r="D165" s="2453"/>
      <c r="E165" s="2453"/>
      <c r="F165" s="2453"/>
      <c r="G165" s="2453"/>
      <c r="H165" s="2453"/>
      <c r="I165" s="2453"/>
      <c r="J165" s="2453"/>
      <c r="K165" s="2453"/>
      <c r="L165" s="2453"/>
      <c r="M165" s="2453"/>
      <c r="N165" s="2453"/>
      <c r="O165" s="2453"/>
      <c r="P165" s="2453"/>
      <c r="Q165" s="2454">
        <v>55</v>
      </c>
      <c r="R165" s="2454"/>
      <c r="S165" s="2454"/>
      <c r="T165" s="2455"/>
      <c r="U165" s="2455"/>
      <c r="V165" s="2455"/>
      <c r="W165" s="2455"/>
      <c r="X165" s="2455"/>
      <c r="Y165" s="2455"/>
      <c r="Z165" s="2455"/>
      <c r="AA165" s="2455"/>
      <c r="AB165" s="2456">
        <v>0</v>
      </c>
      <c r="AC165" s="2456"/>
      <c r="AD165" s="2456"/>
      <c r="AE165" s="2456"/>
      <c r="AF165" s="2456"/>
      <c r="AG165" s="2457"/>
      <c r="AH165" s="1209"/>
      <c r="AI165" s="1209"/>
      <c r="AJ165" s="1209"/>
      <c r="AK165" s="1209"/>
      <c r="AL165" s="1209"/>
      <c r="AM165" s="1209"/>
      <c r="AN165" s="1209"/>
      <c r="AO165" s="1209"/>
      <c r="AP165" s="1209"/>
      <c r="AQ165" s="1209"/>
      <c r="AR165" s="1209"/>
      <c r="AS165" s="1209"/>
      <c r="AT165" s="1209"/>
      <c r="AU165" s="1209"/>
      <c r="AV165" s="1209"/>
      <c r="AW165" s="1209"/>
      <c r="AX165" s="1209"/>
      <c r="AY165" s="1209"/>
      <c r="AZ165" s="1209"/>
      <c r="BA165" s="1209"/>
      <c r="BB165" s="1209"/>
      <c r="BC165" s="1209"/>
      <c r="BD165" s="1209"/>
      <c r="BE165" s="1205"/>
    </row>
    <row r="166" spans="1:57" ht="15.75" customHeight="1">
      <c r="A166" s="1209"/>
      <c r="B166" s="1209"/>
      <c r="C166" s="2452" t="s">
        <v>169</v>
      </c>
      <c r="D166" s="2453"/>
      <c r="E166" s="2453"/>
      <c r="F166" s="2459" t="s">
        <v>1843</v>
      </c>
      <c r="G166" s="2459"/>
      <c r="H166" s="2459"/>
      <c r="I166" s="2459"/>
      <c r="J166" s="2459"/>
      <c r="K166" s="2459"/>
      <c r="L166" s="2459"/>
      <c r="M166" s="2459"/>
      <c r="N166" s="2459"/>
      <c r="O166" s="2459"/>
      <c r="P166" s="2459"/>
      <c r="Q166" s="2454">
        <v>55</v>
      </c>
      <c r="R166" s="2454"/>
      <c r="S166" s="2454"/>
      <c r="T166" s="2458"/>
      <c r="U166" s="2458"/>
      <c r="V166" s="2458"/>
      <c r="W166" s="2458"/>
      <c r="X166" s="2458"/>
      <c r="Y166" s="2458"/>
      <c r="Z166" s="2458"/>
      <c r="AA166" s="2458"/>
      <c r="AB166" s="2456">
        <v>0</v>
      </c>
      <c r="AC166" s="2456"/>
      <c r="AD166" s="2456"/>
      <c r="AE166" s="2456"/>
      <c r="AF166" s="2456"/>
      <c r="AG166" s="2457"/>
      <c r="AH166" s="1209"/>
      <c r="AI166" s="1209"/>
      <c r="AJ166" s="1209"/>
      <c r="AK166" s="1209"/>
      <c r="AL166" s="1209"/>
      <c r="AM166" s="1209"/>
      <c r="AN166" s="1209"/>
      <c r="AO166" s="1209"/>
      <c r="AP166" s="1209"/>
      <c r="AQ166" s="1209"/>
      <c r="AR166" s="1209"/>
      <c r="AS166" s="1209"/>
      <c r="AT166" s="1209"/>
      <c r="AU166" s="1209"/>
      <c r="AV166" s="1209"/>
      <c r="AW166" s="1209"/>
      <c r="AX166" s="1209"/>
      <c r="AY166" s="1209"/>
      <c r="AZ166" s="1209"/>
      <c r="BA166" s="1209"/>
      <c r="BB166" s="1209"/>
      <c r="BC166" s="1209"/>
      <c r="BD166" s="1209"/>
      <c r="BE166" s="1205"/>
    </row>
    <row r="167" spans="1:57" ht="15.75" customHeight="1">
      <c r="A167" s="1209"/>
      <c r="B167" s="1209"/>
      <c r="C167" s="2452" t="s">
        <v>169</v>
      </c>
      <c r="D167" s="2453"/>
      <c r="E167" s="2453"/>
      <c r="F167" s="2459" t="s">
        <v>1843</v>
      </c>
      <c r="G167" s="2459"/>
      <c r="H167" s="2459"/>
      <c r="I167" s="2459"/>
      <c r="J167" s="2459"/>
      <c r="K167" s="2459"/>
      <c r="L167" s="2459"/>
      <c r="M167" s="2459"/>
      <c r="N167" s="2459"/>
      <c r="O167" s="2459"/>
      <c r="P167" s="2459"/>
      <c r="Q167" s="2454">
        <v>55</v>
      </c>
      <c r="R167" s="2454"/>
      <c r="S167" s="2454"/>
      <c r="T167" s="2458"/>
      <c r="U167" s="2458"/>
      <c r="V167" s="2458"/>
      <c r="W167" s="2458"/>
      <c r="X167" s="2458"/>
      <c r="Y167" s="2458"/>
      <c r="Z167" s="2458"/>
      <c r="AA167" s="2458"/>
      <c r="AB167" s="2456">
        <v>0</v>
      </c>
      <c r="AC167" s="2456"/>
      <c r="AD167" s="2456"/>
      <c r="AE167" s="2456"/>
      <c r="AF167" s="2456"/>
      <c r="AG167" s="2457"/>
      <c r="AH167" s="1209"/>
      <c r="AI167" s="1209"/>
      <c r="AJ167" s="1209"/>
      <c r="AK167" s="1209" t="s">
        <v>250</v>
      </c>
      <c r="AL167" s="1209"/>
      <c r="AM167" s="1209"/>
      <c r="AN167" s="1209"/>
      <c r="AO167" s="1209"/>
      <c r="AP167" s="1209"/>
      <c r="AQ167" s="1209"/>
      <c r="AR167" s="1209"/>
      <c r="AS167" s="1209"/>
      <c r="AT167" s="1209"/>
      <c r="AU167" s="1209"/>
      <c r="AV167" s="1209"/>
      <c r="AW167" s="1209"/>
      <c r="AX167" s="1209"/>
      <c r="AY167" s="1209"/>
      <c r="AZ167" s="1209"/>
      <c r="BA167" s="1209"/>
      <c r="BB167" s="1209"/>
      <c r="BC167" s="1209"/>
      <c r="BD167" s="1209"/>
      <c r="BE167" s="1205"/>
    </row>
    <row r="168" spans="1:57" ht="15.75" customHeight="1" thickBot="1">
      <c r="A168" s="1209"/>
      <c r="B168" s="1209"/>
      <c r="C168" s="2460" t="s">
        <v>169</v>
      </c>
      <c r="D168" s="2461"/>
      <c r="E168" s="2461"/>
      <c r="F168" s="2462" t="s">
        <v>1843</v>
      </c>
      <c r="G168" s="2462"/>
      <c r="H168" s="2462"/>
      <c r="I168" s="2462"/>
      <c r="J168" s="2462"/>
      <c r="K168" s="2462"/>
      <c r="L168" s="2462"/>
      <c r="M168" s="2462"/>
      <c r="N168" s="2462"/>
      <c r="O168" s="2462"/>
      <c r="P168" s="2462"/>
      <c r="Q168" s="2463">
        <v>55</v>
      </c>
      <c r="R168" s="2463"/>
      <c r="S168" s="2463"/>
      <c r="T168" s="2464"/>
      <c r="U168" s="2464"/>
      <c r="V168" s="2464"/>
      <c r="W168" s="2464"/>
      <c r="X168" s="2464"/>
      <c r="Y168" s="2464"/>
      <c r="Z168" s="2464"/>
      <c r="AA168" s="2464"/>
      <c r="AB168" s="2465">
        <v>0</v>
      </c>
      <c r="AC168" s="2465"/>
      <c r="AD168" s="2465"/>
      <c r="AE168" s="2465"/>
      <c r="AF168" s="2465"/>
      <c r="AG168" s="2466"/>
      <c r="AH168" s="1209"/>
      <c r="AI168" s="1209"/>
      <c r="AJ168" s="1209"/>
      <c r="AK168" s="1209"/>
      <c r="AL168" s="1209"/>
      <c r="AM168" s="1209"/>
      <c r="AN168" s="1209"/>
      <c r="AO168" s="1209"/>
      <c r="AP168" s="1209"/>
      <c r="AQ168" s="1209"/>
      <c r="AR168" s="1209"/>
      <c r="AS168" s="1209"/>
      <c r="AT168" s="1209"/>
      <c r="AU168" s="1209"/>
      <c r="AV168" s="1209"/>
      <c r="AW168" s="1209"/>
      <c r="AX168" s="1209"/>
      <c r="AY168" s="1209"/>
      <c r="AZ168" s="1209"/>
      <c r="BA168" s="1209"/>
      <c r="BB168" s="1209"/>
      <c r="BC168" s="1209"/>
      <c r="BD168" s="1209"/>
      <c r="BE168" s="1205"/>
    </row>
    <row r="169" spans="1:57" ht="15.75" customHeight="1" thickBot="1">
      <c r="A169" s="1209"/>
      <c r="B169" s="1209"/>
      <c r="C169" s="1209"/>
      <c r="D169" s="1209"/>
      <c r="E169" s="1209"/>
      <c r="F169" s="1209"/>
      <c r="G169" s="1209"/>
      <c r="H169" s="1209"/>
      <c r="I169" s="1209"/>
      <c r="J169" s="1209"/>
      <c r="K169" s="1209"/>
      <c r="L169" s="1209"/>
      <c r="M169" s="1209"/>
      <c r="N169" s="1209"/>
      <c r="O169" s="1209"/>
      <c r="P169" s="1209"/>
      <c r="Q169" s="1209"/>
      <c r="R169" s="1209"/>
      <c r="S169" s="1209"/>
      <c r="T169" s="1209"/>
      <c r="U169" s="1209"/>
      <c r="V169" s="1209"/>
      <c r="W169" s="1209"/>
      <c r="X169" s="1209"/>
      <c r="Y169" s="1209"/>
      <c r="Z169" s="1209"/>
      <c r="AA169" s="1209"/>
      <c r="AB169" s="1209"/>
      <c r="AC169" s="1209"/>
      <c r="AD169" s="1209"/>
      <c r="AE169" s="1209"/>
      <c r="AF169" s="1209"/>
      <c r="AG169" s="1209"/>
      <c r="AH169" s="1209"/>
      <c r="AI169" s="1209"/>
      <c r="AJ169" s="1209"/>
      <c r="AK169" s="1209"/>
      <c r="AL169" s="1209"/>
      <c r="AM169" s="1209"/>
      <c r="AN169" s="1209"/>
      <c r="AO169" s="1209"/>
      <c r="AP169" s="1209"/>
      <c r="AQ169" s="1209"/>
      <c r="AR169" s="1209"/>
      <c r="AS169" s="1209"/>
      <c r="AT169" s="1209"/>
      <c r="AU169" s="1209"/>
      <c r="AV169" s="1209"/>
      <c r="AW169" s="1209"/>
      <c r="AX169" s="1209"/>
      <c r="AY169" s="1209"/>
      <c r="AZ169" s="1209"/>
      <c r="BA169" s="1209"/>
      <c r="BB169" s="1209"/>
      <c r="BC169" s="1209"/>
      <c r="BD169" s="1209"/>
      <c r="BE169" s="1205"/>
    </row>
    <row r="170" spans="1:57" ht="15.75" customHeight="1">
      <c r="A170" s="1209"/>
      <c r="B170" s="1209"/>
      <c r="C170" s="2477" t="s">
        <v>1844</v>
      </c>
      <c r="D170" s="2478"/>
      <c r="E170" s="2478"/>
      <c r="F170" s="2478"/>
      <c r="G170" s="2478"/>
      <c r="H170" s="2478"/>
      <c r="I170" s="2478"/>
      <c r="J170" s="2478"/>
      <c r="K170" s="2478"/>
      <c r="L170" s="2478"/>
      <c r="M170" s="2478"/>
      <c r="N170" s="2479"/>
      <c r="O170" s="1209"/>
      <c r="P170" s="2435" t="s">
        <v>1845</v>
      </c>
      <c r="Q170" s="2436"/>
      <c r="R170" s="2436"/>
      <c r="S170" s="2436"/>
      <c r="T170" s="2436"/>
      <c r="U170" s="2436"/>
      <c r="V170" s="2436"/>
      <c r="W170" s="2436"/>
      <c r="X170" s="2436"/>
      <c r="Y170" s="2436"/>
      <c r="Z170" s="2436"/>
      <c r="AA170" s="2436"/>
      <c r="AB170" s="2436"/>
      <c r="AC170" s="2436"/>
      <c r="AD170" s="2436"/>
      <c r="AE170" s="2436"/>
      <c r="AF170" s="2436"/>
      <c r="AG170" s="2436"/>
      <c r="AH170" s="2436"/>
      <c r="AI170" s="2436"/>
      <c r="AJ170" s="2436"/>
      <c r="AK170" s="2436"/>
      <c r="AL170" s="2436"/>
      <c r="AM170" s="2436"/>
      <c r="AN170" s="2436"/>
      <c r="AO170" s="2480"/>
      <c r="AP170" s="1209"/>
      <c r="AQ170" s="1209"/>
      <c r="AR170" s="1209"/>
      <c r="AS170" s="1209"/>
      <c r="AT170" s="1209"/>
      <c r="AU170" s="1209"/>
      <c r="AV170" s="1209"/>
      <c r="AW170" s="1209"/>
      <c r="AX170" s="1209"/>
      <c r="AY170" s="1209"/>
      <c r="AZ170" s="1209"/>
      <c r="BA170" s="1209"/>
      <c r="BB170" s="1209"/>
      <c r="BC170" s="1209"/>
      <c r="BD170" s="1209"/>
      <c r="BE170" s="1205"/>
    </row>
    <row r="171" spans="1:57" ht="15.75" customHeight="1">
      <c r="A171" s="1209"/>
      <c r="B171" s="1209"/>
      <c r="C171" s="2425" t="s">
        <v>1846</v>
      </c>
      <c r="D171" s="2426"/>
      <c r="E171" s="2426"/>
      <c r="F171" s="2426"/>
      <c r="G171" s="2426"/>
      <c r="H171" s="2426"/>
      <c r="I171" s="2426" t="s">
        <v>1847</v>
      </c>
      <c r="J171" s="2426"/>
      <c r="K171" s="2426"/>
      <c r="L171" s="2426"/>
      <c r="M171" s="2426"/>
      <c r="N171" s="2451"/>
      <c r="O171" s="1209"/>
      <c r="P171" s="2405" t="s">
        <v>2185</v>
      </c>
      <c r="Q171" s="2406"/>
      <c r="R171" s="2406"/>
      <c r="S171" s="2406"/>
      <c r="T171" s="2406"/>
      <c r="U171" s="2406"/>
      <c r="V171" s="2406"/>
      <c r="W171" s="2406"/>
      <c r="X171" s="2406"/>
      <c r="Y171" s="2406"/>
      <c r="Z171" s="2406"/>
      <c r="AA171" s="2406"/>
      <c r="AB171" s="2406"/>
      <c r="AC171" s="2406"/>
      <c r="AD171" s="2406"/>
      <c r="AE171" s="2406"/>
      <c r="AF171" s="2406"/>
      <c r="AG171" s="2406"/>
      <c r="AH171" s="2406"/>
      <c r="AI171" s="2406"/>
      <c r="AJ171" s="2406"/>
      <c r="AK171" s="2406"/>
      <c r="AL171" s="2406"/>
      <c r="AM171" s="2406"/>
      <c r="AN171" s="2406"/>
      <c r="AO171" s="2407"/>
      <c r="AP171" s="1209"/>
      <c r="AQ171" s="1209"/>
      <c r="AR171" s="1209"/>
      <c r="AS171" s="1209"/>
      <c r="AT171" s="1209"/>
      <c r="AU171" s="1209"/>
      <c r="AV171" s="1209"/>
      <c r="AW171" s="1209"/>
      <c r="AX171" s="1209"/>
      <c r="AY171" s="1209"/>
      <c r="AZ171" s="1209"/>
      <c r="BA171" s="1209"/>
      <c r="BB171" s="1209"/>
      <c r="BC171" s="1209"/>
      <c r="BD171" s="1209"/>
      <c r="BE171" s="1205"/>
    </row>
    <row r="172" spans="1:57" ht="15.75" customHeight="1">
      <c r="A172" s="1209"/>
      <c r="B172" s="1209"/>
      <c r="C172" s="2411"/>
      <c r="D172" s="2381"/>
      <c r="E172" s="2381"/>
      <c r="F172" s="2381"/>
      <c r="G172" s="2381"/>
      <c r="H172" s="2381"/>
      <c r="I172" s="2455"/>
      <c r="J172" s="2455"/>
      <c r="K172" s="2455"/>
      <c r="L172" s="2455"/>
      <c r="M172" s="2455"/>
      <c r="N172" s="2481"/>
      <c r="O172" s="1209"/>
      <c r="P172" s="2405"/>
      <c r="Q172" s="2406"/>
      <c r="R172" s="2406"/>
      <c r="S172" s="2406"/>
      <c r="T172" s="2406"/>
      <c r="U172" s="2406"/>
      <c r="V172" s="2406"/>
      <c r="W172" s="2406"/>
      <c r="X172" s="2406"/>
      <c r="Y172" s="2406"/>
      <c r="Z172" s="2406"/>
      <c r="AA172" s="2406"/>
      <c r="AB172" s="2406"/>
      <c r="AC172" s="2406"/>
      <c r="AD172" s="2406"/>
      <c r="AE172" s="2406"/>
      <c r="AF172" s="2406"/>
      <c r="AG172" s="2406"/>
      <c r="AH172" s="2406"/>
      <c r="AI172" s="2406"/>
      <c r="AJ172" s="2406"/>
      <c r="AK172" s="2406"/>
      <c r="AL172" s="2406"/>
      <c r="AM172" s="2406"/>
      <c r="AN172" s="2406"/>
      <c r="AO172" s="2407"/>
      <c r="AP172" s="1209"/>
      <c r="AQ172" s="1209"/>
      <c r="AR172" s="1209"/>
      <c r="AS172" s="1209"/>
      <c r="AT172" s="1209"/>
      <c r="AU172" s="1209"/>
      <c r="AV172" s="1209"/>
      <c r="AW172" s="1209"/>
      <c r="AX172" s="1209"/>
      <c r="AY172" s="1209"/>
      <c r="AZ172" s="1209"/>
      <c r="BA172" s="1209"/>
      <c r="BB172" s="1209"/>
      <c r="BC172" s="1209"/>
      <c r="BD172" s="1209"/>
      <c r="BE172" s="1205"/>
    </row>
    <row r="173" spans="1:57" ht="15.75" customHeight="1">
      <c r="A173" s="1209"/>
      <c r="B173" s="1209"/>
      <c r="C173" s="2411"/>
      <c r="D173" s="2381"/>
      <c r="E173" s="2381"/>
      <c r="F173" s="2381"/>
      <c r="G173" s="2381"/>
      <c r="H173" s="2381"/>
      <c r="I173" s="2455"/>
      <c r="J173" s="2455"/>
      <c r="K173" s="2455"/>
      <c r="L173" s="2455"/>
      <c r="M173" s="2455"/>
      <c r="N173" s="2481"/>
      <c r="O173" s="1209"/>
      <c r="P173" s="2405"/>
      <c r="Q173" s="2406"/>
      <c r="R173" s="2406"/>
      <c r="S173" s="2406"/>
      <c r="T173" s="2406"/>
      <c r="U173" s="2406"/>
      <c r="V173" s="2406"/>
      <c r="W173" s="2406"/>
      <c r="X173" s="2406"/>
      <c r="Y173" s="2406"/>
      <c r="Z173" s="2406"/>
      <c r="AA173" s="2406"/>
      <c r="AB173" s="2406"/>
      <c r="AC173" s="2406"/>
      <c r="AD173" s="2406"/>
      <c r="AE173" s="2406"/>
      <c r="AF173" s="2406"/>
      <c r="AG173" s="2406"/>
      <c r="AH173" s="2406"/>
      <c r="AI173" s="2406"/>
      <c r="AJ173" s="2406"/>
      <c r="AK173" s="2406"/>
      <c r="AL173" s="2406"/>
      <c r="AM173" s="2406"/>
      <c r="AN173" s="2406"/>
      <c r="AO173" s="2407"/>
      <c r="AP173" s="1209"/>
      <c r="AQ173" s="1209"/>
      <c r="AR173" s="1209"/>
      <c r="AS173" s="1209"/>
      <c r="AT173" s="1209"/>
      <c r="AU173" s="1209"/>
      <c r="AV173" s="1209"/>
      <c r="AW173" s="1209"/>
      <c r="AX173" s="1209"/>
      <c r="AY173" s="1209"/>
      <c r="AZ173" s="1209"/>
      <c r="BA173" s="1209"/>
      <c r="BB173" s="1209"/>
      <c r="BC173" s="1209"/>
      <c r="BD173" s="1209"/>
      <c r="BE173" s="1205"/>
    </row>
    <row r="174" spans="1:57" ht="15.75" customHeight="1">
      <c r="A174" s="1209"/>
      <c r="B174" s="1209"/>
      <c r="C174" s="2411"/>
      <c r="D174" s="2381"/>
      <c r="E174" s="2381"/>
      <c r="F174" s="2381"/>
      <c r="G174" s="2381"/>
      <c r="H174" s="2381"/>
      <c r="I174" s="2455"/>
      <c r="J174" s="2455"/>
      <c r="K174" s="2455"/>
      <c r="L174" s="2455"/>
      <c r="M174" s="2455"/>
      <c r="N174" s="2481"/>
      <c r="O174" s="1209"/>
      <c r="P174" s="2405"/>
      <c r="Q174" s="2406"/>
      <c r="R174" s="2406"/>
      <c r="S174" s="2406"/>
      <c r="T174" s="2406"/>
      <c r="U174" s="2406"/>
      <c r="V174" s="2406"/>
      <c r="W174" s="2406"/>
      <c r="X174" s="2406"/>
      <c r="Y174" s="2406"/>
      <c r="Z174" s="2406"/>
      <c r="AA174" s="2406"/>
      <c r="AB174" s="2406"/>
      <c r="AC174" s="2406"/>
      <c r="AD174" s="2406"/>
      <c r="AE174" s="2406"/>
      <c r="AF174" s="2406"/>
      <c r="AG174" s="2406"/>
      <c r="AH174" s="2406"/>
      <c r="AI174" s="2406"/>
      <c r="AJ174" s="2406"/>
      <c r="AK174" s="2406"/>
      <c r="AL174" s="2406"/>
      <c r="AM174" s="2406"/>
      <c r="AN174" s="2406"/>
      <c r="AO174" s="2407"/>
      <c r="AP174" s="1209"/>
      <c r="AQ174" s="1209"/>
      <c r="AR174" s="1209"/>
      <c r="AS174" s="1209"/>
      <c r="AT174" s="1209"/>
      <c r="AU174" s="1209"/>
      <c r="AV174" s="1209"/>
      <c r="AW174" s="1209"/>
      <c r="AX174" s="1209"/>
      <c r="AY174" s="1209"/>
      <c r="AZ174" s="1209"/>
      <c r="BA174" s="1209"/>
      <c r="BB174" s="1209"/>
      <c r="BC174" s="1209"/>
      <c r="BD174" s="1209"/>
      <c r="BE174" s="1205"/>
    </row>
    <row r="175" spans="1:57" ht="15.75" customHeight="1">
      <c r="A175" s="1209"/>
      <c r="B175" s="1209"/>
      <c r="C175" s="2411"/>
      <c r="D175" s="2381"/>
      <c r="E175" s="2381"/>
      <c r="F175" s="2381"/>
      <c r="G175" s="2381"/>
      <c r="H175" s="2381"/>
      <c r="I175" s="2455"/>
      <c r="J175" s="2455"/>
      <c r="K175" s="2455"/>
      <c r="L175" s="2455"/>
      <c r="M175" s="2455"/>
      <c r="N175" s="2481"/>
      <c r="O175" s="1209"/>
      <c r="P175" s="2405"/>
      <c r="Q175" s="2406"/>
      <c r="R175" s="2406"/>
      <c r="S175" s="2406"/>
      <c r="T175" s="2406"/>
      <c r="U175" s="2406"/>
      <c r="V175" s="2406"/>
      <c r="W175" s="2406"/>
      <c r="X175" s="2406"/>
      <c r="Y175" s="2406"/>
      <c r="Z175" s="2406"/>
      <c r="AA175" s="2406"/>
      <c r="AB175" s="2406"/>
      <c r="AC175" s="2406"/>
      <c r="AD175" s="2406"/>
      <c r="AE175" s="2406"/>
      <c r="AF175" s="2406"/>
      <c r="AG175" s="2406"/>
      <c r="AH175" s="2406"/>
      <c r="AI175" s="2406"/>
      <c r="AJ175" s="2406"/>
      <c r="AK175" s="2406"/>
      <c r="AL175" s="2406"/>
      <c r="AM175" s="2406"/>
      <c r="AN175" s="2406"/>
      <c r="AO175" s="2407"/>
      <c r="AP175" s="1209"/>
      <c r="AQ175" s="1209"/>
      <c r="AR175" s="1209"/>
      <c r="AS175" s="1209"/>
      <c r="AT175" s="1209"/>
      <c r="AU175" s="1209"/>
      <c r="AV175" s="1209"/>
      <c r="AW175" s="1209"/>
      <c r="AX175" s="1209"/>
      <c r="AY175" s="1209"/>
      <c r="AZ175" s="1209"/>
      <c r="BA175" s="1209"/>
      <c r="BB175" s="1209"/>
      <c r="BC175" s="1209"/>
      <c r="BD175" s="1209"/>
      <c r="BE175" s="1205"/>
    </row>
    <row r="176" spans="1:57" ht="15.75" customHeight="1">
      <c r="A176" s="1209"/>
      <c r="B176" s="1209"/>
      <c r="C176" s="2411"/>
      <c r="D176" s="2381"/>
      <c r="E176" s="2381"/>
      <c r="F176" s="2381"/>
      <c r="G176" s="2381"/>
      <c r="H176" s="2381"/>
      <c r="I176" s="2455"/>
      <c r="J176" s="2455"/>
      <c r="K176" s="2455"/>
      <c r="L176" s="2455"/>
      <c r="M176" s="2455"/>
      <c r="N176" s="2481"/>
      <c r="O176" s="1209"/>
      <c r="P176" s="2405"/>
      <c r="Q176" s="2406"/>
      <c r="R176" s="2406"/>
      <c r="S176" s="2406"/>
      <c r="T176" s="2406"/>
      <c r="U176" s="2406"/>
      <c r="V176" s="2406"/>
      <c r="W176" s="2406"/>
      <c r="X176" s="2406"/>
      <c r="Y176" s="2406"/>
      <c r="Z176" s="2406"/>
      <c r="AA176" s="2406"/>
      <c r="AB176" s="2406"/>
      <c r="AC176" s="2406"/>
      <c r="AD176" s="2406"/>
      <c r="AE176" s="2406"/>
      <c r="AF176" s="2406"/>
      <c r="AG176" s="2406"/>
      <c r="AH176" s="2406"/>
      <c r="AI176" s="2406"/>
      <c r="AJ176" s="2406"/>
      <c r="AK176" s="2406"/>
      <c r="AL176" s="2406"/>
      <c r="AM176" s="2406"/>
      <c r="AN176" s="2406"/>
      <c r="AO176" s="2407"/>
      <c r="AP176" s="1209"/>
      <c r="AQ176" s="1209"/>
      <c r="AR176" s="1209"/>
      <c r="AS176" s="1209"/>
      <c r="AT176" s="1209"/>
      <c r="AU176" s="1209"/>
      <c r="AV176" s="1209"/>
      <c r="AW176" s="1209"/>
      <c r="AX176" s="1209"/>
      <c r="AY176" s="1209"/>
      <c r="AZ176" s="1209"/>
      <c r="BA176" s="1209"/>
      <c r="BB176" s="1209"/>
      <c r="BC176" s="1209"/>
      <c r="BD176" s="1209"/>
      <c r="BE176" s="1205"/>
    </row>
    <row r="177" spans="1:57" ht="15.75" customHeight="1">
      <c r="A177" s="1209"/>
      <c r="B177" s="1209"/>
      <c r="C177" s="2411"/>
      <c r="D177" s="2381"/>
      <c r="E177" s="2381"/>
      <c r="F177" s="2381"/>
      <c r="G177" s="2381"/>
      <c r="H177" s="2381"/>
      <c r="I177" s="2455"/>
      <c r="J177" s="2455"/>
      <c r="K177" s="2455"/>
      <c r="L177" s="2455"/>
      <c r="M177" s="2455"/>
      <c r="N177" s="2481"/>
      <c r="O177" s="1209"/>
      <c r="P177" s="2405"/>
      <c r="Q177" s="2406"/>
      <c r="R177" s="2406"/>
      <c r="S177" s="2406"/>
      <c r="T177" s="2406"/>
      <c r="U177" s="2406"/>
      <c r="V177" s="2406"/>
      <c r="W177" s="2406"/>
      <c r="X177" s="2406"/>
      <c r="Y177" s="2406"/>
      <c r="Z177" s="2406"/>
      <c r="AA177" s="2406"/>
      <c r="AB177" s="2406"/>
      <c r="AC177" s="2406"/>
      <c r="AD177" s="2406"/>
      <c r="AE177" s="2406"/>
      <c r="AF177" s="2406"/>
      <c r="AG177" s="2406"/>
      <c r="AH177" s="2406"/>
      <c r="AI177" s="2406"/>
      <c r="AJ177" s="2406"/>
      <c r="AK177" s="2406"/>
      <c r="AL177" s="2406"/>
      <c r="AM177" s="2406"/>
      <c r="AN177" s="2406"/>
      <c r="AO177" s="2407"/>
      <c r="AP177" s="1209"/>
      <c r="AQ177" s="1209"/>
      <c r="AR177" s="1209"/>
      <c r="AS177" s="1209"/>
      <c r="AT177" s="1209"/>
      <c r="AU177" s="1209"/>
      <c r="AV177" s="1209"/>
      <c r="AW177" s="1209"/>
      <c r="AX177" s="1209"/>
      <c r="AY177" s="1209"/>
      <c r="AZ177" s="1209"/>
      <c r="BA177" s="1209"/>
      <c r="BB177" s="1209"/>
      <c r="BC177" s="1209"/>
      <c r="BD177" s="1209"/>
      <c r="BE177" s="1205"/>
    </row>
    <row r="178" spans="1:57" ht="15.75" customHeight="1" thickBot="1">
      <c r="A178" s="1209"/>
      <c r="B178" s="1209"/>
      <c r="C178" s="2467"/>
      <c r="D178" s="2468"/>
      <c r="E178" s="2468"/>
      <c r="F178" s="2468"/>
      <c r="G178" s="2468"/>
      <c r="H178" s="2468"/>
      <c r="I178" s="2469"/>
      <c r="J178" s="2469"/>
      <c r="K178" s="2469"/>
      <c r="L178" s="2469"/>
      <c r="M178" s="2469"/>
      <c r="N178" s="2470"/>
      <c r="O178" s="1209"/>
      <c r="P178" s="2408"/>
      <c r="Q178" s="2409"/>
      <c r="R178" s="2409"/>
      <c r="S178" s="2409"/>
      <c r="T178" s="2409"/>
      <c r="U178" s="2409"/>
      <c r="V178" s="2409"/>
      <c r="W178" s="2409"/>
      <c r="X178" s="2409"/>
      <c r="Y178" s="2409"/>
      <c r="Z178" s="2409"/>
      <c r="AA178" s="2409"/>
      <c r="AB178" s="2409"/>
      <c r="AC178" s="2409"/>
      <c r="AD178" s="2409"/>
      <c r="AE178" s="2409"/>
      <c r="AF178" s="2409"/>
      <c r="AG178" s="2409"/>
      <c r="AH178" s="2409"/>
      <c r="AI178" s="2409"/>
      <c r="AJ178" s="2409"/>
      <c r="AK178" s="2409"/>
      <c r="AL178" s="2409"/>
      <c r="AM178" s="2409"/>
      <c r="AN178" s="2409"/>
      <c r="AO178" s="2410"/>
      <c r="AP178" s="1209"/>
      <c r="AQ178" s="1209"/>
      <c r="AR178" s="1209"/>
      <c r="AS178" s="1209"/>
      <c r="AT178" s="1209"/>
      <c r="AU178" s="1209"/>
      <c r="AV178" s="1209"/>
      <c r="AW178" s="1209"/>
      <c r="AX178" s="1209"/>
      <c r="AY178" s="1209"/>
      <c r="AZ178" s="1209"/>
      <c r="BA178" s="1209"/>
      <c r="BB178" s="1209"/>
      <c r="BC178" s="1209"/>
      <c r="BD178" s="1209"/>
      <c r="BE178" s="1205"/>
    </row>
    <row r="179" spans="1:57" ht="15.75" customHeight="1" thickBot="1">
      <c r="A179" s="1209"/>
      <c r="B179" s="1209"/>
      <c r="C179" s="1209"/>
      <c r="D179" s="1209"/>
      <c r="E179" s="1209"/>
      <c r="F179" s="1209"/>
      <c r="G179" s="1209"/>
      <c r="H179" s="1209"/>
      <c r="I179" s="1209"/>
      <c r="J179" s="1209"/>
      <c r="K179" s="1209"/>
      <c r="L179" s="1209"/>
      <c r="M179" s="1209"/>
      <c r="N179" s="1209"/>
      <c r="O179" s="1209"/>
      <c r="P179" s="1209"/>
      <c r="Q179" s="1209"/>
      <c r="R179" s="1209"/>
      <c r="S179" s="1209"/>
      <c r="T179" s="1209"/>
      <c r="U179" s="1209"/>
      <c r="V179" s="1209"/>
      <c r="W179" s="1209"/>
      <c r="X179" s="1209"/>
      <c r="Y179" s="1209"/>
      <c r="Z179" s="1209"/>
      <c r="AA179" s="1209"/>
      <c r="AB179" s="1209"/>
      <c r="AC179" s="1209"/>
      <c r="AD179" s="1209"/>
      <c r="AE179" s="1209"/>
      <c r="AF179" s="1209"/>
      <c r="AG179" s="1209"/>
      <c r="AH179" s="1209"/>
      <c r="AI179" s="1209"/>
      <c r="AJ179" s="1209"/>
      <c r="AK179" s="1209"/>
      <c r="AL179" s="1209"/>
      <c r="AM179" s="1209"/>
      <c r="AN179" s="1209"/>
      <c r="AO179" s="1209"/>
      <c r="AP179" s="1209"/>
      <c r="AQ179" s="1209"/>
      <c r="AR179" s="1209"/>
      <c r="AS179" s="1209"/>
      <c r="AT179" s="1209"/>
      <c r="AU179" s="1209"/>
      <c r="AV179" s="1209"/>
      <c r="AW179" s="1209"/>
      <c r="AX179" s="1209"/>
      <c r="AY179" s="1209"/>
      <c r="AZ179" s="1209"/>
      <c r="BA179" s="1209"/>
      <c r="BB179" s="1209"/>
      <c r="BC179" s="1209"/>
      <c r="BD179" s="1209"/>
      <c r="BE179" s="1205"/>
    </row>
    <row r="180" spans="1:57" ht="15.75" customHeight="1" thickBot="1">
      <c r="A180" s="1209"/>
      <c r="B180" s="1209"/>
      <c r="C180" s="2471" t="s">
        <v>2487</v>
      </c>
      <c r="D180" s="2472"/>
      <c r="E180" s="2472"/>
      <c r="F180" s="2472"/>
      <c r="G180" s="2472"/>
      <c r="H180" s="2472"/>
      <c r="I180" s="2472"/>
      <c r="J180" s="2472"/>
      <c r="K180" s="2472"/>
      <c r="L180" s="2472"/>
      <c r="M180" s="2472"/>
      <c r="N180" s="2472"/>
      <c r="O180" s="2472"/>
      <c r="P180" s="2472"/>
      <c r="Q180" s="2472"/>
      <c r="R180" s="2472"/>
      <c r="S180" s="2472"/>
      <c r="T180" s="2472"/>
      <c r="U180" s="2472"/>
      <c r="V180" s="2472"/>
      <c r="W180" s="2472"/>
      <c r="X180" s="2472"/>
      <c r="Y180" s="2472"/>
      <c r="Z180" s="2472"/>
      <c r="AA180" s="2472"/>
      <c r="AB180" s="2472"/>
      <c r="AC180" s="2472"/>
      <c r="AD180" s="2472"/>
      <c r="AE180" s="2473"/>
      <c r="AF180" s="1209"/>
      <c r="AG180" s="1209"/>
      <c r="AH180" s="2226" t="s">
        <v>2604</v>
      </c>
      <c r="AI180" s="2227"/>
      <c r="AJ180" s="2227"/>
      <c r="AK180" s="2227"/>
      <c r="AL180" s="2227"/>
      <c r="AM180" s="2227"/>
      <c r="AN180" s="2227"/>
      <c r="AO180" s="2227"/>
      <c r="AP180" s="2227"/>
      <c r="AQ180" s="2227"/>
      <c r="AR180" s="2227"/>
      <c r="AS180" s="2227"/>
      <c r="AT180" s="2227"/>
      <c r="AU180" s="2227"/>
      <c r="AV180" s="2227"/>
      <c r="AW180" s="2227"/>
      <c r="AX180" s="2227"/>
      <c r="AY180" s="2227"/>
      <c r="AZ180" s="2227"/>
      <c r="BA180" s="2227"/>
      <c r="BB180" s="2227"/>
      <c r="BC180" s="2227"/>
      <c r="BD180" s="2227"/>
      <c r="BE180" s="2228"/>
    </row>
    <row r="181" spans="1:57" ht="15.75" customHeight="1" thickBot="1">
      <c r="A181" s="1209"/>
      <c r="B181" s="1209"/>
      <c r="C181" s="2474"/>
      <c r="D181" s="2475"/>
      <c r="E181" s="2475"/>
      <c r="F181" s="2475"/>
      <c r="G181" s="2475"/>
      <c r="H181" s="2475"/>
      <c r="I181" s="2475"/>
      <c r="J181" s="2475"/>
      <c r="K181" s="2475"/>
      <c r="L181" s="2475"/>
      <c r="M181" s="2475"/>
      <c r="N181" s="2475"/>
      <c r="O181" s="2475"/>
      <c r="P181" s="2475"/>
      <c r="Q181" s="2475"/>
      <c r="R181" s="2475"/>
      <c r="S181" s="2475"/>
      <c r="T181" s="2475"/>
      <c r="U181" s="2475"/>
      <c r="V181" s="2475"/>
      <c r="W181" s="2475"/>
      <c r="X181" s="2475"/>
      <c r="Y181" s="2475"/>
      <c r="Z181" s="2475"/>
      <c r="AA181" s="2475"/>
      <c r="AB181" s="2475"/>
      <c r="AC181" s="2475"/>
      <c r="AD181" s="2475"/>
      <c r="AE181" s="2476"/>
      <c r="AF181" s="1209"/>
      <c r="AG181" s="1209"/>
      <c r="AH181" s="2229" t="s">
        <v>2625</v>
      </c>
      <c r="AI181" s="2229"/>
      <c r="AJ181" s="2229"/>
      <c r="AK181" s="2229"/>
      <c r="AL181" s="2229"/>
      <c r="AM181" s="2229"/>
      <c r="AN181" s="2229"/>
      <c r="AO181" s="2229"/>
      <c r="AP181" s="2229"/>
      <c r="AQ181" s="2229"/>
      <c r="AR181" s="2229"/>
      <c r="AS181" s="2229"/>
      <c r="AT181" s="2229"/>
      <c r="AU181" s="2229"/>
      <c r="AV181" s="2229"/>
      <c r="AW181" s="2229"/>
      <c r="AX181" s="2229"/>
      <c r="AY181" s="2229"/>
      <c r="AZ181" s="2229"/>
      <c r="BA181" s="2229"/>
      <c r="BB181" s="2229"/>
      <c r="BC181" s="2229"/>
      <c r="BD181" s="2229"/>
      <c r="BE181" s="2229"/>
    </row>
    <row r="182" spans="1:57" ht="15.75" customHeight="1">
      <c r="A182" s="1209"/>
      <c r="B182" s="1209"/>
      <c r="C182" s="2477" t="s">
        <v>1837</v>
      </c>
      <c r="D182" s="2478"/>
      <c r="E182" s="2478"/>
      <c r="F182" s="2478"/>
      <c r="G182" s="2478"/>
      <c r="H182" s="2478"/>
      <c r="I182" s="2478"/>
      <c r="J182" s="2478"/>
      <c r="K182" s="2478"/>
      <c r="L182" s="2478"/>
      <c r="M182" s="2478"/>
      <c r="N182" s="2478" t="s">
        <v>1848</v>
      </c>
      <c r="O182" s="2478"/>
      <c r="P182" s="2478"/>
      <c r="Q182" s="2478"/>
      <c r="R182" s="2478"/>
      <c r="S182" s="2478"/>
      <c r="T182" s="2478"/>
      <c r="U182" s="2373" t="s">
        <v>1837</v>
      </c>
      <c r="V182" s="2373"/>
      <c r="W182" s="2373"/>
      <c r="X182" s="2373"/>
      <c r="Y182" s="2373"/>
      <c r="Z182" s="2373"/>
      <c r="AA182" s="2373"/>
      <c r="AB182" s="2373"/>
      <c r="AC182" s="2373"/>
      <c r="AD182" s="2373"/>
      <c r="AE182" s="2374"/>
      <c r="AF182" s="1209"/>
      <c r="AG182" s="1209"/>
      <c r="AH182" s="2230" t="s">
        <v>2609</v>
      </c>
      <c r="AI182" s="2230"/>
      <c r="AJ182" s="2230"/>
      <c r="AK182" s="2230"/>
      <c r="AL182" s="2230"/>
      <c r="AM182" s="2230"/>
      <c r="AN182" s="2230"/>
      <c r="AO182" s="2230"/>
      <c r="AP182" s="2230"/>
      <c r="AQ182" s="2230"/>
      <c r="AR182" s="2230"/>
      <c r="AS182" s="2230"/>
      <c r="AT182" s="2230"/>
      <c r="AU182" s="2196">
        <v>2500000</v>
      </c>
      <c r="AV182" s="2196"/>
      <c r="AW182" s="2196"/>
      <c r="AX182" s="2196"/>
      <c r="AY182" s="2196"/>
      <c r="AZ182" s="2196"/>
      <c r="BA182" s="2196"/>
      <c r="BB182" s="2196"/>
      <c r="BC182" s="2204"/>
      <c r="BD182" s="2205"/>
      <c r="BE182" s="2206"/>
    </row>
    <row r="183" spans="1:57" ht="15.75" customHeight="1">
      <c r="A183" s="1209"/>
      <c r="B183" s="1209"/>
      <c r="C183" s="2220" t="s">
        <v>2488</v>
      </c>
      <c r="D183" s="2221"/>
      <c r="E183" s="2221"/>
      <c r="F183" s="2221"/>
      <c r="G183" s="2221"/>
      <c r="H183" s="2221"/>
      <c r="I183" s="2221"/>
      <c r="J183" s="2221"/>
      <c r="K183" s="2221"/>
      <c r="L183" s="2221"/>
      <c r="M183" s="2221"/>
      <c r="N183" s="2483">
        <f>'Sources and Uses Budget'!B105</f>
        <v>110111142</v>
      </c>
      <c r="O183" s="2483"/>
      <c r="P183" s="2483"/>
      <c r="Q183" s="2483"/>
      <c r="R183" s="2483"/>
      <c r="S183" s="2483"/>
      <c r="T183" s="2483"/>
      <c r="U183" s="2484"/>
      <c r="V183" s="2484"/>
      <c r="W183" s="2484"/>
      <c r="X183" s="2484"/>
      <c r="Y183" s="2484"/>
      <c r="Z183" s="2484"/>
      <c r="AA183" s="2484"/>
      <c r="AB183" s="2484"/>
      <c r="AC183" s="2484"/>
      <c r="AD183" s="2484"/>
      <c r="AE183" s="2485"/>
      <c r="AF183" s="1209"/>
      <c r="AG183" s="1209"/>
      <c r="AH183" s="2230" t="s">
        <v>2608</v>
      </c>
      <c r="AI183" s="2230"/>
      <c r="AJ183" s="2230"/>
      <c r="AK183" s="2230"/>
      <c r="AL183" s="2230"/>
      <c r="AM183" s="2230"/>
      <c r="AN183" s="2230"/>
      <c r="AO183" s="2230"/>
      <c r="AP183" s="2230"/>
      <c r="AQ183" s="2230"/>
      <c r="AR183" s="2230"/>
      <c r="AS183" s="2230"/>
      <c r="AT183" s="2230"/>
      <c r="AU183" s="2197">
        <f>MAX(0,Application!AG439-100)*20000</f>
        <v>460000</v>
      </c>
      <c r="AV183" s="2197"/>
      <c r="AW183" s="2197"/>
      <c r="AX183" s="2197"/>
      <c r="AY183" s="2197"/>
      <c r="AZ183" s="2197"/>
      <c r="BA183" s="2197"/>
      <c r="BB183" s="2197"/>
      <c r="BC183" s="2201"/>
      <c r="BD183" s="2202"/>
      <c r="BE183" s="2203"/>
    </row>
    <row r="184" spans="1:57" ht="15.75" customHeight="1">
      <c r="A184" s="1209"/>
      <c r="B184" s="1209"/>
      <c r="C184" s="2220" t="s">
        <v>2489</v>
      </c>
      <c r="D184" s="2221"/>
      <c r="E184" s="2221"/>
      <c r="F184" s="2221"/>
      <c r="G184" s="2221"/>
      <c r="H184" s="2221"/>
      <c r="I184" s="2221"/>
      <c r="J184" s="2221"/>
      <c r="K184" s="2221"/>
      <c r="L184" s="2221"/>
      <c r="M184" s="2221"/>
      <c r="N184" s="2483">
        <f>N183/J29</f>
        <v>895212.53658536589</v>
      </c>
      <c r="O184" s="2483"/>
      <c r="P184" s="2483"/>
      <c r="Q184" s="2483"/>
      <c r="R184" s="2483"/>
      <c r="S184" s="2483"/>
      <c r="T184" s="2483"/>
      <c r="U184" s="1225"/>
      <c r="V184" s="1225"/>
      <c r="W184" s="1225"/>
      <c r="X184" s="1225"/>
      <c r="Y184" s="1225"/>
      <c r="Z184" s="1225"/>
      <c r="AA184" s="1225"/>
      <c r="AB184" s="1225"/>
      <c r="AC184" s="1225"/>
      <c r="AD184" s="1225"/>
      <c r="AE184" s="1224"/>
      <c r="AF184" s="1209"/>
      <c r="AG184" s="1209"/>
      <c r="AH184" s="2207" t="s">
        <v>2607</v>
      </c>
      <c r="AI184" s="2207"/>
      <c r="AJ184" s="2207"/>
      <c r="AK184" s="2207"/>
      <c r="AL184" s="2207"/>
      <c r="AM184" s="2207"/>
      <c r="AN184" s="2207"/>
      <c r="AO184" s="2207"/>
      <c r="AP184" s="2207"/>
      <c r="AQ184" s="2207"/>
      <c r="AR184" s="2207"/>
      <c r="AS184" s="2207"/>
      <c r="AT184" s="2207"/>
      <c r="AU184" s="2198">
        <f>AU182+AU183</f>
        <v>2960000</v>
      </c>
      <c r="AV184" s="2198"/>
      <c r="AW184" s="2198"/>
      <c r="AX184" s="2198"/>
      <c r="AY184" s="2198"/>
      <c r="AZ184" s="2198"/>
      <c r="BA184" s="2198"/>
      <c r="BB184" s="2198"/>
      <c r="BC184" s="2201"/>
      <c r="BD184" s="2202"/>
      <c r="BE184" s="2203"/>
    </row>
    <row r="185" spans="1:57" ht="15.75" customHeight="1">
      <c r="A185" s="1209"/>
      <c r="B185" s="1209"/>
      <c r="C185" s="2486" t="s">
        <v>2490</v>
      </c>
      <c r="D185" s="2487"/>
      <c r="E185" s="2487"/>
      <c r="F185" s="2487"/>
      <c r="G185" s="2487"/>
      <c r="H185" s="2487"/>
      <c r="I185" s="2487"/>
      <c r="J185" s="2487"/>
      <c r="K185" s="2487"/>
      <c r="L185" s="2487"/>
      <c r="M185" s="2487"/>
      <c r="N185" s="2412">
        <v>0</v>
      </c>
      <c r="O185" s="2412"/>
      <c r="P185" s="2412"/>
      <c r="Q185" s="2412"/>
      <c r="R185" s="2412"/>
      <c r="S185" s="2412"/>
      <c r="T185" s="2412"/>
      <c r="U185" s="2390"/>
      <c r="V185" s="2390"/>
      <c r="W185" s="2390"/>
      <c r="X185" s="2390"/>
      <c r="Y185" s="2390"/>
      <c r="Z185" s="2390"/>
      <c r="AA185" s="2390"/>
      <c r="AB185" s="2390"/>
      <c r="AC185" s="2390"/>
      <c r="AD185" s="2390"/>
      <c r="AE185" s="2391"/>
      <c r="AF185" s="1209"/>
      <c r="AG185" s="1209"/>
      <c r="AH185" s="2200" t="s">
        <v>2606</v>
      </c>
      <c r="AI185" s="2200"/>
      <c r="AJ185" s="2200"/>
      <c r="AK185" s="2200"/>
      <c r="AL185" s="2200"/>
      <c r="AM185" s="2200"/>
      <c r="AN185" s="2200"/>
      <c r="AO185" s="2200"/>
      <c r="AP185" s="2200"/>
      <c r="AQ185" s="2200"/>
      <c r="AR185" s="2200"/>
      <c r="AS185" s="2200"/>
      <c r="AT185" s="2200"/>
      <c r="AU185" s="2199" t="str">
        <f>IF(AU189-AU192&lt;=AU184,"Y","N")</f>
        <v>Y</v>
      </c>
      <c r="AV185" s="2199"/>
      <c r="AW185" s="2199"/>
      <c r="AX185" s="2199"/>
      <c r="AY185" s="2199"/>
      <c r="AZ185" s="2199"/>
      <c r="BA185" s="2199"/>
      <c r="BB185" s="2199"/>
      <c r="BC185" s="2201"/>
      <c r="BD185" s="2202"/>
      <c r="BE185" s="2203"/>
    </row>
    <row r="186" spans="1:57" ht="15.75" customHeight="1" thickBot="1">
      <c r="A186" s="1209"/>
      <c r="B186" s="1209"/>
      <c r="C186" s="2220" t="s">
        <v>2491</v>
      </c>
      <c r="D186" s="2221"/>
      <c r="E186" s="2221"/>
      <c r="F186" s="2221"/>
      <c r="G186" s="2221"/>
      <c r="H186" s="2221"/>
      <c r="I186" s="2221"/>
      <c r="J186" s="2221"/>
      <c r="K186" s="2221"/>
      <c r="L186" s="2221"/>
      <c r="M186" s="2221"/>
      <c r="N186" s="2482">
        <f>SUM('Sources and Uses Budget'!B85:B86)</f>
        <v>3620393</v>
      </c>
      <c r="O186" s="2482"/>
      <c r="P186" s="2482"/>
      <c r="Q186" s="2482"/>
      <c r="R186" s="2482"/>
      <c r="S186" s="2482"/>
      <c r="T186" s="2482"/>
      <c r="U186" s="2390"/>
      <c r="V186" s="2390"/>
      <c r="W186" s="2390"/>
      <c r="X186" s="2390"/>
      <c r="Y186" s="2390"/>
      <c r="Z186" s="2390"/>
      <c r="AA186" s="2390"/>
      <c r="AB186" s="2390"/>
      <c r="AC186" s="2390"/>
      <c r="AD186" s="2390"/>
      <c r="AE186" s="2391"/>
      <c r="AF186" s="1209"/>
      <c r="AG186" s="1209"/>
      <c r="AH186" s="1223"/>
      <c r="AI186" s="1209"/>
      <c r="AJ186" s="1209"/>
      <c r="AK186" s="1209"/>
      <c r="AL186" s="1209"/>
      <c r="AM186" s="1209"/>
      <c r="AN186" s="1209"/>
      <c r="AO186" s="1209"/>
      <c r="AP186" s="1209"/>
      <c r="AQ186" s="1209"/>
      <c r="AR186" s="1209"/>
      <c r="AS186" s="1209"/>
      <c r="AT186" s="1209"/>
      <c r="AU186" s="1209"/>
      <c r="AV186" s="1209"/>
      <c r="AW186" s="1209"/>
      <c r="AX186" s="1209"/>
      <c r="AY186" s="1209"/>
      <c r="AZ186" s="1209"/>
      <c r="BA186" s="1209"/>
      <c r="BB186" s="1209"/>
      <c r="BC186" s="1209"/>
      <c r="BD186" s="1209"/>
      <c r="BE186" s="1205"/>
    </row>
    <row r="187" spans="1:57" ht="15.75" customHeight="1" thickBot="1">
      <c r="A187" s="1209"/>
      <c r="B187" s="1209"/>
      <c r="C187" s="2220" t="s">
        <v>2492</v>
      </c>
      <c r="D187" s="2221"/>
      <c r="E187" s="2221"/>
      <c r="F187" s="2221"/>
      <c r="G187" s="2221"/>
      <c r="H187" s="2221"/>
      <c r="I187" s="2221"/>
      <c r="J187" s="2221"/>
      <c r="K187" s="2221"/>
      <c r="L187" s="2221"/>
      <c r="M187" s="2221"/>
      <c r="N187" s="2482">
        <f>'Sources and Uses Budget'!B8</f>
        <v>1130055</v>
      </c>
      <c r="O187" s="2482"/>
      <c r="P187" s="2482"/>
      <c r="Q187" s="2482"/>
      <c r="R187" s="2482"/>
      <c r="S187" s="2482"/>
      <c r="T187" s="2482"/>
      <c r="U187" s="2390"/>
      <c r="V187" s="2390"/>
      <c r="W187" s="2390"/>
      <c r="X187" s="2390"/>
      <c r="Y187" s="2390"/>
      <c r="Z187" s="2390"/>
      <c r="AA187" s="2390"/>
      <c r="AB187" s="2390"/>
      <c r="AC187" s="2390"/>
      <c r="AD187" s="2390"/>
      <c r="AE187" s="2391"/>
      <c r="AF187" s="1209"/>
      <c r="AG187" s="1209"/>
      <c r="AH187" s="2489" t="s">
        <v>1849</v>
      </c>
      <c r="AI187" s="2490"/>
      <c r="AJ187" s="2490"/>
      <c r="AK187" s="2490"/>
      <c r="AL187" s="2490"/>
      <c r="AM187" s="2490"/>
      <c r="AN187" s="2490"/>
      <c r="AO187" s="2490"/>
      <c r="AP187" s="2490"/>
      <c r="AQ187" s="2490"/>
      <c r="AR187" s="2490"/>
      <c r="AS187" s="2490"/>
      <c r="AT187" s="2490"/>
      <c r="AU187" s="2490"/>
      <c r="AV187" s="2490"/>
      <c r="AW187" s="2490"/>
      <c r="AX187" s="2490"/>
      <c r="AY187" s="2490"/>
      <c r="AZ187" s="2490"/>
      <c r="BA187" s="2490"/>
      <c r="BB187" s="2490"/>
      <c r="BC187" s="2490"/>
      <c r="BD187" s="2490"/>
      <c r="BE187" s="2491"/>
    </row>
    <row r="188" spans="1:57" ht="15.75" customHeight="1">
      <c r="A188" s="1209"/>
      <c r="B188" s="1209"/>
      <c r="C188" s="2220" t="s">
        <v>2493</v>
      </c>
      <c r="D188" s="2221"/>
      <c r="E188" s="2221"/>
      <c r="F188" s="2221"/>
      <c r="G188" s="2221"/>
      <c r="H188" s="2221"/>
      <c r="I188" s="2221"/>
      <c r="J188" s="2221"/>
      <c r="K188" s="2221"/>
      <c r="L188" s="2221"/>
      <c r="M188" s="2221"/>
      <c r="N188" s="2497">
        <v>0</v>
      </c>
      <c r="O188" s="2497"/>
      <c r="P188" s="2497"/>
      <c r="Q188" s="2497"/>
      <c r="R188" s="2497"/>
      <c r="S188" s="2497"/>
      <c r="T188" s="2497"/>
      <c r="U188" s="2390"/>
      <c r="V188" s="2390"/>
      <c r="W188" s="2390"/>
      <c r="X188" s="2390"/>
      <c r="Y188" s="2390"/>
      <c r="Z188" s="2390"/>
      <c r="AA188" s="2390"/>
      <c r="AB188" s="2390"/>
      <c r="AC188" s="2390"/>
      <c r="AD188" s="2390"/>
      <c r="AE188" s="2391"/>
      <c r="AF188" s="1209"/>
      <c r="AG188" s="1209"/>
      <c r="AH188" s="2492" t="s">
        <v>1849</v>
      </c>
      <c r="AI188" s="2492"/>
      <c r="AJ188" s="2492"/>
      <c r="AK188" s="2492"/>
      <c r="AL188" s="2492"/>
      <c r="AM188" s="2492"/>
      <c r="AN188" s="2492"/>
      <c r="AO188" s="2492"/>
      <c r="AP188" s="2492"/>
      <c r="AQ188" s="2492"/>
      <c r="AR188" s="2492"/>
      <c r="AS188" s="2492"/>
      <c r="AT188" s="2492"/>
      <c r="AU188" s="2493">
        <v>0</v>
      </c>
      <c r="AV188" s="2493"/>
      <c r="AW188" s="2493"/>
      <c r="AX188" s="2493"/>
      <c r="AY188" s="2493"/>
      <c r="AZ188" s="2493"/>
      <c r="BA188" s="2493"/>
      <c r="BB188" s="2493"/>
      <c r="BC188" s="2494"/>
      <c r="BD188" s="2495"/>
      <c r="BE188" s="2496"/>
    </row>
    <row r="189" spans="1:57" ht="15.75" customHeight="1">
      <c r="A189" s="1209"/>
      <c r="B189" s="1209"/>
      <c r="C189" s="2220" t="s">
        <v>2494</v>
      </c>
      <c r="D189" s="2221"/>
      <c r="E189" s="2221"/>
      <c r="F189" s="2221"/>
      <c r="G189" s="2221"/>
      <c r="H189" s="2221"/>
      <c r="I189" s="2221"/>
      <c r="J189" s="2221"/>
      <c r="K189" s="2221"/>
      <c r="L189" s="2221"/>
      <c r="M189" s="2221"/>
      <c r="N189" s="2497">
        <v>0</v>
      </c>
      <c r="O189" s="2497"/>
      <c r="P189" s="2497"/>
      <c r="Q189" s="2497"/>
      <c r="R189" s="2497"/>
      <c r="S189" s="2497"/>
      <c r="T189" s="2497"/>
      <c r="U189" s="2390"/>
      <c r="V189" s="2390"/>
      <c r="W189" s="2390"/>
      <c r="X189" s="2390"/>
      <c r="Y189" s="2390"/>
      <c r="Z189" s="2390"/>
      <c r="AA189" s="2390"/>
      <c r="AB189" s="2390"/>
      <c r="AC189" s="2390"/>
      <c r="AD189" s="2390"/>
      <c r="AE189" s="2391"/>
      <c r="AF189" s="1209"/>
      <c r="AG189" s="1209"/>
      <c r="AH189" s="2230" t="s">
        <v>2605</v>
      </c>
      <c r="AI189" s="2230"/>
      <c r="AJ189" s="2230"/>
      <c r="AK189" s="2230"/>
      <c r="AL189" s="2230"/>
      <c r="AM189" s="2230"/>
      <c r="AN189" s="2230"/>
      <c r="AO189" s="2230"/>
      <c r="AP189" s="2230"/>
      <c r="AQ189" s="2230"/>
      <c r="AR189" s="2230"/>
      <c r="AS189" s="2230"/>
      <c r="AT189" s="2230"/>
      <c r="AU189" s="2488"/>
      <c r="AV189" s="2488"/>
      <c r="AW189" s="2488"/>
      <c r="AX189" s="2488"/>
      <c r="AY189" s="2488"/>
      <c r="AZ189" s="2488"/>
      <c r="BA189" s="2488"/>
      <c r="BB189" s="2488"/>
      <c r="BC189" s="2201"/>
      <c r="BD189" s="2202"/>
      <c r="BE189" s="2203"/>
    </row>
    <row r="190" spans="1:57" ht="15.75" customHeight="1">
      <c r="A190" s="1209"/>
      <c r="B190" s="1209"/>
      <c r="C190" s="2523" t="s">
        <v>300</v>
      </c>
      <c r="D190" s="2454"/>
      <c r="E190" s="2522" t="s">
        <v>1843</v>
      </c>
      <c r="F190" s="2522"/>
      <c r="G190" s="2522"/>
      <c r="H190" s="2522"/>
      <c r="I190" s="2522"/>
      <c r="J190" s="2522"/>
      <c r="K190" s="2522"/>
      <c r="L190" s="2522"/>
      <c r="M190" s="2522"/>
      <c r="N190" s="2497">
        <v>0</v>
      </c>
      <c r="O190" s="2497"/>
      <c r="P190" s="2497"/>
      <c r="Q190" s="2497"/>
      <c r="R190" s="2497"/>
      <c r="S190" s="2497"/>
      <c r="T190" s="2497"/>
      <c r="U190" s="2390"/>
      <c r="V190" s="2390"/>
      <c r="W190" s="2390"/>
      <c r="X190" s="2390"/>
      <c r="Y190" s="2390"/>
      <c r="Z190" s="2390"/>
      <c r="AA190" s="2390"/>
      <c r="AB190" s="2390"/>
      <c r="AC190" s="2390"/>
      <c r="AD190" s="2390"/>
      <c r="AE190" s="2391"/>
      <c r="AF190" s="1209"/>
      <c r="AG190" s="1209"/>
      <c r="AH190" s="2207" t="s">
        <v>2604</v>
      </c>
      <c r="AI190" s="2207"/>
      <c r="AJ190" s="2207"/>
      <c r="AK190" s="2207"/>
      <c r="AL190" s="2207"/>
      <c r="AM190" s="2207"/>
      <c r="AN190" s="2207"/>
      <c r="AO190" s="2207"/>
      <c r="AP190" s="2207"/>
      <c r="AQ190" s="2207"/>
      <c r="AR190" s="2207"/>
      <c r="AS190" s="2207"/>
      <c r="AT190" s="2207"/>
      <c r="AU190" s="2198">
        <f>SUM(AU188:BB189)</f>
        <v>0</v>
      </c>
      <c r="AV190" s="2198"/>
      <c r="AW190" s="2198"/>
      <c r="AX190" s="2198"/>
      <c r="AY190" s="2198"/>
      <c r="AZ190" s="2198"/>
      <c r="BA190" s="2198"/>
      <c r="BB190" s="2198"/>
      <c r="BC190" s="2201"/>
      <c r="BD190" s="2202"/>
      <c r="BE190" s="2203"/>
    </row>
    <row r="191" spans="1:57" ht="15.75" customHeight="1" thickBot="1">
      <c r="A191" s="1209"/>
      <c r="B191" s="1209"/>
      <c r="C191" s="2411" t="s">
        <v>300</v>
      </c>
      <c r="D191" s="2381"/>
      <c r="E191" s="2522" t="s">
        <v>1843</v>
      </c>
      <c r="F191" s="2522"/>
      <c r="G191" s="2522"/>
      <c r="H191" s="2522"/>
      <c r="I191" s="2522"/>
      <c r="J191" s="2522"/>
      <c r="K191" s="2522"/>
      <c r="L191" s="2522"/>
      <c r="M191" s="2522"/>
      <c r="N191" s="2497">
        <v>0</v>
      </c>
      <c r="O191" s="2497"/>
      <c r="P191" s="2497"/>
      <c r="Q191" s="2497"/>
      <c r="R191" s="2497"/>
      <c r="S191" s="2497"/>
      <c r="T191" s="2497"/>
      <c r="U191" s="2390"/>
      <c r="V191" s="2390"/>
      <c r="W191" s="2390"/>
      <c r="X191" s="2390"/>
      <c r="Y191" s="2390"/>
      <c r="Z191" s="2390"/>
      <c r="AA191" s="2390"/>
      <c r="AB191" s="2390"/>
      <c r="AC191" s="2390"/>
      <c r="AD191" s="2390"/>
      <c r="AE191" s="2391"/>
      <c r="AF191" s="1209"/>
      <c r="AG191" s="1209"/>
      <c r="AH191" s="1209"/>
      <c r="AI191" s="1209"/>
      <c r="AJ191" s="1209"/>
      <c r="AK191" s="1209"/>
      <c r="AL191" s="1209"/>
      <c r="AM191" s="1209"/>
      <c r="AN191" s="1209"/>
      <c r="AO191" s="1209"/>
      <c r="AP191" s="1209"/>
      <c r="AQ191" s="1209"/>
      <c r="AR191" s="1209"/>
      <c r="AS191" s="1209"/>
      <c r="AT191" s="1209"/>
      <c r="AU191" s="1209"/>
      <c r="AV191" s="1209"/>
      <c r="AW191" s="1209"/>
      <c r="AX191" s="1209"/>
      <c r="AY191" s="1209"/>
      <c r="AZ191" s="1209"/>
      <c r="BA191" s="1209"/>
      <c r="BB191" s="1209"/>
      <c r="BC191" s="2504"/>
      <c r="BD191" s="2505"/>
      <c r="BE191" s="2506"/>
    </row>
    <row r="192" spans="1:57" ht="15.75" customHeight="1" thickBot="1">
      <c r="A192" s="1209"/>
      <c r="B192" s="1209"/>
      <c r="C192" s="2511" t="s">
        <v>300</v>
      </c>
      <c r="D192" s="2512"/>
      <c r="E192" s="2513" t="s">
        <v>1843</v>
      </c>
      <c r="F192" s="2513"/>
      <c r="G192" s="2513"/>
      <c r="H192" s="2513"/>
      <c r="I192" s="2513"/>
      <c r="J192" s="2513"/>
      <c r="K192" s="2513"/>
      <c r="L192" s="2513"/>
      <c r="M192" s="2514"/>
      <c r="N192" s="2515">
        <v>0</v>
      </c>
      <c r="O192" s="2515"/>
      <c r="P192" s="2515"/>
      <c r="Q192" s="2515"/>
      <c r="R192" s="2515"/>
      <c r="S192" s="2515"/>
      <c r="T192" s="2516"/>
      <c r="U192" s="2517"/>
      <c r="V192" s="2518"/>
      <c r="W192" s="2518"/>
      <c r="X192" s="2518"/>
      <c r="Y192" s="2518"/>
      <c r="Z192" s="2518"/>
      <c r="AA192" s="2518"/>
      <c r="AB192" s="2518"/>
      <c r="AC192" s="2518"/>
      <c r="AD192" s="2518"/>
      <c r="AE192" s="2519"/>
      <c r="AF192" s="1209"/>
      <c r="AG192" s="1209"/>
      <c r="AH192" s="2548" t="s">
        <v>1850</v>
      </c>
      <c r="AI192" s="2549"/>
      <c r="AJ192" s="2549"/>
      <c r="AK192" s="2549"/>
      <c r="AL192" s="2549"/>
      <c r="AM192" s="2549"/>
      <c r="AN192" s="2549"/>
      <c r="AO192" s="2549"/>
      <c r="AP192" s="2549"/>
      <c r="AQ192" s="2549"/>
      <c r="AR192" s="2549"/>
      <c r="AS192" s="2549"/>
      <c r="AT192" s="2549"/>
      <c r="AU192" s="2498"/>
      <c r="AV192" s="2498"/>
      <c r="AW192" s="2498"/>
      <c r="AX192" s="2498"/>
      <c r="AY192" s="2498"/>
      <c r="AZ192" s="2498"/>
      <c r="BA192" s="2498"/>
      <c r="BB192" s="2498"/>
      <c r="BC192" s="1222"/>
      <c r="BD192" s="1222"/>
      <c r="BE192" s="1221"/>
    </row>
    <row r="193" spans="1:57" ht="15.75" customHeight="1">
      <c r="A193" s="1209"/>
      <c r="B193" s="1209"/>
      <c r="C193" s="2507" t="s">
        <v>1851</v>
      </c>
      <c r="D193" s="2508"/>
      <c r="E193" s="2508"/>
      <c r="F193" s="2508"/>
      <c r="G193" s="2508"/>
      <c r="H193" s="2508"/>
      <c r="I193" s="2508"/>
      <c r="J193" s="2508"/>
      <c r="K193" s="2508"/>
      <c r="L193" s="2508"/>
      <c r="M193" s="2508"/>
      <c r="N193" s="2509">
        <f>SUM(N185:T192)</f>
        <v>4750448</v>
      </c>
      <c r="O193" s="2509"/>
      <c r="P193" s="2509"/>
      <c r="Q193" s="2509"/>
      <c r="R193" s="2509"/>
      <c r="S193" s="2509"/>
      <c r="T193" s="2510"/>
      <c r="U193" s="1209"/>
      <c r="V193" s="1209"/>
      <c r="W193" s="1209"/>
      <c r="X193" s="1209"/>
      <c r="Y193" s="1209"/>
      <c r="Z193" s="1209"/>
      <c r="AA193" s="1209"/>
      <c r="AB193" s="1209"/>
      <c r="AC193" s="1209"/>
      <c r="AD193" s="1209"/>
      <c r="AE193" s="1209"/>
      <c r="AF193" s="1209"/>
      <c r="AG193" s="1209"/>
      <c r="AH193" s="2520" t="s">
        <v>2603</v>
      </c>
      <c r="AI193" s="2520"/>
      <c r="AJ193" s="2520"/>
      <c r="AK193" s="2520"/>
      <c r="AL193" s="2520"/>
      <c r="AM193" s="2520"/>
      <c r="AN193" s="2520"/>
      <c r="AO193" s="2520"/>
      <c r="AP193" s="2520"/>
      <c r="AQ193" s="2520"/>
      <c r="AR193" s="2520"/>
      <c r="AS193" s="2520"/>
      <c r="AT193" s="2520"/>
      <c r="AU193" s="2520"/>
      <c r="AV193" s="2520"/>
      <c r="AW193" s="2520"/>
      <c r="AX193" s="2520"/>
      <c r="AY193" s="2520"/>
      <c r="AZ193" s="2520"/>
      <c r="BA193" s="2520"/>
      <c r="BB193" s="2520"/>
      <c r="BC193" s="2520"/>
      <c r="BD193" s="2520"/>
      <c r="BE193" s="2521"/>
    </row>
    <row r="194" spans="1:57" ht="15.75" customHeight="1" thickBot="1">
      <c r="A194" s="1209"/>
      <c r="B194" s="1209"/>
      <c r="C194" s="2550" t="s">
        <v>2495</v>
      </c>
      <c r="D194" s="2551"/>
      <c r="E194" s="2551"/>
      <c r="F194" s="2551"/>
      <c r="G194" s="2551"/>
      <c r="H194" s="2551"/>
      <c r="I194" s="2551"/>
      <c r="J194" s="2551"/>
      <c r="K194" s="2551"/>
      <c r="L194" s="2551"/>
      <c r="M194" s="2551"/>
      <c r="N194" s="2552">
        <f>(N183-N193)/J29</f>
        <v>856591.00813008135</v>
      </c>
      <c r="O194" s="2553"/>
      <c r="P194" s="2553"/>
      <c r="Q194" s="2553"/>
      <c r="R194" s="2553"/>
      <c r="S194" s="2553"/>
      <c r="T194" s="2554"/>
      <c r="U194" s="1220"/>
      <c r="V194" s="1209"/>
      <c r="W194" s="1209"/>
      <c r="X194" s="1209"/>
      <c r="Y194" s="1209"/>
      <c r="Z194" s="1209"/>
      <c r="AA194" s="1209"/>
      <c r="AB194" s="1209"/>
      <c r="AC194" s="1209"/>
      <c r="AD194" s="1209"/>
      <c r="AE194" s="1209"/>
      <c r="AF194" s="1209"/>
      <c r="AG194" s="1209"/>
      <c r="AH194" s="2520"/>
      <c r="AI194" s="2520"/>
      <c r="AJ194" s="2520"/>
      <c r="AK194" s="2520"/>
      <c r="AL194" s="2520"/>
      <c r="AM194" s="2520"/>
      <c r="AN194" s="2520"/>
      <c r="AO194" s="2520"/>
      <c r="AP194" s="2520"/>
      <c r="AQ194" s="2520"/>
      <c r="AR194" s="2520"/>
      <c r="AS194" s="2520"/>
      <c r="AT194" s="2520"/>
      <c r="AU194" s="2520"/>
      <c r="AV194" s="2520"/>
      <c r="AW194" s="2520"/>
      <c r="AX194" s="2520"/>
      <c r="AY194" s="2520"/>
      <c r="AZ194" s="2520"/>
      <c r="BA194" s="2520"/>
      <c r="BB194" s="2520"/>
      <c r="BC194" s="2520"/>
      <c r="BD194" s="2520"/>
      <c r="BE194" s="2521"/>
    </row>
    <row r="195" spans="1:57" ht="15.75" customHeight="1">
      <c r="A195" s="1209"/>
      <c r="B195" s="1209"/>
      <c r="C195" s="1209"/>
      <c r="D195" s="1209"/>
      <c r="E195" s="1209"/>
      <c r="F195" s="1209"/>
      <c r="G195" s="1209"/>
      <c r="H195" s="1209"/>
      <c r="I195" s="1209"/>
      <c r="J195" s="1209"/>
      <c r="K195" s="1209"/>
      <c r="L195" s="1209"/>
      <c r="M195" s="1209"/>
      <c r="N195" s="1209"/>
      <c r="O195" s="1209"/>
      <c r="P195" s="1209"/>
      <c r="Q195" s="1209"/>
      <c r="R195" s="1209"/>
      <c r="S195" s="1209"/>
      <c r="T195" s="1209"/>
      <c r="U195" s="1209"/>
      <c r="V195" s="1209"/>
      <c r="W195" s="1209"/>
      <c r="X195" s="1209"/>
      <c r="Y195" s="1209"/>
      <c r="Z195" s="1209"/>
      <c r="AA195" s="1209"/>
      <c r="AB195" s="1209"/>
      <c r="AC195" s="1209"/>
      <c r="AD195" s="1209"/>
      <c r="AE195" s="1209"/>
      <c r="AF195" s="1209"/>
      <c r="AG195" s="1209"/>
      <c r="AH195" s="2555"/>
      <c r="AI195" s="2555"/>
      <c r="AJ195" s="2555"/>
      <c r="AK195" s="2555"/>
      <c r="AL195" s="2555"/>
      <c r="AM195" s="2555"/>
      <c r="AN195" s="2555"/>
      <c r="AO195" s="2555"/>
      <c r="AP195" s="2555"/>
      <c r="AQ195" s="2555"/>
      <c r="AR195" s="2555"/>
      <c r="AS195" s="2499"/>
      <c r="AT195" s="2499"/>
      <c r="AU195" s="2499"/>
      <c r="AV195" s="2499"/>
      <c r="AW195" s="2499"/>
      <c r="AX195" s="2499"/>
      <c r="AY195" s="2499"/>
      <c r="AZ195" s="2499"/>
      <c r="BA195" s="2499"/>
      <c r="BB195" s="2499"/>
      <c r="BC195" s="2499"/>
      <c r="BD195" s="2499"/>
      <c r="BE195" s="1205"/>
    </row>
    <row r="196" spans="1:57" ht="15.75" customHeight="1" thickBot="1">
      <c r="A196" s="1209"/>
      <c r="B196" s="1209"/>
      <c r="C196" s="1209"/>
      <c r="D196" s="1209"/>
      <c r="E196" s="1209"/>
      <c r="F196" s="1209"/>
      <c r="G196" s="1209"/>
      <c r="H196" s="1209"/>
      <c r="I196" s="1209"/>
      <c r="J196" s="1209"/>
      <c r="K196" s="1209"/>
      <c r="L196" s="1209"/>
      <c r="M196" s="1209"/>
      <c r="N196" s="1209"/>
      <c r="O196" s="1209"/>
      <c r="P196" s="1209"/>
      <c r="Q196" s="1209"/>
      <c r="R196" s="1209"/>
      <c r="S196" s="1209"/>
      <c r="T196" s="1209"/>
      <c r="U196" s="1209"/>
      <c r="V196" s="1209"/>
      <c r="W196" s="1209"/>
      <c r="X196" s="1209"/>
      <c r="Y196" s="1209"/>
      <c r="Z196" s="1209"/>
      <c r="AA196" s="1209"/>
      <c r="AB196" s="1209"/>
      <c r="AC196" s="1209"/>
      <c r="AD196" s="1209"/>
      <c r="AE196" s="1209"/>
      <c r="AF196" s="1209"/>
      <c r="AG196" s="1209"/>
      <c r="AH196" s="1209"/>
      <c r="AI196" s="1209"/>
      <c r="AJ196" s="1209"/>
      <c r="AK196" s="1209"/>
      <c r="AL196" s="1209"/>
      <c r="AM196" s="1209"/>
      <c r="AN196" s="1209"/>
      <c r="AO196" s="1209"/>
      <c r="AP196" s="1209"/>
      <c r="AQ196" s="1209"/>
      <c r="AR196" s="1209"/>
      <c r="AS196" s="1209"/>
      <c r="AT196" s="1209"/>
      <c r="AU196" s="1209"/>
      <c r="AV196" s="1209"/>
      <c r="AW196" s="1209"/>
      <c r="AX196" s="1209"/>
      <c r="AY196" s="1209"/>
      <c r="AZ196" s="1209"/>
      <c r="BA196" s="1209"/>
      <c r="BB196" s="1209"/>
      <c r="BC196" s="1209"/>
      <c r="BD196" s="1209"/>
      <c r="BE196" s="1205"/>
    </row>
    <row r="197" spans="1:57" ht="15.75" customHeight="1" thickBot="1">
      <c r="A197" s="1209"/>
      <c r="B197" s="1209"/>
      <c r="C197" s="2500" t="s">
        <v>2602</v>
      </c>
      <c r="D197" s="2501"/>
      <c r="E197" s="2501"/>
      <c r="F197" s="2501"/>
      <c r="G197" s="2501"/>
      <c r="H197" s="2501"/>
      <c r="I197" s="2501"/>
      <c r="J197" s="2501"/>
      <c r="K197" s="2501"/>
      <c r="L197" s="2501"/>
      <c r="M197" s="2501"/>
      <c r="N197" s="2501"/>
      <c r="O197" s="2501"/>
      <c r="P197" s="2501"/>
      <c r="Q197" s="2501"/>
      <c r="R197" s="2501"/>
      <c r="S197" s="2501"/>
      <c r="T197" s="2501"/>
      <c r="U197" s="2501"/>
      <c r="V197" s="2501"/>
      <c r="W197" s="2501"/>
      <c r="X197" s="2501"/>
      <c r="Y197" s="2501"/>
      <c r="Z197" s="2501"/>
      <c r="AA197" s="2501"/>
      <c r="AB197" s="2501"/>
      <c r="AC197" s="2501"/>
      <c r="AD197" s="2501"/>
      <c r="AE197" s="2502"/>
      <c r="AF197" s="1209"/>
      <c r="AG197" s="1209"/>
      <c r="AH197" s="1209"/>
      <c r="AI197" s="1209"/>
      <c r="AJ197" s="1209"/>
      <c r="AK197" s="1209"/>
      <c r="AL197" s="1209"/>
      <c r="AM197" s="1209"/>
      <c r="AN197" s="1209"/>
      <c r="AO197" s="1209"/>
      <c r="AP197" s="1209"/>
      <c r="AQ197" s="1209"/>
      <c r="AR197" s="1209"/>
      <c r="AS197" s="1209"/>
      <c r="AT197" s="1209"/>
      <c r="AU197" s="1209"/>
      <c r="AV197" s="1209"/>
      <c r="AW197" s="1209"/>
      <c r="AX197" s="1209"/>
      <c r="AY197" s="1209"/>
      <c r="AZ197" s="1209"/>
      <c r="BA197" s="1209"/>
      <c r="BB197" s="1209"/>
      <c r="BC197" s="1209"/>
      <c r="BD197" s="1209"/>
      <c r="BE197" s="1205"/>
    </row>
    <row r="198" spans="1:57" ht="15.75" customHeight="1">
      <c r="A198" s="1209"/>
      <c r="B198" s="1209"/>
      <c r="C198" s="2210" t="s">
        <v>2601</v>
      </c>
      <c r="D198" s="2210"/>
      <c r="E198" s="2210"/>
      <c r="F198" s="2210"/>
      <c r="G198" s="2210"/>
      <c r="H198" s="2210"/>
      <c r="I198" s="2210"/>
      <c r="J198" s="2210"/>
      <c r="K198" s="2210"/>
      <c r="L198" s="2210"/>
      <c r="M198" s="2210"/>
      <c r="N198" s="2210"/>
      <c r="O198" s="2211" t="s">
        <v>2600</v>
      </c>
      <c r="P198" s="2211"/>
      <c r="Q198" s="2211"/>
      <c r="R198" s="2211"/>
      <c r="S198" s="2211"/>
      <c r="T198" s="2211"/>
      <c r="U198" s="2211"/>
      <c r="V198" s="2211"/>
      <c r="W198" s="2211"/>
      <c r="X198" s="2211" t="s">
        <v>2599</v>
      </c>
      <c r="Y198" s="2211"/>
      <c r="Z198" s="2211"/>
      <c r="AA198" s="2211"/>
      <c r="AB198" s="2211"/>
      <c r="AC198" s="2211"/>
      <c r="AD198" s="2211"/>
      <c r="AE198" s="2211"/>
      <c r="AF198" s="1209"/>
      <c r="AG198" s="1209"/>
      <c r="AH198" s="1209"/>
      <c r="AI198" s="1209"/>
      <c r="AJ198" s="1209"/>
      <c r="AK198" s="1209"/>
      <c r="AL198" s="1209"/>
      <c r="AM198" s="1209"/>
      <c r="AN198" s="1209"/>
      <c r="AO198" s="1209"/>
      <c r="AP198" s="1209"/>
      <c r="AQ198" s="1209"/>
      <c r="AR198" s="1209"/>
      <c r="AS198" s="1209"/>
      <c r="AT198" s="1209"/>
      <c r="AU198" s="1209"/>
      <c r="AV198" s="1209"/>
      <c r="AW198" s="1209"/>
      <c r="AX198" s="1209"/>
      <c r="AY198" s="1209"/>
      <c r="AZ198" s="1209"/>
      <c r="BA198" s="1209"/>
      <c r="BB198" s="1209"/>
      <c r="BC198" s="1209"/>
      <c r="BD198" s="1209"/>
      <c r="BE198" s="1205"/>
    </row>
    <row r="199" spans="1:57" ht="15.75" customHeight="1">
      <c r="A199" s="1209"/>
      <c r="B199" s="1209"/>
      <c r="C199" s="2208" t="s">
        <v>2598</v>
      </c>
      <c r="D199" s="2208"/>
      <c r="E199" s="2208"/>
      <c r="F199" s="2208"/>
      <c r="G199" s="2208"/>
      <c r="H199" s="2208"/>
      <c r="I199" s="2208"/>
      <c r="J199" s="2208"/>
      <c r="K199" s="2208"/>
      <c r="L199" s="2208"/>
      <c r="M199" s="2208"/>
      <c r="N199" s="2208"/>
      <c r="O199" s="2503" t="s">
        <v>2597</v>
      </c>
      <c r="P199" s="2503"/>
      <c r="Q199" s="2503"/>
      <c r="R199" s="2503"/>
      <c r="S199" s="2503"/>
      <c r="T199" s="2503"/>
      <c r="U199" s="2503"/>
      <c r="V199" s="2503"/>
      <c r="W199" s="2503"/>
      <c r="X199" s="2524">
        <v>0.03</v>
      </c>
      <c r="Y199" s="2524"/>
      <c r="Z199" s="2524"/>
      <c r="AA199" s="2524"/>
      <c r="AB199" s="2524"/>
      <c r="AC199" s="2524"/>
      <c r="AD199" s="2524"/>
      <c r="AE199" s="2524"/>
      <c r="AF199" s="1209"/>
      <c r="AG199" s="1209"/>
      <c r="AH199" s="1209"/>
      <c r="AI199" s="1209"/>
      <c r="AJ199" s="1209"/>
      <c r="AK199" s="1209"/>
      <c r="AL199" s="1209"/>
      <c r="AM199" s="1209"/>
      <c r="AN199" s="1209"/>
      <c r="AO199" s="1209"/>
      <c r="AP199" s="1209"/>
      <c r="AQ199" s="1209"/>
      <c r="AR199" s="1209"/>
      <c r="AS199" s="1209"/>
      <c r="AT199" s="1209"/>
      <c r="AU199" s="1209"/>
      <c r="AV199" s="1209"/>
      <c r="AW199" s="1209"/>
      <c r="AX199" s="1209"/>
      <c r="AY199" s="1209"/>
      <c r="AZ199" s="1209"/>
      <c r="BA199" s="1209"/>
      <c r="BB199" s="1209"/>
      <c r="BC199" s="1209"/>
      <c r="BD199" s="1209"/>
      <c r="BE199" s="1205"/>
    </row>
    <row r="200" spans="1:57" ht="15.75" customHeight="1">
      <c r="A200" s="1209"/>
      <c r="B200" s="1209"/>
      <c r="C200" s="2208" t="s">
        <v>864</v>
      </c>
      <c r="D200" s="2208"/>
      <c r="E200" s="2208"/>
      <c r="F200" s="2208"/>
      <c r="G200" s="2208"/>
      <c r="H200" s="2208"/>
      <c r="I200" s="2208"/>
      <c r="J200" s="2208"/>
      <c r="K200" s="2208"/>
      <c r="L200" s="2208"/>
      <c r="M200" s="2208"/>
      <c r="N200" s="2208"/>
      <c r="O200" s="2503" t="s">
        <v>2597</v>
      </c>
      <c r="P200" s="2503"/>
      <c r="Q200" s="2503"/>
      <c r="R200" s="2503"/>
      <c r="S200" s="2503"/>
      <c r="T200" s="2503"/>
      <c r="U200" s="2503"/>
      <c r="V200" s="2503"/>
      <c r="W200" s="2503"/>
      <c r="X200" s="2524">
        <v>0.03</v>
      </c>
      <c r="Y200" s="2524"/>
      <c r="Z200" s="2524"/>
      <c r="AA200" s="2524"/>
      <c r="AB200" s="2524"/>
      <c r="AC200" s="2524"/>
      <c r="AD200" s="2524"/>
      <c r="AE200" s="2524"/>
      <c r="AF200" s="1209"/>
      <c r="AG200" s="1209"/>
      <c r="AH200" s="1209"/>
      <c r="AI200" s="1209"/>
      <c r="AJ200" s="1209"/>
      <c r="AK200" s="1209"/>
      <c r="AL200" s="1209"/>
      <c r="AM200" s="1209"/>
      <c r="AN200" s="1209"/>
      <c r="AO200" s="1209"/>
      <c r="AP200" s="1209"/>
      <c r="AQ200" s="1209"/>
      <c r="AR200" s="1209"/>
      <c r="AS200" s="1209"/>
      <c r="AT200" s="1209"/>
      <c r="AU200" s="1209"/>
      <c r="AV200" s="1209"/>
      <c r="AW200" s="1209"/>
      <c r="AX200" s="1209"/>
      <c r="AY200" s="1209"/>
      <c r="AZ200" s="1209"/>
      <c r="BA200" s="1209"/>
      <c r="BB200" s="1209"/>
      <c r="BC200" s="1209"/>
      <c r="BD200" s="1209"/>
      <c r="BE200" s="1205"/>
    </row>
    <row r="201" spans="1:57" ht="15.75" customHeight="1">
      <c r="A201" s="1209"/>
      <c r="B201" s="1209"/>
      <c r="C201" s="2208" t="s">
        <v>2596</v>
      </c>
      <c r="D201" s="2208"/>
      <c r="E201" s="2208"/>
      <c r="F201" s="2208"/>
      <c r="G201" s="2208"/>
      <c r="H201" s="2208"/>
      <c r="I201" s="2208"/>
      <c r="J201" s="2208"/>
      <c r="K201" s="2208"/>
      <c r="L201" s="2208"/>
      <c r="M201" s="2208"/>
      <c r="N201" s="2208"/>
      <c r="O201" s="2212">
        <f>SUM(O199:W200)</f>
        <v>0</v>
      </c>
      <c r="P201" s="2213"/>
      <c r="Q201" s="2213"/>
      <c r="R201" s="2213"/>
      <c r="S201" s="2213"/>
      <c r="T201" s="2213"/>
      <c r="U201" s="2213"/>
      <c r="V201" s="2213"/>
      <c r="W201" s="2213"/>
      <c r="X201" s="2213" t="s">
        <v>2595</v>
      </c>
      <c r="Y201" s="2213"/>
      <c r="Z201" s="2213"/>
      <c r="AA201" s="2213"/>
      <c r="AB201" s="2213"/>
      <c r="AC201" s="2213"/>
      <c r="AD201" s="2213"/>
      <c r="AE201" s="2213"/>
      <c r="AF201" s="1209"/>
      <c r="AG201" s="1209"/>
      <c r="AH201" s="1209"/>
      <c r="AI201" s="1209"/>
      <c r="AJ201" s="1209"/>
      <c r="AK201" s="1209"/>
      <c r="AL201" s="1209"/>
      <c r="AM201" s="1209"/>
      <c r="AN201" s="1209"/>
      <c r="AO201" s="1209"/>
      <c r="AP201" s="1209"/>
      <c r="AQ201" s="1209"/>
      <c r="AR201" s="1209"/>
      <c r="AS201" s="1209"/>
      <c r="AT201" s="1209"/>
      <c r="AU201" s="1209"/>
      <c r="AV201" s="1209"/>
      <c r="AW201" s="1209"/>
      <c r="AX201" s="1209"/>
      <c r="AY201" s="1209"/>
      <c r="AZ201" s="1209"/>
      <c r="BA201" s="1209"/>
      <c r="BB201" s="1209"/>
      <c r="BC201" s="1209"/>
      <c r="BD201" s="1209"/>
      <c r="BE201" s="1205"/>
    </row>
    <row r="202" spans="1:57" ht="15.75" customHeight="1">
      <c r="A202" s="1209"/>
      <c r="B202" s="1209"/>
      <c r="C202" s="2209" t="s">
        <v>2594</v>
      </c>
      <c r="D202" s="2209"/>
      <c r="E202" s="2209"/>
      <c r="F202" s="2209"/>
      <c r="G202" s="2209"/>
      <c r="H202" s="2209"/>
      <c r="I202" s="2209"/>
      <c r="J202" s="2209"/>
      <c r="K202" s="2209"/>
      <c r="L202" s="2209"/>
      <c r="M202" s="2209"/>
      <c r="N202" s="2209"/>
      <c r="O202" s="2209"/>
      <c r="P202" s="2209"/>
      <c r="Q202" s="2209"/>
      <c r="R202" s="2209"/>
      <c r="S202" s="2209"/>
      <c r="T202" s="2209"/>
      <c r="U202" s="2209"/>
      <c r="V202" s="2209"/>
      <c r="W202" s="2209"/>
      <c r="X202" s="2209"/>
      <c r="Y202" s="2209"/>
      <c r="Z202" s="2209"/>
      <c r="AA202" s="2209"/>
      <c r="AB202" s="2209"/>
      <c r="AC202" s="2209"/>
      <c r="AD202" s="2209"/>
      <c r="AE202" s="2209"/>
      <c r="AF202" s="1209"/>
      <c r="AG202" s="1209"/>
      <c r="AH202" s="1209"/>
      <c r="AI202" s="1209"/>
      <c r="AJ202" s="1209"/>
      <c r="AK202" s="1209"/>
      <c r="AL202" s="1209"/>
      <c r="AM202" s="1209"/>
      <c r="AN202" s="1209"/>
      <c r="AO202" s="1209"/>
      <c r="AP202" s="1209"/>
      <c r="AQ202" s="1209"/>
      <c r="AR202" s="1209"/>
      <c r="AS202" s="1209"/>
      <c r="AT202" s="1209"/>
      <c r="AU202" s="1209"/>
      <c r="AV202" s="1209"/>
      <c r="AW202" s="1209"/>
      <c r="AX202" s="1209"/>
      <c r="AY202" s="1209"/>
      <c r="AZ202" s="1209"/>
      <c r="BA202" s="1209"/>
      <c r="BB202" s="1209"/>
      <c r="BC202" s="1209"/>
      <c r="BD202" s="1209"/>
      <c r="BE202" s="1205"/>
    </row>
    <row r="203" spans="1:57" ht="15.75" customHeight="1" thickBot="1">
      <c r="A203" s="1209"/>
      <c r="B203" s="1209"/>
      <c r="C203" s="1209"/>
      <c r="D203" s="1209"/>
      <c r="E203" s="1209"/>
      <c r="F203" s="1209"/>
      <c r="G203" s="1209"/>
      <c r="H203" s="1209"/>
      <c r="I203" s="1209"/>
      <c r="J203" s="1209"/>
      <c r="K203" s="1209"/>
      <c r="L203" s="1209"/>
      <c r="M203" s="1209"/>
      <c r="N203" s="1209"/>
      <c r="O203" s="1209"/>
      <c r="P203" s="1209"/>
      <c r="Q203" s="1209"/>
      <c r="R203" s="1209"/>
      <c r="S203" s="1209"/>
      <c r="T203" s="1209"/>
      <c r="U203" s="1209"/>
      <c r="V203" s="1209"/>
      <c r="W203" s="1209"/>
      <c r="X203" s="1209"/>
      <c r="Y203" s="1209"/>
      <c r="Z203" s="1209"/>
      <c r="AA203" s="1209"/>
      <c r="AB203" s="1209"/>
      <c r="AC203" s="1209"/>
      <c r="AD203" s="1209"/>
      <c r="AE203" s="1209"/>
      <c r="AF203" s="1209"/>
      <c r="AG203" s="1209"/>
      <c r="AH203" s="1209"/>
      <c r="AI203" s="1209"/>
      <c r="AJ203" s="1209"/>
      <c r="AK203" s="1209"/>
      <c r="AL203" s="1209"/>
      <c r="AM203" s="1209"/>
      <c r="AN203" s="1209"/>
      <c r="AO203" s="1209"/>
      <c r="AP203" s="1209"/>
      <c r="AQ203" s="1209"/>
      <c r="AR203" s="1209"/>
      <c r="AS203" s="1209"/>
      <c r="AT203" s="1209"/>
      <c r="AU203" s="1209"/>
      <c r="AV203" s="1209"/>
      <c r="AW203" s="1209"/>
      <c r="AX203" s="1209"/>
      <c r="AY203" s="1209"/>
      <c r="AZ203" s="1209"/>
      <c r="BA203" s="1209"/>
      <c r="BB203" s="1209"/>
      <c r="BC203" s="1209"/>
      <c r="BD203" s="1209"/>
      <c r="BE203" s="1205"/>
    </row>
    <row r="204" spans="1:57" ht="15.75" customHeight="1" thickBot="1">
      <c r="A204" s="1209"/>
      <c r="B204" s="1209"/>
      <c r="C204" s="2525" t="s">
        <v>2593</v>
      </c>
      <c r="D204" s="2526"/>
      <c r="E204" s="2526"/>
      <c r="F204" s="2526"/>
      <c r="G204" s="2526"/>
      <c r="H204" s="2526"/>
      <c r="I204" s="2526"/>
      <c r="J204" s="2526"/>
      <c r="K204" s="2526"/>
      <c r="L204" s="2526"/>
      <c r="M204" s="2526"/>
      <c r="N204" s="2526"/>
      <c r="O204" s="2526"/>
      <c r="P204" s="2526"/>
      <c r="Q204" s="2526"/>
      <c r="R204" s="2526"/>
      <c r="S204" s="2526"/>
      <c r="T204" s="2526"/>
      <c r="U204" s="2526"/>
      <c r="V204" s="2526"/>
      <c r="W204" s="2526"/>
      <c r="X204" s="2526"/>
      <c r="Y204" s="2526"/>
      <c r="Z204" s="2526"/>
      <c r="AA204" s="2526"/>
      <c r="AB204" s="2526"/>
      <c r="AC204" s="2526"/>
      <c r="AD204" s="2526"/>
      <c r="AE204" s="2526"/>
      <c r="AF204" s="2526"/>
      <c r="AG204" s="2526"/>
      <c r="AH204" s="2526"/>
      <c r="AI204" s="2526"/>
      <c r="AJ204" s="2526"/>
      <c r="AK204" s="2527"/>
      <c r="AL204" s="1209"/>
      <c r="AM204" s="1209"/>
      <c r="AN204" s="1209"/>
      <c r="AO204" s="1209"/>
      <c r="AP204" s="1209"/>
      <c r="AQ204" s="1209"/>
      <c r="AR204" s="1209"/>
      <c r="AS204" s="1209"/>
      <c r="AT204" s="1209"/>
      <c r="AU204" s="1209"/>
      <c r="AV204" s="1209"/>
      <c r="AW204" s="1209"/>
      <c r="AX204" s="1209"/>
      <c r="AY204" s="1209"/>
      <c r="AZ204" s="1209"/>
      <c r="BA204" s="1209"/>
      <c r="BB204" s="1209"/>
      <c r="BC204" s="1209"/>
      <c r="BD204" s="1209"/>
      <c r="BE204" s="1205"/>
    </row>
    <row r="205" spans="1:57" ht="15.75" customHeight="1">
      <c r="A205" s="1209"/>
      <c r="B205" s="1209"/>
      <c r="C205" s="2528" t="s">
        <v>2592</v>
      </c>
      <c r="D205" s="2529"/>
      <c r="E205" s="2529"/>
      <c r="F205" s="2530"/>
      <c r="G205" s="2534" t="s">
        <v>2591</v>
      </c>
      <c r="H205" s="2529"/>
      <c r="I205" s="2529"/>
      <c r="J205" s="2529"/>
      <c r="K205" s="2529"/>
      <c r="L205" s="2529"/>
      <c r="M205" s="2529"/>
      <c r="N205" s="2529"/>
      <c r="O205" s="2530"/>
      <c r="P205" s="2536" t="s">
        <v>2590</v>
      </c>
      <c r="Q205" s="2537"/>
      <c r="R205" s="2537"/>
      <c r="S205" s="2537"/>
      <c r="T205" s="2538"/>
      <c r="U205" s="2542" t="s">
        <v>2589</v>
      </c>
      <c r="V205" s="2543"/>
      <c r="W205" s="2543"/>
      <c r="X205" s="2544"/>
      <c r="Y205" s="2542" t="s">
        <v>2588</v>
      </c>
      <c r="Z205" s="2543"/>
      <c r="AA205" s="2543"/>
      <c r="AB205" s="2544"/>
      <c r="AC205" s="2542" t="s">
        <v>2587</v>
      </c>
      <c r="AD205" s="2543"/>
      <c r="AE205" s="2543"/>
      <c r="AF205" s="2544"/>
      <c r="AG205" s="2534" t="s">
        <v>2586</v>
      </c>
      <c r="AH205" s="2529"/>
      <c r="AI205" s="2529"/>
      <c r="AJ205" s="2529"/>
      <c r="AK205" s="2592"/>
      <c r="AL205" s="1209"/>
      <c r="AM205" s="1209"/>
      <c r="AN205" s="1209"/>
      <c r="AO205" s="1209"/>
      <c r="AP205" s="1209"/>
      <c r="AQ205" s="1209"/>
      <c r="AR205" s="1209"/>
      <c r="AS205" s="1209"/>
      <c r="AT205" s="1209"/>
      <c r="AU205" s="1209"/>
      <c r="AV205" s="1209"/>
      <c r="AW205" s="1209"/>
      <c r="AX205" s="1209"/>
      <c r="AY205" s="1209"/>
      <c r="AZ205" s="1209"/>
      <c r="BA205" s="1209"/>
      <c r="BB205" s="1209"/>
      <c r="BC205" s="1209"/>
      <c r="BD205" s="1209"/>
      <c r="BE205" s="1205"/>
    </row>
    <row r="206" spans="1:57" ht="15.75" customHeight="1">
      <c r="A206" s="1209"/>
      <c r="B206" s="1209"/>
      <c r="C206" s="2531"/>
      <c r="D206" s="2532"/>
      <c r="E206" s="2532"/>
      <c r="F206" s="2533"/>
      <c r="G206" s="2535"/>
      <c r="H206" s="2532"/>
      <c r="I206" s="2532"/>
      <c r="J206" s="2532"/>
      <c r="K206" s="2532"/>
      <c r="L206" s="2532"/>
      <c r="M206" s="2532"/>
      <c r="N206" s="2532"/>
      <c r="O206" s="2533"/>
      <c r="P206" s="2539"/>
      <c r="Q206" s="2540"/>
      <c r="R206" s="2540"/>
      <c r="S206" s="2540"/>
      <c r="T206" s="2541"/>
      <c r="U206" s="2545"/>
      <c r="V206" s="2546"/>
      <c r="W206" s="2546"/>
      <c r="X206" s="2547"/>
      <c r="Y206" s="2545"/>
      <c r="Z206" s="2546"/>
      <c r="AA206" s="2546"/>
      <c r="AB206" s="2547"/>
      <c r="AC206" s="2545"/>
      <c r="AD206" s="2546"/>
      <c r="AE206" s="2546"/>
      <c r="AF206" s="2547"/>
      <c r="AG206" s="2535"/>
      <c r="AH206" s="2532"/>
      <c r="AI206" s="2532"/>
      <c r="AJ206" s="2532"/>
      <c r="AK206" s="2593"/>
      <c r="AL206" s="1209"/>
      <c r="AM206" s="1209"/>
      <c r="AN206" s="1209"/>
      <c r="AO206" s="1209"/>
      <c r="AP206" s="1209"/>
      <c r="AQ206" s="1209"/>
      <c r="AR206" s="1209"/>
      <c r="AS206" s="1209"/>
      <c r="AT206" s="1209"/>
      <c r="AU206" s="1209"/>
      <c r="AV206" s="1209"/>
      <c r="AW206" s="1209"/>
      <c r="AX206" s="1209"/>
      <c r="AY206" s="1209"/>
      <c r="AZ206" s="1209"/>
      <c r="BA206" s="1209"/>
      <c r="BB206" s="1209"/>
      <c r="BC206" s="1209"/>
      <c r="BD206" s="1209"/>
      <c r="BE206" s="1205"/>
    </row>
    <row r="207" spans="1:57" ht="15.75" customHeight="1">
      <c r="A207" s="1209"/>
      <c r="B207" s="1209"/>
      <c r="C207" s="2187">
        <v>1</v>
      </c>
      <c r="D207" s="2188"/>
      <c r="E207" s="2188"/>
      <c r="F207" s="2188"/>
      <c r="G207" s="2189" t="s">
        <v>2152</v>
      </c>
      <c r="H207" s="2189"/>
      <c r="I207" s="2189"/>
      <c r="J207" s="2189"/>
      <c r="K207" s="2189"/>
      <c r="L207" s="2189"/>
      <c r="M207" s="2189"/>
      <c r="N207" s="2189"/>
      <c r="O207" s="2189"/>
      <c r="P207" s="2190"/>
      <c r="Q207" s="2594"/>
      <c r="R207" s="2594"/>
      <c r="S207" s="2594"/>
      <c r="T207" s="2594"/>
      <c r="U207" s="2191" t="s">
        <v>2152</v>
      </c>
      <c r="V207" s="2191"/>
      <c r="W207" s="2191"/>
      <c r="X207" s="2191"/>
      <c r="Y207" s="2191" t="s">
        <v>2152</v>
      </c>
      <c r="Z207" s="2191"/>
      <c r="AA207" s="2191"/>
      <c r="AB207" s="2191"/>
      <c r="AC207" s="2192" t="s">
        <v>2152</v>
      </c>
      <c r="AD207" s="2192"/>
      <c r="AE207" s="2192"/>
      <c r="AF207" s="2192"/>
      <c r="AG207" s="2586"/>
      <c r="AH207" s="2587"/>
      <c r="AI207" s="2587"/>
      <c r="AJ207" s="2587"/>
      <c r="AK207" s="2588"/>
      <c r="AL207" s="1209"/>
      <c r="AM207" s="1209"/>
      <c r="AN207" s="1209"/>
      <c r="AO207" s="1209"/>
      <c r="AP207" s="1209"/>
      <c r="AQ207" s="1209"/>
      <c r="AR207" s="1209"/>
      <c r="AS207" s="1209"/>
      <c r="AT207" s="1209"/>
      <c r="AU207" s="1209"/>
      <c r="AV207" s="1209"/>
      <c r="AW207" s="1209"/>
      <c r="AX207" s="1209"/>
      <c r="AY207" s="1209"/>
      <c r="AZ207" s="1209"/>
      <c r="BA207" s="1209"/>
      <c r="BB207" s="1209"/>
      <c r="BC207" s="1209"/>
      <c r="BD207" s="1209"/>
      <c r="BE207" s="1205"/>
    </row>
    <row r="208" spans="1:57" ht="15.75" customHeight="1">
      <c r="A208" s="1209"/>
      <c r="B208" s="1209"/>
      <c r="C208" s="2187">
        <v>2</v>
      </c>
      <c r="D208" s="2188"/>
      <c r="E208" s="2188"/>
      <c r="F208" s="2188"/>
      <c r="G208" s="2189" t="s">
        <v>2152</v>
      </c>
      <c r="H208" s="2189"/>
      <c r="I208" s="2189"/>
      <c r="J208" s="2189"/>
      <c r="K208" s="2189"/>
      <c r="L208" s="2189"/>
      <c r="M208" s="2189"/>
      <c r="N208" s="2189"/>
      <c r="O208" s="2189"/>
      <c r="P208" s="2190"/>
      <c r="Q208" s="2190"/>
      <c r="R208" s="2190"/>
      <c r="S208" s="2190"/>
      <c r="T208" s="2190"/>
      <c r="U208" s="2191" t="s">
        <v>2152</v>
      </c>
      <c r="V208" s="2191"/>
      <c r="W208" s="2191"/>
      <c r="X208" s="2191"/>
      <c r="Y208" s="2191" t="s">
        <v>2152</v>
      </c>
      <c r="Z208" s="2191"/>
      <c r="AA208" s="2191"/>
      <c r="AB208" s="2191"/>
      <c r="AC208" s="2192" t="s">
        <v>2152</v>
      </c>
      <c r="AD208" s="2192"/>
      <c r="AE208" s="2192"/>
      <c r="AF208" s="2192"/>
      <c r="AG208" s="2586"/>
      <c r="AH208" s="2587"/>
      <c r="AI208" s="2587"/>
      <c r="AJ208" s="2587"/>
      <c r="AK208" s="2588"/>
      <c r="AL208" s="1209"/>
      <c r="AM208" s="1209"/>
      <c r="AN208" s="1209"/>
      <c r="AO208" s="1209"/>
      <c r="AP208" s="1209"/>
      <c r="AQ208" s="1209"/>
      <c r="AR208" s="1209"/>
      <c r="AS208" s="1209"/>
      <c r="AT208" s="1209"/>
      <c r="AU208" s="1209"/>
      <c r="AV208" s="1209"/>
      <c r="AW208" s="1209"/>
      <c r="AX208" s="1209"/>
      <c r="AY208" s="1209"/>
      <c r="AZ208" s="1209"/>
      <c r="BA208" s="1209"/>
      <c r="BB208" s="1209"/>
      <c r="BC208" s="1209"/>
      <c r="BD208" s="1209"/>
      <c r="BE208" s="1205"/>
    </row>
    <row r="209" spans="1:57" ht="15.75" customHeight="1">
      <c r="A209" s="1209"/>
      <c r="B209" s="1209"/>
      <c r="C209" s="2187">
        <v>3</v>
      </c>
      <c r="D209" s="2188"/>
      <c r="E209" s="2188"/>
      <c r="F209" s="2188"/>
      <c r="G209" s="2189" t="s">
        <v>2152</v>
      </c>
      <c r="H209" s="2189"/>
      <c r="I209" s="2189"/>
      <c r="J209" s="2189"/>
      <c r="K209" s="2189"/>
      <c r="L209" s="2189"/>
      <c r="M209" s="2189"/>
      <c r="N209" s="2189"/>
      <c r="O209" s="2189"/>
      <c r="P209" s="2190"/>
      <c r="Q209" s="2190"/>
      <c r="R209" s="2190"/>
      <c r="S209" s="2190"/>
      <c r="T209" s="2190"/>
      <c r="U209" s="2191" t="s">
        <v>2152</v>
      </c>
      <c r="V209" s="2191"/>
      <c r="W209" s="2191"/>
      <c r="X209" s="2191"/>
      <c r="Y209" s="2191" t="s">
        <v>2152</v>
      </c>
      <c r="Z209" s="2191"/>
      <c r="AA209" s="2191"/>
      <c r="AB209" s="2191"/>
      <c r="AC209" s="2192" t="s">
        <v>2152</v>
      </c>
      <c r="AD209" s="2192"/>
      <c r="AE209" s="2192"/>
      <c r="AF209" s="2192"/>
      <c r="AG209" s="2586"/>
      <c r="AH209" s="2587"/>
      <c r="AI209" s="2587"/>
      <c r="AJ209" s="2587"/>
      <c r="AK209" s="2588"/>
      <c r="AL209" s="1209"/>
      <c r="AM209" s="1209"/>
      <c r="AN209" s="1209"/>
      <c r="AO209" s="1209"/>
      <c r="AP209" s="1209"/>
      <c r="AQ209" s="1209"/>
      <c r="AR209" s="1209"/>
      <c r="AS209" s="1209"/>
      <c r="AT209" s="1209"/>
      <c r="AU209" s="1209"/>
      <c r="AV209" s="1209"/>
      <c r="AW209" s="1209"/>
      <c r="AX209" s="1209"/>
      <c r="AY209" s="1209"/>
      <c r="AZ209" s="1209"/>
      <c r="BA209" s="1209"/>
      <c r="BB209" s="1209"/>
      <c r="BC209" s="1209"/>
      <c r="BD209" s="1209"/>
      <c r="BE209" s="1205"/>
    </row>
    <row r="210" spans="1:57" ht="15.75" customHeight="1">
      <c r="A210" s="1209"/>
      <c r="B210" s="1209"/>
      <c r="C210" s="2187">
        <v>4</v>
      </c>
      <c r="D210" s="2188"/>
      <c r="E210" s="2188"/>
      <c r="F210" s="2188"/>
      <c r="G210" s="2189" t="s">
        <v>2152</v>
      </c>
      <c r="H210" s="2189"/>
      <c r="I210" s="2189"/>
      <c r="J210" s="2189"/>
      <c r="K210" s="2189"/>
      <c r="L210" s="2189"/>
      <c r="M210" s="2189"/>
      <c r="N210" s="2189"/>
      <c r="O210" s="2189"/>
      <c r="P210" s="2190"/>
      <c r="Q210" s="2190"/>
      <c r="R210" s="2190"/>
      <c r="S210" s="2190"/>
      <c r="T210" s="2190"/>
      <c r="U210" s="2191" t="s">
        <v>2152</v>
      </c>
      <c r="V210" s="2191"/>
      <c r="W210" s="2191"/>
      <c r="X210" s="2191"/>
      <c r="Y210" s="2191" t="s">
        <v>2152</v>
      </c>
      <c r="Z210" s="2191"/>
      <c r="AA210" s="2191"/>
      <c r="AB210" s="2191"/>
      <c r="AC210" s="2192" t="s">
        <v>2152</v>
      </c>
      <c r="AD210" s="2192"/>
      <c r="AE210" s="2192"/>
      <c r="AF210" s="2192"/>
      <c r="AG210" s="2586"/>
      <c r="AH210" s="2587"/>
      <c r="AI210" s="2587"/>
      <c r="AJ210" s="2587"/>
      <c r="AK210" s="2588"/>
      <c r="AL210" s="1209"/>
      <c r="AM210" s="1209"/>
      <c r="AN210" s="1209"/>
      <c r="AO210" s="1209"/>
      <c r="AP210" s="1209"/>
      <c r="AQ210" s="1209"/>
      <c r="AR210" s="1209"/>
      <c r="AS210" s="1209"/>
      <c r="AT210" s="1209"/>
      <c r="AU210" s="1209"/>
      <c r="AV210" s="1209"/>
      <c r="AW210" s="1209"/>
      <c r="AX210" s="1209"/>
      <c r="AY210" s="1209"/>
      <c r="AZ210" s="1209"/>
      <c r="BA210" s="1209"/>
      <c r="BB210" s="1209"/>
      <c r="BC210" s="1209"/>
      <c r="BD210" s="1209"/>
      <c r="BE210" s="1205"/>
    </row>
    <row r="211" spans="1:57" ht="15.75" customHeight="1">
      <c r="A211" s="1209"/>
      <c r="B211" s="1209"/>
      <c r="C211" s="2187">
        <v>5</v>
      </c>
      <c r="D211" s="2188"/>
      <c r="E211" s="2188"/>
      <c r="F211" s="2188"/>
      <c r="G211" s="2189"/>
      <c r="H211" s="2189"/>
      <c r="I211" s="2189"/>
      <c r="J211" s="2189"/>
      <c r="K211" s="2189"/>
      <c r="L211" s="2189"/>
      <c r="M211" s="2189"/>
      <c r="N211" s="2189"/>
      <c r="O211" s="2189"/>
      <c r="P211" s="2190"/>
      <c r="Q211" s="2190"/>
      <c r="R211" s="2190"/>
      <c r="S211" s="2190"/>
      <c r="T211" s="2190"/>
      <c r="U211" s="2191" t="s">
        <v>2152</v>
      </c>
      <c r="V211" s="2191"/>
      <c r="W211" s="2191"/>
      <c r="X211" s="2191"/>
      <c r="Y211" s="2191" t="s">
        <v>2152</v>
      </c>
      <c r="Z211" s="2191"/>
      <c r="AA211" s="2191"/>
      <c r="AB211" s="2191"/>
      <c r="AC211" s="2192" t="s">
        <v>2152</v>
      </c>
      <c r="AD211" s="2192"/>
      <c r="AE211" s="2192"/>
      <c r="AF211" s="2192"/>
      <c r="AG211" s="2586"/>
      <c r="AH211" s="2587"/>
      <c r="AI211" s="2587"/>
      <c r="AJ211" s="2587"/>
      <c r="AK211" s="2588"/>
      <c r="AL211" s="1209"/>
      <c r="AM211" s="1209"/>
      <c r="AN211" s="1209"/>
      <c r="AO211" s="1209"/>
      <c r="AP211" s="1209"/>
      <c r="AQ211" s="1209"/>
      <c r="AR211" s="1209"/>
      <c r="AS211" s="1209"/>
      <c r="AT211" s="1209"/>
      <c r="AU211" s="1209"/>
      <c r="AV211" s="1209"/>
      <c r="AW211" s="1209"/>
      <c r="AX211" s="1209"/>
      <c r="AY211" s="1209"/>
      <c r="AZ211" s="1209"/>
      <c r="BA211" s="1209"/>
      <c r="BB211" s="1209"/>
      <c r="BC211" s="1209"/>
      <c r="BD211" s="1209"/>
      <c r="BE211" s="1205"/>
    </row>
    <row r="212" spans="1:57" ht="15.75" customHeight="1">
      <c r="A212" s="1209"/>
      <c r="B212" s="1209"/>
      <c r="C212" s="2187">
        <v>6</v>
      </c>
      <c r="D212" s="2188"/>
      <c r="E212" s="2188"/>
      <c r="F212" s="2188"/>
      <c r="G212" s="2189" t="s">
        <v>2152</v>
      </c>
      <c r="H212" s="2189"/>
      <c r="I212" s="2189"/>
      <c r="J212" s="2189"/>
      <c r="K212" s="2189"/>
      <c r="L212" s="2189"/>
      <c r="M212" s="2189"/>
      <c r="N212" s="2189"/>
      <c r="O212" s="2189"/>
      <c r="P212" s="2190"/>
      <c r="Q212" s="2190"/>
      <c r="R212" s="2190"/>
      <c r="S212" s="2190"/>
      <c r="T212" s="2190"/>
      <c r="U212" s="2191"/>
      <c r="V212" s="2191"/>
      <c r="W212" s="2191"/>
      <c r="X212" s="2191"/>
      <c r="Y212" s="2191"/>
      <c r="Z212" s="2191"/>
      <c r="AA212" s="2191"/>
      <c r="AB212" s="2191"/>
      <c r="AC212" s="2192" t="s">
        <v>2152</v>
      </c>
      <c r="AD212" s="2192"/>
      <c r="AE212" s="2192"/>
      <c r="AF212" s="2192"/>
      <c r="AG212" s="2586"/>
      <c r="AH212" s="2587"/>
      <c r="AI212" s="2587"/>
      <c r="AJ212" s="2587"/>
      <c r="AK212" s="2588"/>
      <c r="AL212" s="1209"/>
      <c r="AM212" s="1209"/>
      <c r="AN212" s="1209"/>
      <c r="AO212" s="1209"/>
      <c r="AP212" s="1209"/>
      <c r="AQ212" s="1209"/>
      <c r="AR212" s="1209"/>
      <c r="AS212" s="1209"/>
      <c r="AT212" s="1209"/>
      <c r="AU212" s="1209"/>
      <c r="AV212" s="1209"/>
      <c r="AW212" s="1209"/>
      <c r="AX212" s="1209"/>
      <c r="AY212" s="1209"/>
      <c r="AZ212" s="1209"/>
      <c r="BA212" s="1209"/>
      <c r="BB212" s="1209"/>
      <c r="BC212" s="1209"/>
      <c r="BD212" s="1209"/>
      <c r="BE212" s="1205"/>
    </row>
    <row r="213" spans="1:57" ht="15.75" customHeight="1">
      <c r="A213" s="1209"/>
      <c r="B213" s="1209"/>
      <c r="C213" s="2187">
        <v>7</v>
      </c>
      <c r="D213" s="2188"/>
      <c r="E213" s="2188"/>
      <c r="F213" s="2188"/>
      <c r="G213" s="2193"/>
      <c r="H213" s="2194"/>
      <c r="I213" s="2194"/>
      <c r="J213" s="2194"/>
      <c r="K213" s="2194"/>
      <c r="L213" s="2194"/>
      <c r="M213" s="2194"/>
      <c r="N213" s="2194"/>
      <c r="O213" s="2195"/>
      <c r="P213" s="2190"/>
      <c r="Q213" s="2190"/>
      <c r="R213" s="2190"/>
      <c r="S213" s="2190"/>
      <c r="T213" s="2190"/>
      <c r="U213" s="2191"/>
      <c r="V213" s="2191"/>
      <c r="W213" s="2191"/>
      <c r="X213" s="2191"/>
      <c r="Y213" s="2191"/>
      <c r="Z213" s="2191"/>
      <c r="AA213" s="2191"/>
      <c r="AB213" s="2191"/>
      <c r="AC213" s="2192" t="s">
        <v>2152</v>
      </c>
      <c r="AD213" s="2192"/>
      <c r="AE213" s="2192"/>
      <c r="AF213" s="2192"/>
      <c r="AG213" s="2586"/>
      <c r="AH213" s="2587"/>
      <c r="AI213" s="2587"/>
      <c r="AJ213" s="2587"/>
      <c r="AK213" s="2588"/>
      <c r="AL213" s="1209"/>
      <c r="AM213" s="1209"/>
      <c r="AN213" s="1209"/>
      <c r="AO213" s="1209"/>
      <c r="AP213" s="1209"/>
      <c r="AQ213" s="1209"/>
      <c r="AR213" s="1209"/>
      <c r="AS213" s="1209"/>
      <c r="AT213" s="1209"/>
      <c r="AU213" s="1209"/>
      <c r="AV213" s="1209"/>
      <c r="AW213" s="1209"/>
      <c r="AX213" s="1209"/>
      <c r="AY213" s="1209"/>
      <c r="AZ213" s="1209"/>
      <c r="BA213" s="1209"/>
      <c r="BB213" s="1209"/>
      <c r="BC213" s="1209"/>
      <c r="BD213" s="1209"/>
      <c r="BE213" s="1205"/>
    </row>
    <row r="214" spans="1:57" ht="15.75" customHeight="1">
      <c r="A214" s="1209"/>
      <c r="B214" s="1209"/>
      <c r="C214" s="2182" t="s">
        <v>2585</v>
      </c>
      <c r="D214" s="2183"/>
      <c r="E214" s="2183"/>
      <c r="F214" s="2183"/>
      <c r="G214" s="2183"/>
      <c r="H214" s="2183"/>
      <c r="I214" s="2183"/>
      <c r="J214" s="2183"/>
      <c r="K214" s="2183"/>
      <c r="L214" s="2183"/>
      <c r="M214" s="2183"/>
      <c r="N214" s="2183"/>
      <c r="O214" s="2183"/>
      <c r="P214" s="2184"/>
      <c r="Q214" s="2184"/>
      <c r="R214" s="2184"/>
      <c r="S214" s="2184"/>
      <c r="T214" s="2184"/>
      <c r="U214" s="2185">
        <v>0</v>
      </c>
      <c r="V214" s="2185"/>
      <c r="W214" s="2185"/>
      <c r="X214" s="2185"/>
      <c r="Y214" s="2185">
        <v>0</v>
      </c>
      <c r="Z214" s="2185"/>
      <c r="AA214" s="2185"/>
      <c r="AB214" s="2185"/>
      <c r="AC214" s="2186">
        <v>0</v>
      </c>
      <c r="AD214" s="2186"/>
      <c r="AE214" s="2186"/>
      <c r="AF214" s="2186"/>
      <c r="AG214" s="2589"/>
      <c r="AH214" s="2590"/>
      <c r="AI214" s="2590"/>
      <c r="AJ214" s="2590"/>
      <c r="AK214" s="2591"/>
      <c r="AL214" s="1209"/>
      <c r="AM214" s="1209"/>
      <c r="AN214" s="1209"/>
      <c r="AO214" s="1209"/>
      <c r="AP214" s="1209"/>
      <c r="AQ214" s="1209"/>
      <c r="AR214" s="1209"/>
      <c r="AS214" s="1209"/>
      <c r="AT214" s="1209"/>
      <c r="AU214" s="1209"/>
      <c r="AV214" s="1209"/>
      <c r="AW214" s="1209"/>
      <c r="AX214" s="1209"/>
      <c r="AY214" s="1209"/>
      <c r="AZ214" s="1209"/>
      <c r="BA214" s="1209"/>
      <c r="BB214" s="1209"/>
      <c r="BC214" s="1209"/>
      <c r="BD214" s="1209"/>
      <c r="BE214" s="1205"/>
    </row>
    <row r="215" spans="1:57" ht="15.75" customHeight="1">
      <c r="A215" s="1209"/>
      <c r="B215" s="1209"/>
      <c r="C215" s="1209" t="s">
        <v>2584</v>
      </c>
      <c r="D215" s="1209"/>
      <c r="E215" s="1209"/>
      <c r="F215" s="1209"/>
      <c r="G215" s="1209"/>
      <c r="H215" s="1209"/>
      <c r="I215" s="1209"/>
      <c r="J215" s="1209"/>
      <c r="K215" s="1209"/>
      <c r="L215" s="1209"/>
      <c r="M215" s="1209"/>
      <c r="N215" s="1209"/>
      <c r="O215" s="1209"/>
      <c r="P215" s="1209"/>
      <c r="Q215" s="1209"/>
      <c r="R215" s="1209"/>
      <c r="S215" s="1209"/>
      <c r="T215" s="1209"/>
      <c r="U215" s="1209"/>
      <c r="V215" s="1209"/>
      <c r="W215" s="1209"/>
      <c r="X215" s="1209"/>
      <c r="Y215" s="1209"/>
      <c r="Z215" s="1209"/>
      <c r="AA215" s="1209"/>
      <c r="AB215" s="1209"/>
      <c r="AC215" s="1209"/>
      <c r="AD215" s="1209"/>
      <c r="AE215" s="1209"/>
      <c r="AF215" s="1209"/>
      <c r="AG215" s="1209"/>
      <c r="AH215" s="1209"/>
      <c r="AI215" s="1209"/>
      <c r="AJ215" s="1209"/>
      <c r="AK215" s="1209"/>
      <c r="AL215" s="1209"/>
      <c r="AM215" s="1209"/>
      <c r="AN215" s="1209"/>
      <c r="AO215" s="1209"/>
      <c r="AP215" s="1209"/>
      <c r="AQ215" s="1209"/>
      <c r="AR215" s="1209"/>
      <c r="AS215" s="1209"/>
      <c r="AT215" s="1209"/>
      <c r="AU215" s="1209"/>
      <c r="AV215" s="1209"/>
      <c r="AW215" s="1209"/>
      <c r="AX215" s="1209"/>
      <c r="AY215" s="1209"/>
      <c r="AZ215" s="1209"/>
      <c r="BA215" s="1209"/>
      <c r="BB215" s="1209"/>
      <c r="BC215" s="1209"/>
      <c r="BD215" s="1209"/>
      <c r="BE215" s="1205"/>
    </row>
    <row r="216" spans="1:57" ht="15.75" customHeight="1">
      <c r="A216" s="1209"/>
      <c r="B216" s="1209"/>
      <c r="C216" s="1209"/>
      <c r="D216" s="1209"/>
      <c r="E216" s="1209"/>
      <c r="F216" s="1209"/>
      <c r="G216" s="1209"/>
      <c r="H216" s="1209"/>
      <c r="I216" s="1209"/>
      <c r="J216" s="1209"/>
      <c r="K216" s="1209"/>
      <c r="L216" s="1209"/>
      <c r="M216" s="1209"/>
      <c r="N216" s="1209"/>
      <c r="O216" s="1209"/>
      <c r="P216" s="1209"/>
      <c r="Q216" s="1209"/>
      <c r="R216" s="1209"/>
      <c r="S216" s="1209"/>
      <c r="T216" s="1209"/>
      <c r="U216" s="1209"/>
      <c r="V216" s="1209"/>
      <c r="W216" s="1209"/>
      <c r="X216" s="1209"/>
      <c r="Y216" s="1209"/>
      <c r="Z216" s="1209"/>
      <c r="AA216" s="1209"/>
      <c r="AB216" s="1209"/>
      <c r="AC216" s="1209"/>
      <c r="AD216" s="1209"/>
      <c r="AE216" s="1209"/>
      <c r="AF216" s="1209"/>
      <c r="AG216" s="1209"/>
      <c r="AH216" s="1209"/>
      <c r="AI216" s="1209"/>
      <c r="AJ216" s="1209"/>
      <c r="AK216" s="1209"/>
      <c r="AL216" s="1209"/>
      <c r="AM216" s="1209"/>
      <c r="AN216" s="1209"/>
      <c r="AO216" s="1209"/>
      <c r="AP216" s="1209"/>
      <c r="AQ216" s="1209"/>
      <c r="AR216" s="1209"/>
      <c r="AS216" s="1209"/>
      <c r="AT216" s="1209"/>
      <c r="AU216" s="1209"/>
      <c r="AV216" s="1209"/>
      <c r="AW216" s="1209"/>
      <c r="AX216" s="1209"/>
      <c r="AY216" s="1209"/>
      <c r="AZ216" s="1209"/>
      <c r="BA216" s="1209"/>
      <c r="BB216" s="1209"/>
      <c r="BC216" s="1209"/>
      <c r="BD216" s="1209"/>
      <c r="BE216" s="1205"/>
    </row>
    <row r="217" spans="1:57" ht="15.75" customHeight="1">
      <c r="A217" s="1209"/>
      <c r="B217" s="1209"/>
      <c r="C217" s="1209"/>
      <c r="D217" s="1209"/>
      <c r="E217" s="1209"/>
      <c r="F217" s="1209"/>
      <c r="G217" s="1209"/>
      <c r="H217" s="1209"/>
      <c r="I217" s="1209"/>
      <c r="J217" s="1209"/>
      <c r="K217" s="1209"/>
      <c r="L217" s="1209"/>
      <c r="M217" s="1209"/>
      <c r="N217" s="1209"/>
      <c r="O217" s="1209"/>
      <c r="P217" s="1209"/>
      <c r="Q217" s="1209"/>
      <c r="R217" s="1209"/>
      <c r="S217" s="1209"/>
      <c r="T217" s="1209"/>
      <c r="U217" s="1209"/>
      <c r="V217" s="1209"/>
      <c r="W217" s="1209"/>
      <c r="X217" s="1209"/>
      <c r="Y217" s="1209"/>
      <c r="Z217" s="1209"/>
      <c r="AA217" s="1209"/>
      <c r="AB217" s="1209"/>
      <c r="AC217" s="1209"/>
      <c r="AD217" s="1209"/>
      <c r="AE217" s="1209"/>
      <c r="AF217" s="1209"/>
      <c r="AG217" s="1209"/>
      <c r="AH217" s="1209"/>
      <c r="AI217" s="1209"/>
      <c r="AJ217" s="1209"/>
      <c r="AK217" s="1209"/>
      <c r="AL217" s="1209"/>
      <c r="AM217" s="1209"/>
      <c r="AN217" s="1209"/>
      <c r="AO217" s="1209"/>
      <c r="AP217" s="1209"/>
      <c r="AQ217" s="1209"/>
      <c r="AR217" s="1209"/>
      <c r="AS217" s="1209"/>
      <c r="AT217" s="1209"/>
      <c r="AU217" s="1209"/>
      <c r="AV217" s="1209"/>
      <c r="AW217" s="1209"/>
      <c r="AX217" s="1209"/>
      <c r="AY217" s="1209"/>
      <c r="AZ217" s="1209"/>
      <c r="BA217" s="1209"/>
      <c r="BB217" s="1209"/>
      <c r="BC217" s="1209"/>
      <c r="BD217" s="1209"/>
      <c r="BE217" s="1205"/>
    </row>
    <row r="218" spans="1:57" ht="15.75" customHeight="1" thickBot="1">
      <c r="A218" s="1209"/>
      <c r="B218" s="1209"/>
      <c r="C218" s="1209"/>
      <c r="D218" s="1209"/>
      <c r="E218" s="1209"/>
      <c r="F218" s="1209"/>
      <c r="G218" s="1209"/>
      <c r="H218" s="1209"/>
      <c r="I218" s="1209"/>
      <c r="J218" s="1209"/>
      <c r="K218" s="1209"/>
      <c r="L218" s="1209"/>
      <c r="M218" s="1209"/>
      <c r="N218" s="1209"/>
      <c r="O218" s="1209"/>
      <c r="P218" s="1209"/>
      <c r="Q218" s="1209"/>
      <c r="R218" s="1209"/>
      <c r="S218" s="1209"/>
      <c r="T218" s="1209"/>
      <c r="U218" s="1209"/>
      <c r="V218" s="1209"/>
      <c r="W218" s="1209"/>
      <c r="X218" s="1209"/>
      <c r="Y218" s="1209"/>
      <c r="Z218" s="1209"/>
      <c r="AA218" s="1209"/>
      <c r="AB218" s="1209"/>
      <c r="AC218" s="1209"/>
      <c r="AD218" s="1209"/>
      <c r="AE218" s="1209"/>
      <c r="AF218" s="1209"/>
      <c r="AG218" s="1209"/>
      <c r="AH218" s="1209"/>
      <c r="AI218" s="1209"/>
      <c r="AJ218" s="1209"/>
      <c r="AK218" s="1209"/>
      <c r="AL218" s="1209"/>
      <c r="AM218" s="1209"/>
      <c r="AN218" s="1209"/>
      <c r="AO218" s="1209"/>
      <c r="AP218" s="1209"/>
      <c r="AQ218" s="1209"/>
      <c r="AR218" s="1209"/>
      <c r="AS218" s="1209"/>
      <c r="AT218" s="1209"/>
      <c r="AU218" s="1209"/>
      <c r="AV218" s="1209"/>
      <c r="AW218" s="1209"/>
      <c r="AX218" s="1209"/>
      <c r="AY218" s="1209"/>
      <c r="AZ218" s="1209"/>
      <c r="BA218" s="1209"/>
      <c r="BB218" s="1209"/>
      <c r="BC218" s="1209"/>
      <c r="BD218" s="1209"/>
      <c r="BE218" s="1205"/>
    </row>
    <row r="219" spans="1:57" ht="15.75" customHeight="1">
      <c r="A219" s="1209"/>
      <c r="B219" s="2562" t="s">
        <v>1852</v>
      </c>
      <c r="C219" s="2563"/>
      <c r="D219" s="2563"/>
      <c r="E219" s="2563"/>
      <c r="F219" s="2563"/>
      <c r="G219" s="2563"/>
      <c r="H219" s="2563"/>
      <c r="I219" s="2563"/>
      <c r="J219" s="2563"/>
      <c r="K219" s="2563"/>
      <c r="L219" s="2563"/>
      <c r="M219" s="2563"/>
      <c r="N219" s="2563"/>
      <c r="O219" s="2563"/>
      <c r="P219" s="2563"/>
      <c r="Q219" s="2563"/>
      <c r="R219" s="2563"/>
      <c r="S219" s="2563"/>
      <c r="T219" s="2563"/>
      <c r="U219" s="2563"/>
      <c r="V219" s="2563"/>
      <c r="W219" s="2563"/>
      <c r="X219" s="2563"/>
      <c r="Y219" s="2563"/>
      <c r="Z219" s="2563"/>
      <c r="AA219" s="2563"/>
      <c r="AB219" s="2563"/>
      <c r="AC219" s="2563"/>
      <c r="AD219" s="2563"/>
      <c r="AE219" s="2563"/>
      <c r="AF219" s="2563"/>
      <c r="AG219" s="2563"/>
      <c r="AH219" s="2563"/>
      <c r="AI219" s="2563"/>
      <c r="AJ219" s="2563"/>
      <c r="AK219" s="2563"/>
      <c r="AL219" s="2563"/>
      <c r="AM219" s="2563"/>
      <c r="AN219" s="2563"/>
      <c r="AO219" s="2563"/>
      <c r="AP219" s="2563"/>
      <c r="AQ219" s="2563"/>
      <c r="AR219" s="2563"/>
      <c r="AS219" s="2563"/>
      <c r="AT219" s="2563"/>
      <c r="AU219" s="2563"/>
      <c r="AV219" s="2563"/>
      <c r="AW219" s="2563"/>
      <c r="AX219" s="2563"/>
      <c r="AY219" s="2563"/>
      <c r="AZ219" s="2563"/>
      <c r="BA219" s="2563"/>
      <c r="BB219" s="2563"/>
      <c r="BC219" s="2563"/>
      <c r="BD219" s="2564"/>
      <c r="BE219" s="1205"/>
    </row>
    <row r="220" spans="1:57" ht="15.75" customHeight="1">
      <c r="A220" s="1209"/>
      <c r="B220" s="2565"/>
      <c r="C220" s="2566"/>
      <c r="D220" s="2566"/>
      <c r="E220" s="2566"/>
      <c r="F220" s="2566"/>
      <c r="G220" s="2566"/>
      <c r="H220" s="2566"/>
      <c r="I220" s="2566"/>
      <c r="J220" s="2566"/>
      <c r="K220" s="2566"/>
      <c r="L220" s="2566"/>
      <c r="M220" s="2566"/>
      <c r="N220" s="2566"/>
      <c r="O220" s="2566"/>
      <c r="P220" s="2566"/>
      <c r="Q220" s="2566"/>
      <c r="R220" s="2566"/>
      <c r="S220" s="2566"/>
      <c r="T220" s="2566"/>
      <c r="U220" s="2566"/>
      <c r="V220" s="2566"/>
      <c r="W220" s="2566"/>
      <c r="X220" s="2566"/>
      <c r="Y220" s="2566"/>
      <c r="Z220" s="2566"/>
      <c r="AA220" s="2566"/>
      <c r="AB220" s="2566"/>
      <c r="AC220" s="2566"/>
      <c r="AD220" s="2566"/>
      <c r="AE220" s="2566"/>
      <c r="AF220" s="2566"/>
      <c r="AG220" s="2566"/>
      <c r="AH220" s="2566"/>
      <c r="AI220" s="2566"/>
      <c r="AJ220" s="2566"/>
      <c r="AK220" s="2566"/>
      <c r="AL220" s="2566"/>
      <c r="AM220" s="2566"/>
      <c r="AN220" s="2566"/>
      <c r="AO220" s="2566"/>
      <c r="AP220" s="2566"/>
      <c r="AQ220" s="2566"/>
      <c r="AR220" s="2566"/>
      <c r="AS220" s="2566"/>
      <c r="AT220" s="2566"/>
      <c r="AU220" s="2566"/>
      <c r="AV220" s="2566"/>
      <c r="AW220" s="2566"/>
      <c r="AX220" s="2566"/>
      <c r="AY220" s="2566"/>
      <c r="AZ220" s="2566"/>
      <c r="BA220" s="2566"/>
      <c r="BB220" s="2566"/>
      <c r="BC220" s="2566"/>
      <c r="BD220" s="2567"/>
      <c r="BE220" s="1205"/>
    </row>
    <row r="221" spans="1:57" ht="15.75" customHeight="1">
      <c r="A221" s="1209"/>
      <c r="B221" s="2568" t="s">
        <v>1853</v>
      </c>
      <c r="C221" s="2569"/>
      <c r="D221" s="2569"/>
      <c r="E221" s="2569"/>
      <c r="F221" s="2569"/>
      <c r="G221" s="2569"/>
      <c r="H221" s="2569"/>
      <c r="I221" s="2569"/>
      <c r="J221" s="2569"/>
      <c r="K221" s="2569"/>
      <c r="L221" s="2569"/>
      <c r="M221" s="2569"/>
      <c r="N221" s="2569"/>
      <c r="O221" s="2569"/>
      <c r="P221" s="2569"/>
      <c r="Q221" s="2569"/>
      <c r="R221" s="2569"/>
      <c r="S221" s="2569"/>
      <c r="T221" s="2569"/>
      <c r="U221" s="2569"/>
      <c r="V221" s="2569"/>
      <c r="W221" s="2569"/>
      <c r="X221" s="2569"/>
      <c r="Y221" s="2569"/>
      <c r="Z221" s="2569"/>
      <c r="AA221" s="2569"/>
      <c r="AB221" s="2569"/>
      <c r="AC221" s="2569"/>
      <c r="AD221" s="2569"/>
      <c r="AE221" s="2569"/>
      <c r="AF221" s="2569"/>
      <c r="AG221" s="2569"/>
      <c r="AH221" s="2569"/>
      <c r="AI221" s="2569"/>
      <c r="AJ221" s="2569"/>
      <c r="AK221" s="2569"/>
      <c r="AL221" s="2569"/>
      <c r="AM221" s="2569"/>
      <c r="AN221" s="2569"/>
      <c r="AO221" s="2569"/>
      <c r="AP221" s="2569"/>
      <c r="AQ221" s="2569"/>
      <c r="AR221" s="2569"/>
      <c r="AS221" s="2569"/>
      <c r="AT221" s="2569"/>
      <c r="AU221" s="2569"/>
      <c r="AV221" s="2569"/>
      <c r="AW221" s="2569"/>
      <c r="AX221" s="2569"/>
      <c r="AY221" s="2569"/>
      <c r="AZ221" s="2569"/>
      <c r="BA221" s="2569"/>
      <c r="BB221" s="2569"/>
      <c r="BC221" s="2569"/>
      <c r="BD221" s="2570"/>
      <c r="BE221" s="1205"/>
    </row>
    <row r="222" spans="1:57" ht="15.75" customHeight="1">
      <c r="A222" s="1209"/>
      <c r="B222" s="2568" t="s">
        <v>1854</v>
      </c>
      <c r="C222" s="2569"/>
      <c r="D222" s="2569"/>
      <c r="E222" s="2569"/>
      <c r="F222" s="2569"/>
      <c r="G222" s="2569"/>
      <c r="H222" s="2569"/>
      <c r="I222" s="2569"/>
      <c r="J222" s="2569"/>
      <c r="K222" s="2569"/>
      <c r="L222" s="2569"/>
      <c r="M222" s="2569"/>
      <c r="N222" s="2569"/>
      <c r="O222" s="2569"/>
      <c r="P222" s="2569"/>
      <c r="Q222" s="2569"/>
      <c r="R222" s="2569"/>
      <c r="S222" s="2569"/>
      <c r="T222" s="2569"/>
      <c r="U222" s="2569"/>
      <c r="V222" s="2569"/>
      <c r="W222" s="2569"/>
      <c r="X222" s="2569"/>
      <c r="Y222" s="2569"/>
      <c r="Z222" s="2569"/>
      <c r="AA222" s="2569"/>
      <c r="AB222" s="2569"/>
      <c r="AC222" s="2569"/>
      <c r="AD222" s="2569"/>
      <c r="AE222" s="2569"/>
      <c r="AF222" s="2569"/>
      <c r="AG222" s="2569"/>
      <c r="AH222" s="2569"/>
      <c r="AI222" s="2569"/>
      <c r="AJ222" s="2569"/>
      <c r="AK222" s="2569"/>
      <c r="AL222" s="2569"/>
      <c r="AM222" s="2569"/>
      <c r="AN222" s="2569"/>
      <c r="AO222" s="2569"/>
      <c r="AP222" s="2569"/>
      <c r="AQ222" s="2569"/>
      <c r="AR222" s="2569"/>
      <c r="AS222" s="2569"/>
      <c r="AT222" s="2569"/>
      <c r="AU222" s="2569"/>
      <c r="AV222" s="2569"/>
      <c r="AW222" s="2569"/>
      <c r="AX222" s="2569"/>
      <c r="AY222" s="2569"/>
      <c r="AZ222" s="2569"/>
      <c r="BA222" s="2569"/>
      <c r="BB222" s="2569"/>
      <c r="BC222" s="2569"/>
      <c r="BD222" s="2570"/>
      <c r="BE222" s="1205"/>
    </row>
    <row r="223" spans="1:57" ht="15.75" customHeight="1">
      <c r="A223" s="1209"/>
      <c r="B223" s="1215"/>
      <c r="C223" s="1209"/>
      <c r="D223" s="1209"/>
      <c r="E223" s="1209"/>
      <c r="F223" s="1209"/>
      <c r="G223" s="1209"/>
      <c r="H223" s="1209"/>
      <c r="I223" s="1209"/>
      <c r="J223" s="1209"/>
      <c r="K223" s="1209"/>
      <c r="L223" s="1209"/>
      <c r="M223" s="1209"/>
      <c r="N223" s="1209"/>
      <c r="O223" s="1209"/>
      <c r="P223" s="1209"/>
      <c r="Q223" s="1209"/>
      <c r="R223" s="1209"/>
      <c r="S223" s="1209"/>
      <c r="T223" s="1209"/>
      <c r="U223" s="1209"/>
      <c r="V223" s="1209"/>
      <c r="W223" s="1209"/>
      <c r="X223" s="1209"/>
      <c r="Y223" s="1209"/>
      <c r="Z223" s="1209"/>
      <c r="AA223" s="1209"/>
      <c r="AB223" s="1209"/>
      <c r="AC223" s="1209"/>
      <c r="AD223" s="1209"/>
      <c r="AE223" s="1209"/>
      <c r="AF223" s="1209"/>
      <c r="AG223" s="1209"/>
      <c r="AH223" s="1209"/>
      <c r="AI223" s="1209"/>
      <c r="AJ223" s="1209"/>
      <c r="AK223" s="1209"/>
      <c r="AL223" s="1209"/>
      <c r="AM223" s="1209"/>
      <c r="AN223" s="1209"/>
      <c r="AO223" s="1209"/>
      <c r="AP223" s="1209"/>
      <c r="AQ223" s="1209"/>
      <c r="AR223" s="1209"/>
      <c r="AS223" s="1209"/>
      <c r="AT223" s="1209"/>
      <c r="AU223" s="1209"/>
      <c r="AV223" s="1209"/>
      <c r="AW223" s="1209"/>
      <c r="AX223" s="1209"/>
      <c r="AY223" s="1209"/>
      <c r="AZ223" s="1209"/>
      <c r="BA223" s="1209"/>
      <c r="BB223" s="1209"/>
      <c r="BC223" s="1209"/>
      <c r="BD223" s="1205"/>
      <c r="BE223" s="1205"/>
    </row>
    <row r="224" spans="1:57" ht="15.75" customHeight="1">
      <c r="A224" s="1209"/>
      <c r="B224" s="2571" t="s">
        <v>1855</v>
      </c>
      <c r="C224" s="2572"/>
      <c r="D224" s="2572"/>
      <c r="E224" s="2572"/>
      <c r="F224" s="2572"/>
      <c r="G224" s="2572"/>
      <c r="H224" s="2572"/>
      <c r="I224" s="2572"/>
      <c r="J224" s="2572"/>
      <c r="K224" s="2572"/>
      <c r="L224" s="2572"/>
      <c r="M224" s="2572"/>
      <c r="N224" s="2572"/>
      <c r="O224" s="2572"/>
      <c r="P224" s="2572"/>
      <c r="Q224" s="2572"/>
      <c r="R224" s="2572"/>
      <c r="S224" s="2572"/>
      <c r="T224" s="2572"/>
      <c r="U224" s="2572"/>
      <c r="V224" s="2572"/>
      <c r="W224" s="2572"/>
      <c r="X224" s="2572"/>
      <c r="Y224" s="2572"/>
      <c r="Z224" s="2572"/>
      <c r="AA224" s="2572"/>
      <c r="AB224" s="2572"/>
      <c r="AC224" s="2572"/>
      <c r="AD224" s="2572"/>
      <c r="AE224" s="2572"/>
      <c r="AF224" s="2572"/>
      <c r="AG224" s="2572"/>
      <c r="AH224" s="2572"/>
      <c r="AI224" s="2572"/>
      <c r="AJ224" s="2572"/>
      <c r="AK224" s="2572"/>
      <c r="AL224" s="2572"/>
      <c r="AM224" s="2572"/>
      <c r="AN224" s="2572"/>
      <c r="AO224" s="2572"/>
      <c r="AP224" s="2572"/>
      <c r="AQ224" s="2572"/>
      <c r="AR224" s="2572"/>
      <c r="AS224" s="2572"/>
      <c r="AT224" s="2572"/>
      <c r="AU224" s="2572"/>
      <c r="AV224" s="2572"/>
      <c r="AW224" s="2572"/>
      <c r="AX224" s="2572"/>
      <c r="AY224" s="2572"/>
      <c r="AZ224" s="2572"/>
      <c r="BA224" s="2572"/>
      <c r="BB224" s="2572"/>
      <c r="BC224" s="2572"/>
      <c r="BD224" s="2573"/>
      <c r="BE224" s="1205"/>
    </row>
    <row r="225" spans="1:57" ht="15.75" customHeight="1">
      <c r="A225" s="1209"/>
      <c r="B225" s="1218"/>
      <c r="C225" s="1209"/>
      <c r="D225" s="1209"/>
      <c r="E225" s="1209"/>
      <c r="F225" s="1209"/>
      <c r="G225" s="1209"/>
      <c r="H225" s="1209"/>
      <c r="I225" s="1209"/>
      <c r="J225" s="1209"/>
      <c r="K225" s="1209"/>
      <c r="L225" s="1209"/>
      <c r="M225" s="1209"/>
      <c r="N225" s="1209"/>
      <c r="O225" s="1209"/>
      <c r="P225" s="1209"/>
      <c r="Q225" s="1209"/>
      <c r="R225" s="1209"/>
      <c r="S225" s="1209"/>
      <c r="T225" s="1209"/>
      <c r="U225" s="1209"/>
      <c r="V225" s="1209"/>
      <c r="W225" s="1209"/>
      <c r="X225" s="1209"/>
      <c r="Y225" s="1209"/>
      <c r="Z225" s="1209"/>
      <c r="AA225" s="1209"/>
      <c r="AB225" s="1209"/>
      <c r="AC225" s="1209"/>
      <c r="AD225" s="1209"/>
      <c r="AE225" s="1209"/>
      <c r="AF225" s="1209"/>
      <c r="AG225" s="1209"/>
      <c r="AH225" s="1209"/>
      <c r="AI225" s="1209"/>
      <c r="AJ225" s="1209"/>
      <c r="AK225" s="1209"/>
      <c r="AL225" s="1209"/>
      <c r="AM225" s="1209"/>
      <c r="AN225" s="1209"/>
      <c r="AO225" s="1209"/>
      <c r="AP225" s="1209"/>
      <c r="AQ225" s="1209"/>
      <c r="AR225" s="1209"/>
      <c r="AS225" s="1209"/>
      <c r="AT225" s="1209"/>
      <c r="AU225" s="1209"/>
      <c r="AV225" s="1209"/>
      <c r="AW225" s="1209"/>
      <c r="AX225" s="1209"/>
      <c r="AY225" s="1209"/>
      <c r="AZ225" s="1209"/>
      <c r="BA225" s="1209"/>
      <c r="BB225" s="1209"/>
      <c r="BC225" s="1209"/>
      <c r="BD225" s="1205"/>
      <c r="BE225" s="1205"/>
    </row>
    <row r="226" spans="1:57" ht="15.75" customHeight="1">
      <c r="A226" s="1209"/>
      <c r="B226" s="1216"/>
      <c r="C226" s="1209"/>
      <c r="D226" s="1209"/>
      <c r="E226" s="1209"/>
      <c r="F226" s="1209"/>
      <c r="G226" s="1209"/>
      <c r="H226" s="1217" t="s">
        <v>1856</v>
      </c>
      <c r="I226" s="1209"/>
      <c r="J226" s="1209"/>
      <c r="K226" s="1209"/>
      <c r="L226" s="1209"/>
      <c r="M226" s="1209"/>
      <c r="N226" s="1209"/>
      <c r="O226" s="1209"/>
      <c r="P226" s="1209"/>
      <c r="Q226" s="1209"/>
      <c r="R226" s="1209"/>
      <c r="S226" s="1209"/>
      <c r="T226" s="1209"/>
      <c r="U226" s="1209"/>
      <c r="V226" s="1209"/>
      <c r="W226" s="1209"/>
      <c r="X226" s="1209"/>
      <c r="Y226" s="1209"/>
      <c r="Z226" s="1209"/>
      <c r="AA226" s="1209"/>
      <c r="AB226" s="1209"/>
      <c r="AC226" s="1209"/>
      <c r="AD226" s="1209"/>
      <c r="AE226" s="1209"/>
      <c r="AF226" s="1209"/>
      <c r="AG226" s="1209"/>
      <c r="AH226" s="1209"/>
      <c r="AI226" s="1209"/>
      <c r="AJ226" s="1209"/>
      <c r="AK226" s="1209"/>
      <c r="AL226" s="1209"/>
      <c r="AM226" s="1209"/>
      <c r="AN226" s="1209"/>
      <c r="AO226" s="1209"/>
      <c r="AP226" s="1209"/>
      <c r="AQ226" s="1209"/>
      <c r="AR226" s="1209"/>
      <c r="AS226" s="1209"/>
      <c r="AT226" s="1209"/>
      <c r="AU226" s="1209"/>
      <c r="AV226" s="1209"/>
      <c r="AW226" s="1209"/>
      <c r="AX226" s="1209"/>
      <c r="AY226" s="1209"/>
      <c r="AZ226" s="1209"/>
      <c r="BA226" s="1209"/>
      <c r="BB226" s="1209"/>
      <c r="BC226" s="1209"/>
      <c r="BD226" s="1205"/>
      <c r="BE226" s="1205"/>
    </row>
    <row r="227" spans="1:57" ht="15.75" customHeight="1">
      <c r="A227" s="1209"/>
      <c r="B227" s="1216"/>
      <c r="C227" s="1209"/>
      <c r="D227" s="1209"/>
      <c r="E227" s="1209"/>
      <c r="F227" s="1209"/>
      <c r="G227" s="1209"/>
      <c r="H227" s="1209"/>
      <c r="I227" s="1209"/>
      <c r="J227" s="1209"/>
      <c r="K227" s="1209"/>
      <c r="L227" s="1209"/>
      <c r="M227" s="1209"/>
      <c r="N227" s="1209"/>
      <c r="O227" s="1209"/>
      <c r="P227" s="1209"/>
      <c r="Q227" s="1209"/>
      <c r="R227" s="1209"/>
      <c r="S227" s="1209"/>
      <c r="T227" s="1209"/>
      <c r="U227" s="1209"/>
      <c r="V227" s="1209"/>
      <c r="W227" s="1209"/>
      <c r="X227" s="1209"/>
      <c r="Y227" s="1209"/>
      <c r="Z227" s="1209"/>
      <c r="AA227" s="1209"/>
      <c r="AB227" s="1209"/>
      <c r="AC227" s="1209"/>
      <c r="AD227" s="1209"/>
      <c r="AE227" s="1209"/>
      <c r="AF227" s="1209"/>
      <c r="AG227" s="1209"/>
      <c r="AH227" s="1209"/>
      <c r="AI227" s="1209"/>
      <c r="AJ227" s="1209"/>
      <c r="AK227" s="1209"/>
      <c r="AL227" s="1209"/>
      <c r="AM227" s="1209"/>
      <c r="AN227" s="1209"/>
      <c r="AO227" s="1209"/>
      <c r="AP227" s="1209"/>
      <c r="AQ227" s="1209"/>
      <c r="AR227" s="1209"/>
      <c r="AS227" s="1209"/>
      <c r="AT227" s="1209"/>
      <c r="AU227" s="1209"/>
      <c r="AV227" s="1209"/>
      <c r="AW227" s="1209"/>
      <c r="AX227" s="1209"/>
      <c r="AY227" s="1209"/>
      <c r="AZ227" s="1209"/>
      <c r="BA227" s="1209"/>
      <c r="BB227" s="1209"/>
      <c r="BC227" s="1209"/>
      <c r="BD227" s="1205"/>
      <c r="BE227" s="1205"/>
    </row>
    <row r="228" spans="1:57" ht="15.75" customHeight="1">
      <c r="A228" s="1209"/>
      <c r="B228" s="1216"/>
      <c r="C228" s="1209"/>
      <c r="D228" s="1209"/>
      <c r="E228" s="1209"/>
      <c r="F228" s="1209"/>
      <c r="G228" s="1209"/>
      <c r="H228" s="2585" t="s">
        <v>1857</v>
      </c>
      <c r="I228" s="2585"/>
      <c r="J228" s="2585"/>
      <c r="K228" s="2585"/>
      <c r="L228" s="2585"/>
      <c r="M228" s="2585"/>
      <c r="N228" s="2585"/>
      <c r="O228" s="2585"/>
      <c r="P228" s="2585"/>
      <c r="Q228" s="2585"/>
      <c r="R228" s="2585"/>
      <c r="S228" s="2585"/>
      <c r="T228" s="2585"/>
      <c r="U228" s="2585"/>
      <c r="V228" s="2585"/>
      <c r="W228" s="2585"/>
      <c r="X228" s="2585"/>
      <c r="Y228" s="2585"/>
      <c r="Z228" s="2585"/>
      <c r="AA228" s="2585"/>
      <c r="AB228" s="2585"/>
      <c r="AC228" s="2585"/>
      <c r="AD228" s="2585"/>
      <c r="AE228" s="2585"/>
      <c r="AF228" s="2585"/>
      <c r="AG228" s="2585"/>
      <c r="AH228" s="2585"/>
      <c r="AI228" s="2585"/>
      <c r="AJ228" s="2585"/>
      <c r="AK228" s="2585"/>
      <c r="AL228" s="2585"/>
      <c r="AM228" s="2585"/>
      <c r="AN228" s="2585"/>
      <c r="AO228" s="2585"/>
      <c r="AP228" s="2585"/>
      <c r="AQ228" s="2585"/>
      <c r="AR228" s="2585"/>
      <c r="AS228" s="2585"/>
      <c r="AT228" s="2585"/>
      <c r="AU228" s="2585"/>
      <c r="AV228" s="2585"/>
      <c r="AW228" s="2585"/>
      <c r="AX228" s="2585"/>
      <c r="AY228" s="2585"/>
      <c r="AZ228" s="1209"/>
      <c r="BA228" s="1209"/>
      <c r="BB228" s="1209"/>
      <c r="BC228" s="1209"/>
      <c r="BD228" s="1205"/>
      <c r="BE228" s="1205"/>
    </row>
    <row r="229" spans="1:57" ht="15.75" customHeight="1">
      <c r="A229" s="1209"/>
      <c r="B229" s="1216"/>
      <c r="C229" s="1209"/>
      <c r="D229" s="1209"/>
      <c r="E229" s="1209"/>
      <c r="F229" s="1209"/>
      <c r="G229" s="1209"/>
      <c r="H229" s="1209"/>
      <c r="I229" s="1209"/>
      <c r="J229" s="1209"/>
      <c r="K229" s="1209"/>
      <c r="L229" s="1209"/>
      <c r="M229" s="1209"/>
      <c r="N229" s="1209"/>
      <c r="O229" s="1209"/>
      <c r="P229" s="1209"/>
      <c r="Q229" s="1209"/>
      <c r="R229" s="1209"/>
      <c r="S229" s="1209"/>
      <c r="T229" s="1209"/>
      <c r="U229" s="1209"/>
      <c r="V229" s="1209"/>
      <c r="W229" s="1209"/>
      <c r="X229" s="1209"/>
      <c r="Y229" s="1209"/>
      <c r="Z229" s="1209"/>
      <c r="AA229" s="1209"/>
      <c r="AB229" s="1209"/>
      <c r="AC229" s="1209"/>
      <c r="AD229" s="1209"/>
      <c r="AE229" s="1209"/>
      <c r="AF229" s="1209"/>
      <c r="AG229" s="1209"/>
      <c r="AH229" s="1209"/>
      <c r="AI229" s="1209"/>
      <c r="AJ229" s="1209"/>
      <c r="AK229" s="1209"/>
      <c r="AL229" s="1209"/>
      <c r="AM229" s="1209"/>
      <c r="AN229" s="1209"/>
      <c r="AO229" s="1209"/>
      <c r="AP229" s="1209"/>
      <c r="AQ229" s="1209"/>
      <c r="AR229" s="1209"/>
      <c r="AS229" s="1209"/>
      <c r="AT229" s="1209"/>
      <c r="AU229" s="1209"/>
      <c r="AV229" s="1209"/>
      <c r="AW229" s="1209"/>
      <c r="AX229" s="1209"/>
      <c r="AY229" s="1209"/>
      <c r="AZ229" s="1209"/>
      <c r="BA229" s="1209"/>
      <c r="BB229" s="1209"/>
      <c r="BC229" s="1209"/>
      <c r="BD229" s="1205"/>
      <c r="BE229" s="1205"/>
    </row>
    <row r="230" spans="1:57" ht="15.75" customHeight="1">
      <c r="A230" s="1209"/>
      <c r="B230" s="1216"/>
      <c r="C230" s="1209"/>
      <c r="D230" s="1209"/>
      <c r="E230" s="1209"/>
      <c r="F230" s="1209"/>
      <c r="G230" s="1209"/>
      <c r="H230" s="2584" t="s">
        <v>2496</v>
      </c>
      <c r="I230" s="2584"/>
      <c r="J230" s="2584"/>
      <c r="K230" s="2584"/>
      <c r="L230" s="2584"/>
      <c r="M230" s="2584"/>
      <c r="N230" s="2584"/>
      <c r="O230" s="2584"/>
      <c r="P230" s="2584"/>
      <c r="Q230" s="2584"/>
      <c r="R230" s="2584"/>
      <c r="S230" s="2584"/>
      <c r="T230" s="2584"/>
      <c r="U230" s="2584"/>
      <c r="V230" s="2584"/>
      <c r="W230" s="2584"/>
      <c r="X230" s="2584"/>
      <c r="Y230" s="2584"/>
      <c r="Z230" s="2584"/>
      <c r="AA230" s="2584"/>
      <c r="AB230" s="2584"/>
      <c r="AC230" s="2584"/>
      <c r="AD230" s="2584"/>
      <c r="AE230" s="2584"/>
      <c r="AF230" s="2584"/>
      <c r="AG230" s="2584"/>
      <c r="AH230" s="2584"/>
      <c r="AI230" s="2584"/>
      <c r="AJ230" s="2584"/>
      <c r="AK230" s="2584"/>
      <c r="AL230" s="2584"/>
      <c r="AM230" s="2584"/>
      <c r="AN230" s="2584"/>
      <c r="AO230" s="2584"/>
      <c r="AP230" s="2584"/>
      <c r="AQ230" s="2584"/>
      <c r="AR230" s="2584"/>
      <c r="AS230" s="2584"/>
      <c r="AT230" s="2584"/>
      <c r="AU230" s="2584"/>
      <c r="AV230" s="2584"/>
      <c r="AW230" s="2584"/>
      <c r="AX230" s="2584"/>
      <c r="AY230" s="2584"/>
      <c r="AZ230" s="2584"/>
      <c r="BA230" s="1209"/>
      <c r="BB230" s="1209"/>
      <c r="BC230" s="1209"/>
      <c r="BD230" s="1205"/>
      <c r="BE230" s="1205"/>
    </row>
    <row r="231" spans="1:57" ht="15.75" customHeight="1">
      <c r="A231" s="1209"/>
      <c r="B231" s="1215"/>
      <c r="C231" s="1209"/>
      <c r="D231" s="1209"/>
      <c r="E231" s="1209"/>
      <c r="F231" s="1209"/>
      <c r="G231" s="1209"/>
      <c r="H231" s="2584"/>
      <c r="I231" s="2584"/>
      <c r="J231" s="2584"/>
      <c r="K231" s="2584"/>
      <c r="L231" s="2584"/>
      <c r="M231" s="2584"/>
      <c r="N231" s="2584"/>
      <c r="O231" s="2584"/>
      <c r="P231" s="2584"/>
      <c r="Q231" s="2584"/>
      <c r="R231" s="2584"/>
      <c r="S231" s="2584"/>
      <c r="T231" s="2584"/>
      <c r="U231" s="2584"/>
      <c r="V231" s="2584"/>
      <c r="W231" s="2584"/>
      <c r="X231" s="2584"/>
      <c r="Y231" s="2584"/>
      <c r="Z231" s="2584"/>
      <c r="AA231" s="2584"/>
      <c r="AB231" s="2584"/>
      <c r="AC231" s="2584"/>
      <c r="AD231" s="2584"/>
      <c r="AE231" s="2584"/>
      <c r="AF231" s="2584"/>
      <c r="AG231" s="2584"/>
      <c r="AH231" s="2584"/>
      <c r="AI231" s="2584"/>
      <c r="AJ231" s="2584"/>
      <c r="AK231" s="2584"/>
      <c r="AL231" s="2584"/>
      <c r="AM231" s="2584"/>
      <c r="AN231" s="2584"/>
      <c r="AO231" s="2584"/>
      <c r="AP231" s="2584"/>
      <c r="AQ231" s="2584"/>
      <c r="AR231" s="2584"/>
      <c r="AS231" s="2584"/>
      <c r="AT231" s="2584"/>
      <c r="AU231" s="2584"/>
      <c r="AV231" s="2584"/>
      <c r="AW231" s="2584"/>
      <c r="AX231" s="2584"/>
      <c r="AY231" s="2584"/>
      <c r="AZ231" s="2584"/>
      <c r="BA231" s="1209"/>
      <c r="BB231" s="1209"/>
      <c r="BC231" s="1209"/>
      <c r="BD231" s="1205"/>
      <c r="BE231" s="1205"/>
    </row>
    <row r="232" spans="1:57" ht="15.75" customHeight="1">
      <c r="A232" s="1209"/>
      <c r="B232" s="1215"/>
      <c r="C232" s="1209"/>
      <c r="D232" s="1209"/>
      <c r="E232" s="1209"/>
      <c r="F232" s="1209"/>
      <c r="G232" s="1209"/>
      <c r="H232" s="2584"/>
      <c r="I232" s="2584"/>
      <c r="J232" s="2584"/>
      <c r="K232" s="2584"/>
      <c r="L232" s="2584"/>
      <c r="M232" s="2584"/>
      <c r="N232" s="2584"/>
      <c r="O232" s="2584"/>
      <c r="P232" s="2584"/>
      <c r="Q232" s="2584"/>
      <c r="R232" s="2584"/>
      <c r="S232" s="2584"/>
      <c r="T232" s="2584"/>
      <c r="U232" s="2584"/>
      <c r="V232" s="2584"/>
      <c r="W232" s="2584"/>
      <c r="X232" s="2584"/>
      <c r="Y232" s="2584"/>
      <c r="Z232" s="2584"/>
      <c r="AA232" s="2584"/>
      <c r="AB232" s="2584"/>
      <c r="AC232" s="2584"/>
      <c r="AD232" s="2584"/>
      <c r="AE232" s="2584"/>
      <c r="AF232" s="2584"/>
      <c r="AG232" s="2584"/>
      <c r="AH232" s="2584"/>
      <c r="AI232" s="2584"/>
      <c r="AJ232" s="2584"/>
      <c r="AK232" s="2584"/>
      <c r="AL232" s="2584"/>
      <c r="AM232" s="2584"/>
      <c r="AN232" s="2584"/>
      <c r="AO232" s="2584"/>
      <c r="AP232" s="2584"/>
      <c r="AQ232" s="2584"/>
      <c r="AR232" s="2584"/>
      <c r="AS232" s="2584"/>
      <c r="AT232" s="2584"/>
      <c r="AU232" s="2584"/>
      <c r="AV232" s="2584"/>
      <c r="AW232" s="2584"/>
      <c r="AX232" s="2584"/>
      <c r="AY232" s="2584"/>
      <c r="AZ232" s="2584"/>
      <c r="BA232" s="1209"/>
      <c r="BB232" s="1209"/>
      <c r="BC232" s="1209"/>
      <c r="BD232" s="1205"/>
      <c r="BE232" s="1205"/>
    </row>
    <row r="233" spans="1:57" ht="15.75" customHeight="1">
      <c r="A233" s="1209"/>
      <c r="B233" s="1215"/>
      <c r="C233" s="1209"/>
      <c r="D233" s="1209"/>
      <c r="E233" s="1209"/>
      <c r="F233" s="1209"/>
      <c r="G233" s="1209"/>
      <c r="H233" s="2584"/>
      <c r="I233" s="2584"/>
      <c r="J233" s="2584"/>
      <c r="K233" s="2584"/>
      <c r="L233" s="2584"/>
      <c r="M233" s="2584"/>
      <c r="N233" s="2584"/>
      <c r="O233" s="2584"/>
      <c r="P233" s="2584"/>
      <c r="Q233" s="2584"/>
      <c r="R233" s="2584"/>
      <c r="S233" s="2584"/>
      <c r="T233" s="2584"/>
      <c r="U233" s="2584"/>
      <c r="V233" s="2584"/>
      <c r="W233" s="2584"/>
      <c r="X233" s="2584"/>
      <c r="Y233" s="2584"/>
      <c r="Z233" s="2584"/>
      <c r="AA233" s="2584"/>
      <c r="AB233" s="2584"/>
      <c r="AC233" s="2584"/>
      <c r="AD233" s="2584"/>
      <c r="AE233" s="2584"/>
      <c r="AF233" s="2584"/>
      <c r="AG233" s="2584"/>
      <c r="AH233" s="2584"/>
      <c r="AI233" s="2584"/>
      <c r="AJ233" s="2584"/>
      <c r="AK233" s="2584"/>
      <c r="AL233" s="2584"/>
      <c r="AM233" s="2584"/>
      <c r="AN233" s="2584"/>
      <c r="AO233" s="2584"/>
      <c r="AP233" s="2584"/>
      <c r="AQ233" s="2584"/>
      <c r="AR233" s="2584"/>
      <c r="AS233" s="2584"/>
      <c r="AT233" s="2584"/>
      <c r="AU233" s="2584"/>
      <c r="AV233" s="2584"/>
      <c r="AW233" s="2584"/>
      <c r="AX233" s="2584"/>
      <c r="AY233" s="2584"/>
      <c r="AZ233" s="2584"/>
      <c r="BA233" s="1209"/>
      <c r="BB233" s="1209"/>
      <c r="BC233" s="1209"/>
      <c r="BD233" s="1205"/>
      <c r="BE233" s="1205"/>
    </row>
    <row r="234" spans="1:57" ht="15.75" customHeight="1">
      <c r="A234" s="1209"/>
      <c r="B234" s="1215"/>
      <c r="C234" s="1209"/>
      <c r="D234" s="1209"/>
      <c r="E234" s="1209"/>
      <c r="F234" s="1209"/>
      <c r="G234" s="1209"/>
      <c r="H234" s="1209"/>
      <c r="I234" s="1209"/>
      <c r="J234" s="1209"/>
      <c r="K234" s="1209"/>
      <c r="L234" s="1209"/>
      <c r="M234" s="1209"/>
      <c r="N234" s="1209"/>
      <c r="O234" s="1209"/>
      <c r="P234" s="1209"/>
      <c r="Q234" s="1209"/>
      <c r="R234" s="1209"/>
      <c r="S234" s="1209"/>
      <c r="T234" s="1209"/>
      <c r="U234" s="1209"/>
      <c r="V234" s="1209"/>
      <c r="W234" s="1209"/>
      <c r="X234" s="1209"/>
      <c r="Y234" s="1209"/>
      <c r="Z234" s="1209"/>
      <c r="AA234" s="1209"/>
      <c r="AB234" s="1209"/>
      <c r="AC234" s="1209"/>
      <c r="AD234" s="1209"/>
      <c r="AE234" s="1209"/>
      <c r="AF234" s="1209"/>
      <c r="AG234" s="1209"/>
      <c r="AH234" s="1209"/>
      <c r="AI234" s="1209"/>
      <c r="AJ234" s="1209"/>
      <c r="AK234" s="1209"/>
      <c r="AL234" s="1209"/>
      <c r="AM234" s="1209"/>
      <c r="AN234" s="1209"/>
      <c r="AO234" s="1209"/>
      <c r="AP234" s="1209"/>
      <c r="AQ234" s="1209"/>
      <c r="AR234" s="1209"/>
      <c r="AS234" s="1209"/>
      <c r="AT234" s="1209"/>
      <c r="AU234" s="1209"/>
      <c r="AV234" s="1209"/>
      <c r="AW234" s="1209"/>
      <c r="AX234" s="1209"/>
      <c r="AY234" s="1209"/>
      <c r="AZ234" s="1209"/>
      <c r="BA234" s="1209"/>
      <c r="BB234" s="1209"/>
      <c r="BC234" s="1209"/>
      <c r="BD234" s="1205"/>
      <c r="BE234" s="1205"/>
    </row>
    <row r="235" spans="1:57" ht="15.75" customHeight="1" thickBot="1">
      <c r="A235" s="1209"/>
      <c r="B235" s="1214"/>
      <c r="C235" s="1204"/>
      <c r="D235" s="1204"/>
      <c r="E235" s="1204"/>
      <c r="F235" s="1204"/>
      <c r="G235" s="1204"/>
      <c r="H235" s="2583" t="s">
        <v>1858</v>
      </c>
      <c r="I235" s="2583"/>
      <c r="J235" s="2583"/>
      <c r="K235" s="2583"/>
      <c r="L235" s="2583"/>
      <c r="M235" s="2583"/>
      <c r="N235" s="2583"/>
      <c r="O235" s="2583"/>
      <c r="P235" s="2583"/>
      <c r="Q235" s="2583"/>
      <c r="R235" s="2583"/>
      <c r="S235" s="2583"/>
      <c r="T235" s="2583"/>
      <c r="U235" s="2583"/>
      <c r="V235" s="2583"/>
      <c r="W235" s="2583"/>
      <c r="X235" s="2583"/>
      <c r="Y235" s="2583"/>
      <c r="Z235" s="2583"/>
      <c r="AA235" s="2583"/>
      <c r="AB235" s="2583"/>
      <c r="AC235" s="2583"/>
      <c r="AD235" s="2583"/>
      <c r="AE235" s="2583"/>
      <c r="AF235" s="2583"/>
      <c r="AG235" s="2583"/>
      <c r="AH235" s="2583"/>
      <c r="AI235" s="2583"/>
      <c r="AJ235" s="2583"/>
      <c r="AK235" s="2583"/>
      <c r="AL235" s="2583"/>
      <c r="AM235" s="2583"/>
      <c r="AN235" s="2583"/>
      <c r="AO235" s="2583"/>
      <c r="AP235" s="2583"/>
      <c r="AQ235" s="2583"/>
      <c r="AR235" s="2583"/>
      <c r="AS235" s="2583"/>
      <c r="AT235" s="2583"/>
      <c r="AU235" s="2583"/>
      <c r="AV235" s="2583"/>
      <c r="AW235" s="1204"/>
      <c r="AX235" s="1204"/>
      <c r="AY235" s="1204"/>
      <c r="AZ235" s="1204"/>
      <c r="BA235" s="1204"/>
      <c r="BB235" s="1204"/>
      <c r="BC235" s="1204"/>
      <c r="BD235" s="1203"/>
      <c r="BE235" s="1205"/>
    </row>
    <row r="236" spans="1:57" ht="15.75" customHeight="1" thickBot="1">
      <c r="A236" s="1209"/>
      <c r="B236" s="1212"/>
      <c r="C236" s="1211"/>
      <c r="D236" s="1211"/>
      <c r="E236" s="1211"/>
      <c r="F236" s="1211"/>
      <c r="G236" s="1211"/>
      <c r="H236" s="1211"/>
      <c r="I236" s="1211"/>
      <c r="J236" s="1211"/>
      <c r="K236" s="1211"/>
      <c r="L236" s="1211"/>
      <c r="M236" s="1211"/>
      <c r="N236" s="1211"/>
      <c r="O236" s="1211"/>
      <c r="P236" s="1211"/>
      <c r="Q236" s="1211"/>
      <c r="R236" s="1211"/>
      <c r="S236" s="1211"/>
      <c r="T236" s="1211"/>
      <c r="U236" s="1211"/>
      <c r="V236" s="1211"/>
      <c r="W236" s="1211"/>
      <c r="X236" s="1211"/>
      <c r="Y236" s="1211"/>
      <c r="Z236" s="1211"/>
      <c r="AA236" s="1211"/>
      <c r="AB236" s="1211"/>
      <c r="AC236" s="1211"/>
      <c r="AD236" s="1211"/>
      <c r="AE236" s="1211"/>
      <c r="AF236" s="1211"/>
      <c r="AG236" s="1211"/>
      <c r="AH236" s="1211"/>
      <c r="AI236" s="1211"/>
      <c r="AJ236" s="1211"/>
      <c r="AK236" s="1211"/>
      <c r="AL236" s="1211"/>
      <c r="AM236" s="1211"/>
      <c r="AN236" s="1211"/>
      <c r="AO236" s="1211"/>
      <c r="AP236" s="1211"/>
      <c r="AQ236" s="1211"/>
      <c r="AR236" s="1211"/>
      <c r="AS236" s="1211"/>
      <c r="AT236" s="1211"/>
      <c r="AU236" s="1211"/>
      <c r="AV236" s="1211"/>
      <c r="AW236" s="1211"/>
      <c r="AX236" s="1211"/>
      <c r="AY236" s="1211"/>
      <c r="AZ236" s="1211"/>
      <c r="BA236" s="1211"/>
      <c r="BB236" s="1211"/>
      <c r="BC236" s="1211"/>
      <c r="BD236" s="1210"/>
      <c r="BE236" s="1205"/>
    </row>
    <row r="237" spans="1:57" ht="30" customHeight="1" thickBot="1">
      <c r="A237" s="1209"/>
      <c r="B237" s="1212"/>
      <c r="C237" s="1211"/>
      <c r="D237" s="1211"/>
      <c r="E237" s="1211"/>
      <c r="F237" s="1211"/>
      <c r="G237" s="1211"/>
      <c r="H237" s="2559" t="s">
        <v>1859</v>
      </c>
      <c r="I237" s="2559"/>
      <c r="J237" s="2559"/>
      <c r="K237" s="2559"/>
      <c r="L237" s="1211"/>
      <c r="M237" s="1211"/>
      <c r="N237" s="1211"/>
      <c r="O237" s="1211"/>
      <c r="P237" s="1211"/>
      <c r="Q237" s="1211"/>
      <c r="R237" s="1211"/>
      <c r="S237" s="2580"/>
      <c r="T237" s="2581"/>
      <c r="U237" s="2581"/>
      <c r="V237" s="2581"/>
      <c r="W237" s="2581"/>
      <c r="X237" s="2581"/>
      <c r="Y237" s="2581"/>
      <c r="Z237" s="2581"/>
      <c r="AA237" s="2581"/>
      <c r="AB237" s="2581"/>
      <c r="AC237" s="2581"/>
      <c r="AD237" s="2581"/>
      <c r="AE237" s="2581"/>
      <c r="AF237" s="2581"/>
      <c r="AG237" s="2581"/>
      <c r="AH237" s="2581"/>
      <c r="AI237" s="2581"/>
      <c r="AJ237" s="2582"/>
      <c r="AK237" s="1211"/>
      <c r="AL237" s="1211"/>
      <c r="AM237" s="1211"/>
      <c r="AN237" s="1211"/>
      <c r="AO237" s="1211"/>
      <c r="AP237" s="1211"/>
      <c r="AQ237" s="1211"/>
      <c r="AR237" s="1211"/>
      <c r="AS237" s="1211"/>
      <c r="AT237" s="1211"/>
      <c r="AU237" s="1211"/>
      <c r="AV237" s="1211"/>
      <c r="AW237" s="1211"/>
      <c r="AX237" s="1211"/>
      <c r="AY237" s="1211"/>
      <c r="AZ237" s="1211"/>
      <c r="BA237" s="1211"/>
      <c r="BB237" s="1211"/>
      <c r="BC237" s="1211"/>
      <c r="BD237" s="1210"/>
      <c r="BE237" s="1205"/>
    </row>
    <row r="238" spans="1:57" ht="15.75" customHeight="1" thickBot="1">
      <c r="A238" s="1209"/>
      <c r="B238" s="1212"/>
      <c r="C238" s="1211"/>
      <c r="D238" s="1211"/>
      <c r="E238" s="1211"/>
      <c r="F238" s="1211"/>
      <c r="G238" s="1211"/>
      <c r="H238" s="1213"/>
      <c r="I238" s="1213"/>
      <c r="J238" s="1213"/>
      <c r="K238" s="1213"/>
      <c r="L238" s="1211"/>
      <c r="M238" s="1211"/>
      <c r="N238" s="1211"/>
      <c r="O238" s="1211"/>
      <c r="P238" s="1211"/>
      <c r="Q238" s="1211"/>
      <c r="R238" s="1211"/>
      <c r="S238" s="1211"/>
      <c r="T238" s="1211"/>
      <c r="U238" s="1211"/>
      <c r="V238" s="1211"/>
      <c r="W238" s="1211"/>
      <c r="X238" s="1211"/>
      <c r="Y238" s="1211"/>
      <c r="Z238" s="1211"/>
      <c r="AA238" s="1211"/>
      <c r="AB238" s="1211"/>
      <c r="AC238" s="1211"/>
      <c r="AD238" s="1211"/>
      <c r="AE238" s="1211"/>
      <c r="AF238" s="1211"/>
      <c r="AG238" s="1211"/>
      <c r="AH238" s="1211"/>
      <c r="AI238" s="1211"/>
      <c r="AJ238" s="1211"/>
      <c r="AK238" s="1211"/>
      <c r="AL238" s="1211"/>
      <c r="AM238" s="1211"/>
      <c r="AN238" s="1211"/>
      <c r="AO238" s="1211"/>
      <c r="AP238" s="1211"/>
      <c r="AQ238" s="1211"/>
      <c r="AR238" s="1211"/>
      <c r="AS238" s="1211"/>
      <c r="AT238" s="1211"/>
      <c r="AU238" s="1211"/>
      <c r="AV238" s="1211"/>
      <c r="AW238" s="1211"/>
      <c r="AX238" s="1211"/>
      <c r="AY238" s="1211"/>
      <c r="AZ238" s="1211"/>
      <c r="BA238" s="1211"/>
      <c r="BB238" s="1211"/>
      <c r="BC238" s="1211"/>
      <c r="BD238" s="1210"/>
      <c r="BE238" s="1205"/>
    </row>
    <row r="239" spans="1:57" ht="15.75" customHeight="1" thickBot="1">
      <c r="A239" s="1209"/>
      <c r="B239" s="1212"/>
      <c r="C239" s="1211"/>
      <c r="D239" s="1211"/>
      <c r="E239" s="1211"/>
      <c r="F239" s="1211"/>
      <c r="G239" s="1211"/>
      <c r="H239" s="2559" t="s">
        <v>1860</v>
      </c>
      <c r="I239" s="2559"/>
      <c r="J239" s="2559"/>
      <c r="K239" s="1213"/>
      <c r="L239" s="1211"/>
      <c r="M239" s="1211"/>
      <c r="N239" s="1211"/>
      <c r="O239" s="1211"/>
      <c r="P239" s="1211"/>
      <c r="Q239" s="1211"/>
      <c r="R239" s="1211"/>
      <c r="S239" s="2577"/>
      <c r="T239" s="2578"/>
      <c r="U239" s="2578"/>
      <c r="V239" s="2578"/>
      <c r="W239" s="2578"/>
      <c r="X239" s="2578"/>
      <c r="Y239" s="2578"/>
      <c r="Z239" s="2578"/>
      <c r="AA239" s="2578"/>
      <c r="AB239" s="2578"/>
      <c r="AC239" s="2578"/>
      <c r="AD239" s="2578"/>
      <c r="AE239" s="2578"/>
      <c r="AF239" s="2578"/>
      <c r="AG239" s="2578"/>
      <c r="AH239" s="2578"/>
      <c r="AI239" s="2578"/>
      <c r="AJ239" s="2579"/>
      <c r="AK239" s="1211"/>
      <c r="AL239" s="1211"/>
      <c r="AM239" s="1211"/>
      <c r="AN239" s="1211"/>
      <c r="AO239" s="1211"/>
      <c r="AP239" s="1211"/>
      <c r="AQ239" s="1211"/>
      <c r="AR239" s="1211"/>
      <c r="AS239" s="1211"/>
      <c r="AT239" s="1211"/>
      <c r="AU239" s="1211"/>
      <c r="AV239" s="1211"/>
      <c r="AW239" s="1211"/>
      <c r="AX239" s="1211"/>
      <c r="AY239" s="1211"/>
      <c r="AZ239" s="1211"/>
      <c r="BA239" s="1211"/>
      <c r="BB239" s="1211"/>
      <c r="BC239" s="1211"/>
      <c r="BD239" s="1210"/>
      <c r="BE239" s="1205"/>
    </row>
    <row r="240" spans="1:57" ht="15.75" customHeight="1" thickBot="1">
      <c r="A240" s="1209"/>
      <c r="B240" s="1212"/>
      <c r="C240" s="1211"/>
      <c r="D240" s="1211"/>
      <c r="E240" s="1211"/>
      <c r="F240" s="1211"/>
      <c r="G240" s="1211"/>
      <c r="H240" s="1213"/>
      <c r="I240" s="1213"/>
      <c r="J240" s="1213"/>
      <c r="K240" s="1213"/>
      <c r="L240" s="1211"/>
      <c r="M240" s="1211"/>
      <c r="N240" s="1211"/>
      <c r="O240" s="1211"/>
      <c r="P240" s="1211"/>
      <c r="Q240" s="1211"/>
      <c r="R240" s="1211"/>
      <c r="S240" s="1211"/>
      <c r="T240" s="1211"/>
      <c r="U240" s="1211"/>
      <c r="V240" s="1211"/>
      <c r="W240" s="1211"/>
      <c r="X240" s="1211"/>
      <c r="Y240" s="1211"/>
      <c r="Z240" s="1211"/>
      <c r="AA240" s="1211"/>
      <c r="AB240" s="1211"/>
      <c r="AC240" s="1211"/>
      <c r="AD240" s="1211"/>
      <c r="AE240" s="1211"/>
      <c r="AF240" s="1211"/>
      <c r="AG240" s="1211"/>
      <c r="AH240" s="1211"/>
      <c r="AI240" s="1211"/>
      <c r="AJ240" s="1211"/>
      <c r="AK240" s="1211"/>
      <c r="AL240" s="1211"/>
      <c r="AM240" s="1211"/>
      <c r="AN240" s="1211"/>
      <c r="AO240" s="1211"/>
      <c r="AP240" s="1211"/>
      <c r="AQ240" s="1211"/>
      <c r="AR240" s="1211"/>
      <c r="AS240" s="1211"/>
      <c r="AT240" s="1211"/>
      <c r="AU240" s="1211"/>
      <c r="AV240" s="1211"/>
      <c r="AW240" s="1211"/>
      <c r="AX240" s="1211"/>
      <c r="AY240" s="1211"/>
      <c r="AZ240" s="1211"/>
      <c r="BA240" s="1211"/>
      <c r="BB240" s="1211"/>
      <c r="BC240" s="1211"/>
      <c r="BD240" s="1210"/>
      <c r="BE240" s="1205"/>
    </row>
    <row r="241" spans="1:57" ht="15.75" customHeight="1" thickBot="1">
      <c r="A241" s="1209"/>
      <c r="B241" s="1212"/>
      <c r="C241" s="1211"/>
      <c r="D241" s="1211"/>
      <c r="E241" s="1211"/>
      <c r="F241" s="1211"/>
      <c r="G241" s="1211"/>
      <c r="H241" s="2559" t="s">
        <v>442</v>
      </c>
      <c r="I241" s="2559"/>
      <c r="J241" s="1213"/>
      <c r="K241" s="1213"/>
      <c r="L241" s="1211"/>
      <c r="M241" s="1211"/>
      <c r="N241" s="1211"/>
      <c r="O241" s="1211"/>
      <c r="P241" s="1211"/>
      <c r="Q241" s="1211"/>
      <c r="R241" s="1211"/>
      <c r="S241" s="2577"/>
      <c r="T241" s="2578"/>
      <c r="U241" s="2578"/>
      <c r="V241" s="2578"/>
      <c r="W241" s="2578"/>
      <c r="X241" s="2578"/>
      <c r="Y241" s="2578"/>
      <c r="Z241" s="2578"/>
      <c r="AA241" s="2578"/>
      <c r="AB241" s="2578"/>
      <c r="AC241" s="2578"/>
      <c r="AD241" s="2578"/>
      <c r="AE241" s="2578"/>
      <c r="AF241" s="2578"/>
      <c r="AG241" s="2578"/>
      <c r="AH241" s="2578"/>
      <c r="AI241" s="2578"/>
      <c r="AJ241" s="2579"/>
      <c r="AK241" s="1211"/>
      <c r="AL241" s="1211"/>
      <c r="AM241" s="1211"/>
      <c r="AN241" s="1211"/>
      <c r="AO241" s="1211"/>
      <c r="AP241" s="1211"/>
      <c r="AQ241" s="1211"/>
      <c r="AR241" s="1211"/>
      <c r="AS241" s="1211"/>
      <c r="AT241" s="1211"/>
      <c r="AU241" s="1211"/>
      <c r="AV241" s="1211"/>
      <c r="AW241" s="1211"/>
      <c r="AX241" s="1211"/>
      <c r="AY241" s="1211"/>
      <c r="AZ241" s="1211"/>
      <c r="BA241" s="1211"/>
      <c r="BB241" s="1211"/>
      <c r="BC241" s="1211"/>
      <c r="BD241" s="1210"/>
      <c r="BE241" s="1205"/>
    </row>
    <row r="242" spans="1:57" ht="15.75" customHeight="1" thickBot="1">
      <c r="A242" s="1209"/>
      <c r="B242" s="1212"/>
      <c r="C242" s="1211"/>
      <c r="D242" s="1211"/>
      <c r="E242" s="1211"/>
      <c r="F242" s="1211"/>
      <c r="G242" s="1211"/>
      <c r="H242" s="1211"/>
      <c r="I242" s="1211"/>
      <c r="J242" s="1211"/>
      <c r="K242" s="1211"/>
      <c r="L242" s="1211"/>
      <c r="M242" s="1211"/>
      <c r="N242" s="1211"/>
      <c r="O242" s="1211"/>
      <c r="P242" s="1211"/>
      <c r="Q242" s="1211"/>
      <c r="R242" s="1211"/>
      <c r="S242" s="1211"/>
      <c r="T242" s="1211"/>
      <c r="U242" s="1211"/>
      <c r="V242" s="1211"/>
      <c r="W242" s="1211"/>
      <c r="X242" s="1211"/>
      <c r="Y242" s="1211"/>
      <c r="Z242" s="1211"/>
      <c r="AA242" s="1211"/>
      <c r="AB242" s="1211"/>
      <c r="AC242" s="1211"/>
      <c r="AD242" s="1211"/>
      <c r="AE242" s="1211"/>
      <c r="AF242" s="1211"/>
      <c r="AG242" s="1211"/>
      <c r="AH242" s="1211"/>
      <c r="AI242" s="1211"/>
      <c r="AJ242" s="1211"/>
      <c r="AK242" s="1211"/>
      <c r="AL242" s="1211"/>
      <c r="AM242" s="1211"/>
      <c r="AN242" s="1211"/>
      <c r="AO242" s="1211"/>
      <c r="AP242" s="1211"/>
      <c r="AQ242" s="1211"/>
      <c r="AR242" s="1211"/>
      <c r="AS242" s="1211"/>
      <c r="AT242" s="1211"/>
      <c r="AU242" s="1211"/>
      <c r="AV242" s="1211"/>
      <c r="AW242" s="1211"/>
      <c r="AX242" s="1211"/>
      <c r="AY242" s="1211"/>
      <c r="AZ242" s="1211"/>
      <c r="BA242" s="1211"/>
      <c r="BB242" s="1211"/>
      <c r="BC242" s="1211"/>
      <c r="BD242" s="1210"/>
      <c r="BE242" s="1205"/>
    </row>
    <row r="243" spans="1:57" ht="15.75" customHeight="1" thickBot="1">
      <c r="A243" s="1209"/>
      <c r="B243" s="1212"/>
      <c r="C243" s="1211"/>
      <c r="D243" s="1211"/>
      <c r="E243" s="1211"/>
      <c r="F243" s="1211"/>
      <c r="G243" s="1211"/>
      <c r="H243" s="2560" t="s">
        <v>1861</v>
      </c>
      <c r="I243" s="2560"/>
      <c r="J243" s="2560"/>
      <c r="K243" s="2560"/>
      <c r="L243" s="2560"/>
      <c r="M243" s="2560"/>
      <c r="N243" s="2560"/>
      <c r="O243" s="2560"/>
      <c r="P243" s="1211"/>
      <c r="Q243" s="1211"/>
      <c r="R243" s="1211"/>
      <c r="S243" s="2577"/>
      <c r="T243" s="2578"/>
      <c r="U243" s="2578"/>
      <c r="V243" s="2578"/>
      <c r="W243" s="2578"/>
      <c r="X243" s="2578"/>
      <c r="Y243" s="2578"/>
      <c r="Z243" s="2578"/>
      <c r="AA243" s="2578"/>
      <c r="AB243" s="2578"/>
      <c r="AC243" s="2578"/>
      <c r="AD243" s="2578"/>
      <c r="AE243" s="2578"/>
      <c r="AF243" s="2578"/>
      <c r="AG243" s="2578"/>
      <c r="AH243" s="2578"/>
      <c r="AI243" s="2578"/>
      <c r="AJ243" s="2579"/>
      <c r="AK243" s="1211"/>
      <c r="AL243" s="1211"/>
      <c r="AM243" s="1211"/>
      <c r="AN243" s="1211"/>
      <c r="AO243" s="1211"/>
      <c r="AP243" s="1211"/>
      <c r="AQ243" s="1211"/>
      <c r="AR243" s="1211"/>
      <c r="AS243" s="1211"/>
      <c r="AT243" s="1211"/>
      <c r="AU243" s="1211"/>
      <c r="AV243" s="1211"/>
      <c r="AW243" s="1211"/>
      <c r="AX243" s="1211"/>
      <c r="AY243" s="1211"/>
      <c r="AZ243" s="1211"/>
      <c r="BA243" s="1211"/>
      <c r="BB243" s="1211"/>
      <c r="BC243" s="1211"/>
      <c r="BD243" s="1210"/>
      <c r="BE243" s="1205"/>
    </row>
    <row r="244" spans="1:57" ht="15.75" customHeight="1" thickBot="1">
      <c r="A244" s="1209"/>
      <c r="B244" s="1212"/>
      <c r="C244" s="1211"/>
      <c r="D244" s="1211"/>
      <c r="E244" s="1211"/>
      <c r="F244" s="1211"/>
      <c r="G244" s="1211"/>
      <c r="H244" s="1211"/>
      <c r="I244" s="1211"/>
      <c r="J244" s="1211"/>
      <c r="K244" s="1211"/>
      <c r="L244" s="1211"/>
      <c r="M244" s="1211"/>
      <c r="N244" s="1211"/>
      <c r="O244" s="1211"/>
      <c r="P244" s="1211"/>
      <c r="Q244" s="1211"/>
      <c r="R244" s="1211"/>
      <c r="S244" s="1211"/>
      <c r="T244" s="1211"/>
      <c r="U244" s="1211"/>
      <c r="V244" s="1211"/>
      <c r="W244" s="1211"/>
      <c r="X244" s="1211"/>
      <c r="Y244" s="1211"/>
      <c r="Z244" s="1211"/>
      <c r="AA244" s="1211"/>
      <c r="AB244" s="1211"/>
      <c r="AC244" s="1211"/>
      <c r="AD244" s="1211"/>
      <c r="AE244" s="1211"/>
      <c r="AF244" s="1211"/>
      <c r="AG244" s="1211"/>
      <c r="AH244" s="1211"/>
      <c r="AI244" s="1211"/>
      <c r="AJ244" s="1211"/>
      <c r="AK244" s="1211"/>
      <c r="AL244" s="1211"/>
      <c r="AM244" s="1211"/>
      <c r="AN244" s="1211"/>
      <c r="AO244" s="1211"/>
      <c r="AP244" s="1211"/>
      <c r="AQ244" s="1211"/>
      <c r="AR244" s="1211"/>
      <c r="AS244" s="1211"/>
      <c r="AT244" s="1211"/>
      <c r="AU244" s="1211"/>
      <c r="AV244" s="1211"/>
      <c r="AW244" s="1211"/>
      <c r="AX244" s="1211"/>
      <c r="AY244" s="1211"/>
      <c r="AZ244" s="1211"/>
      <c r="BA244" s="1211"/>
      <c r="BB244" s="1211"/>
      <c r="BC244" s="1211"/>
      <c r="BD244" s="1210"/>
      <c r="BE244" s="1205"/>
    </row>
    <row r="245" spans="1:57" ht="15.75" customHeight="1" thickBot="1">
      <c r="A245" s="1209"/>
      <c r="B245" s="1212"/>
      <c r="C245" s="1211"/>
      <c r="D245" s="1211"/>
      <c r="E245" s="1211"/>
      <c r="F245" s="1211"/>
      <c r="G245" s="1211"/>
      <c r="H245" s="2561" t="s">
        <v>1862</v>
      </c>
      <c r="I245" s="2561"/>
      <c r="J245" s="1211"/>
      <c r="K245" s="1211"/>
      <c r="L245" s="1211"/>
      <c r="M245" s="1211"/>
      <c r="N245" s="1211"/>
      <c r="O245" s="1211"/>
      <c r="P245" s="1211"/>
      <c r="Q245" s="1211"/>
      <c r="R245" s="1211"/>
      <c r="S245" s="2574"/>
      <c r="T245" s="2575"/>
      <c r="U245" s="2575"/>
      <c r="V245" s="2575"/>
      <c r="W245" s="2575"/>
      <c r="X245" s="2575"/>
      <c r="Y245" s="2575"/>
      <c r="Z245" s="2575"/>
      <c r="AA245" s="2575"/>
      <c r="AB245" s="2575"/>
      <c r="AC245" s="2575"/>
      <c r="AD245" s="2575"/>
      <c r="AE245" s="2575"/>
      <c r="AF245" s="2575"/>
      <c r="AG245" s="2575"/>
      <c r="AH245" s="2575"/>
      <c r="AI245" s="2575"/>
      <c r="AJ245" s="2576"/>
      <c r="AK245" s="1211"/>
      <c r="AL245" s="1211"/>
      <c r="AM245" s="1211"/>
      <c r="AN245" s="1211"/>
      <c r="AO245" s="1211"/>
      <c r="AP245" s="1211"/>
      <c r="AQ245" s="1211"/>
      <c r="AR245" s="1211"/>
      <c r="AS245" s="1211"/>
      <c r="AT245" s="1211"/>
      <c r="AU245" s="1211"/>
      <c r="AV245" s="1211"/>
      <c r="AW245" s="1211"/>
      <c r="AX245" s="1211"/>
      <c r="AY245" s="1211"/>
      <c r="AZ245" s="1211"/>
      <c r="BA245" s="1211"/>
      <c r="BB245" s="1211"/>
      <c r="BC245" s="1211"/>
      <c r="BD245" s="1210"/>
      <c r="BE245" s="1205"/>
    </row>
    <row r="246" spans="1:57" ht="15.75" customHeight="1" thickBot="1">
      <c r="A246" s="1209"/>
      <c r="B246" s="1208"/>
      <c r="C246" s="1207"/>
      <c r="D246" s="1207"/>
      <c r="E246" s="1207"/>
      <c r="F246" s="1207"/>
      <c r="G246" s="1207"/>
      <c r="H246" s="1207"/>
      <c r="I246" s="1207"/>
      <c r="J246" s="1207"/>
      <c r="K246" s="1207"/>
      <c r="L246" s="1207"/>
      <c r="M246" s="1207"/>
      <c r="N246" s="1207"/>
      <c r="O246" s="1207"/>
      <c r="P246" s="1207"/>
      <c r="Q246" s="1207"/>
      <c r="R246" s="1207"/>
      <c r="S246" s="1207"/>
      <c r="T246" s="1207"/>
      <c r="U246" s="1207"/>
      <c r="V246" s="1207"/>
      <c r="W246" s="1207"/>
      <c r="X246" s="1207"/>
      <c r="Y246" s="1207"/>
      <c r="Z246" s="1207"/>
      <c r="AA246" s="1207"/>
      <c r="AB246" s="1207"/>
      <c r="AC246" s="1207"/>
      <c r="AD246" s="1207"/>
      <c r="AE246" s="1207"/>
      <c r="AF246" s="1207"/>
      <c r="AG246" s="1207"/>
      <c r="AH246" s="1207"/>
      <c r="AI246" s="1207"/>
      <c r="AJ246" s="1207"/>
      <c r="AK246" s="1207"/>
      <c r="AL246" s="1207"/>
      <c r="AM246" s="1207"/>
      <c r="AN246" s="1207"/>
      <c r="AO246" s="1207"/>
      <c r="AP246" s="1207"/>
      <c r="AQ246" s="1207"/>
      <c r="AR246" s="1207"/>
      <c r="AS246" s="1207"/>
      <c r="AT246" s="1207"/>
      <c r="AU246" s="1207"/>
      <c r="AV246" s="1207"/>
      <c r="AW246" s="1207"/>
      <c r="AX246" s="1207"/>
      <c r="AY246" s="1207"/>
      <c r="AZ246" s="1207"/>
      <c r="BA246" s="1207"/>
      <c r="BB246" s="1207"/>
      <c r="BC246" s="1207"/>
      <c r="BD246" s="1206"/>
      <c r="BE246" s="1205"/>
    </row>
    <row r="247" spans="1:57" ht="15.75" customHeight="1" thickBot="1">
      <c r="A247" s="1204"/>
      <c r="B247" s="1204"/>
      <c r="C247" s="1204"/>
      <c r="D247" s="1204"/>
      <c r="E247" s="1204"/>
      <c r="F247" s="1204"/>
      <c r="G247" s="1204"/>
      <c r="H247" s="1204"/>
      <c r="I247" s="1204"/>
      <c r="J247" s="1204"/>
      <c r="K247" s="1204"/>
      <c r="L247" s="1204"/>
      <c r="M247" s="1204"/>
      <c r="N247" s="1204"/>
      <c r="O247" s="1204"/>
      <c r="P247" s="1204"/>
      <c r="Q247" s="1204"/>
      <c r="R247" s="1204"/>
      <c r="S247" s="1204"/>
      <c r="T247" s="1204"/>
      <c r="U247" s="1204"/>
      <c r="V247" s="1204"/>
      <c r="W247" s="1204"/>
      <c r="X247" s="1204"/>
      <c r="Y247" s="1204"/>
      <c r="Z247" s="1204"/>
      <c r="AA247" s="1204"/>
      <c r="AB247" s="1204"/>
      <c r="AC247" s="1204"/>
      <c r="AD247" s="1204"/>
      <c r="AE247" s="1204"/>
      <c r="AF247" s="1204"/>
      <c r="AG247" s="1204"/>
      <c r="AH247" s="1204"/>
      <c r="AI247" s="1204"/>
      <c r="AJ247" s="1204"/>
      <c r="AK247" s="1204"/>
      <c r="AL247" s="1204"/>
      <c r="AM247" s="1204"/>
      <c r="AN247" s="1204"/>
      <c r="AO247" s="1204"/>
      <c r="AP247" s="1204"/>
      <c r="AQ247" s="1204"/>
      <c r="AR247" s="1204"/>
      <c r="AS247" s="1204"/>
      <c r="AT247" s="1204"/>
      <c r="AU247" s="1204"/>
      <c r="AV247" s="1204"/>
      <c r="AW247" s="1204"/>
      <c r="AX247" s="1204"/>
      <c r="AY247" s="1204"/>
      <c r="AZ247" s="1204"/>
      <c r="BA247" s="1204"/>
      <c r="BB247" s="1204"/>
      <c r="BC247" s="1204"/>
      <c r="BD247" s="1204"/>
      <c r="BE247" s="1203"/>
    </row>
    <row r="250" spans="1:57" ht="15.75" customHeight="1">
      <c r="D250" s="1201"/>
    </row>
    <row r="251" spans="1:57" ht="15.75" customHeight="1">
      <c r="D251" s="1202"/>
    </row>
    <row r="252" spans="1:57" ht="15.75" customHeight="1">
      <c r="D252" s="1201"/>
    </row>
    <row r="253" spans="1:57" ht="15.75" customHeight="1">
      <c r="D253" s="1201"/>
    </row>
    <row r="254" spans="1:57" ht="15.75" customHeight="1">
      <c r="R254" s="1200" t="s">
        <v>250</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43"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workbookViewId="0">
      <selection activeCell="AB49" sqref="AB49:AF49"/>
    </sheetView>
  </sheetViews>
  <sheetFormatPr defaultColWidth="0" defaultRowHeight="12.95" customHeight="1"/>
  <cols>
    <col min="1" max="1" width="1.42578125" style="433" customWidth="1"/>
    <col min="2" max="2" width="0.85546875" style="433" customWidth="1"/>
    <col min="3" max="18" width="2.42578125" style="433" customWidth="1"/>
    <col min="19" max="19" width="6.28515625" style="433" customWidth="1"/>
    <col min="20" max="39" width="2.7109375" style="433" customWidth="1"/>
    <col min="40" max="40" width="1.42578125" style="433" customWidth="1"/>
    <col min="41" max="256" width="2.42578125" style="433" hidden="1"/>
    <col min="257" max="257" width="1.42578125" style="433" hidden="1" customWidth="1"/>
    <col min="258" max="258" width="0.85546875" style="433" hidden="1" customWidth="1"/>
    <col min="259" max="274" width="2.42578125" style="433" hidden="1" customWidth="1"/>
    <col min="275" max="275" width="4" style="433" hidden="1" customWidth="1"/>
    <col min="276" max="295" width="2.42578125" style="433" hidden="1" customWidth="1"/>
    <col min="296" max="296" width="1.42578125" style="433" hidden="1" customWidth="1"/>
    <col min="297" max="512" width="2.42578125" style="433" hidden="1"/>
    <col min="513" max="513" width="1.42578125" style="433" hidden="1" customWidth="1"/>
    <col min="514" max="514" width="0.85546875" style="433" hidden="1" customWidth="1"/>
    <col min="515" max="530" width="2.42578125" style="433" hidden="1" customWidth="1"/>
    <col min="531" max="531" width="4" style="433" hidden="1" customWidth="1"/>
    <col min="532" max="551" width="2.42578125" style="433" hidden="1" customWidth="1"/>
    <col min="552" max="552" width="1.42578125" style="433" hidden="1" customWidth="1"/>
    <col min="553" max="768" width="2.42578125" style="433" hidden="1"/>
    <col min="769" max="769" width="1.42578125" style="433" hidden="1" customWidth="1"/>
    <col min="770" max="770" width="0.85546875" style="433" hidden="1" customWidth="1"/>
    <col min="771" max="786" width="2.42578125" style="433" hidden="1" customWidth="1"/>
    <col min="787" max="787" width="4" style="433" hidden="1" customWidth="1"/>
    <col min="788" max="807" width="2.42578125" style="433" hidden="1" customWidth="1"/>
    <col min="808" max="808" width="1.42578125" style="433" hidden="1" customWidth="1"/>
    <col min="809" max="1024" width="2.42578125" style="433" hidden="1"/>
    <col min="1025" max="1025" width="1.42578125" style="433" hidden="1" customWidth="1"/>
    <col min="1026" max="1026" width="0.85546875" style="433" hidden="1" customWidth="1"/>
    <col min="1027" max="1042" width="2.42578125" style="433" hidden="1" customWidth="1"/>
    <col min="1043" max="1043" width="4" style="433" hidden="1" customWidth="1"/>
    <col min="1044" max="1063" width="2.42578125" style="433" hidden="1" customWidth="1"/>
    <col min="1064" max="1064" width="1.42578125" style="433" hidden="1" customWidth="1"/>
    <col min="1065" max="1280" width="2.42578125" style="433" hidden="1"/>
    <col min="1281" max="1281" width="1.42578125" style="433" hidden="1" customWidth="1"/>
    <col min="1282" max="1282" width="0.85546875" style="433" hidden="1" customWidth="1"/>
    <col min="1283" max="1298" width="2.42578125" style="433" hidden="1" customWidth="1"/>
    <col min="1299" max="1299" width="4" style="433" hidden="1" customWidth="1"/>
    <col min="1300" max="1319" width="2.42578125" style="433" hidden="1" customWidth="1"/>
    <col min="1320" max="1320" width="1.42578125" style="433" hidden="1" customWidth="1"/>
    <col min="1321" max="1536" width="2.42578125" style="433" hidden="1"/>
    <col min="1537" max="1537" width="1.42578125" style="433" hidden="1" customWidth="1"/>
    <col min="1538" max="1538" width="0.85546875" style="433" hidden="1" customWidth="1"/>
    <col min="1539" max="1554" width="2.42578125" style="433" hidden="1" customWidth="1"/>
    <col min="1555" max="1555" width="4" style="433" hidden="1" customWidth="1"/>
    <col min="1556" max="1575" width="2.42578125" style="433" hidden="1" customWidth="1"/>
    <col min="1576" max="1576" width="1.42578125" style="433" hidden="1" customWidth="1"/>
    <col min="1577" max="1792" width="2.42578125" style="433" hidden="1"/>
    <col min="1793" max="1793" width="1.42578125" style="433" hidden="1" customWidth="1"/>
    <col min="1794" max="1794" width="0.85546875" style="433" hidden="1" customWidth="1"/>
    <col min="1795" max="1810" width="2.42578125" style="433" hidden="1" customWidth="1"/>
    <col min="1811" max="1811" width="4" style="433" hidden="1" customWidth="1"/>
    <col min="1812" max="1831" width="2.42578125" style="433" hidden="1" customWidth="1"/>
    <col min="1832" max="1832" width="1.42578125" style="433" hidden="1" customWidth="1"/>
    <col min="1833" max="2048" width="2.42578125" style="433" hidden="1"/>
    <col min="2049" max="2049" width="1.42578125" style="433" hidden="1" customWidth="1"/>
    <col min="2050" max="2050" width="0.85546875" style="433" hidden="1" customWidth="1"/>
    <col min="2051" max="2066" width="2.42578125" style="433" hidden="1" customWidth="1"/>
    <col min="2067" max="2067" width="4" style="433" hidden="1" customWidth="1"/>
    <col min="2068" max="2087" width="2.42578125" style="433" hidden="1" customWidth="1"/>
    <col min="2088" max="2088" width="1.42578125" style="433" hidden="1" customWidth="1"/>
    <col min="2089" max="2304" width="2.42578125" style="433" hidden="1"/>
    <col min="2305" max="2305" width="1.42578125" style="433" hidden="1" customWidth="1"/>
    <col min="2306" max="2306" width="0.85546875" style="433" hidden="1" customWidth="1"/>
    <col min="2307" max="2322" width="2.42578125" style="433" hidden="1" customWidth="1"/>
    <col min="2323" max="2323" width="4" style="433" hidden="1" customWidth="1"/>
    <col min="2324" max="2343" width="2.42578125" style="433" hidden="1" customWidth="1"/>
    <col min="2344" max="2344" width="1.42578125" style="433" hidden="1" customWidth="1"/>
    <col min="2345" max="2560" width="2.42578125" style="433" hidden="1"/>
    <col min="2561" max="2561" width="1.42578125" style="433" hidden="1" customWidth="1"/>
    <col min="2562" max="2562" width="0.85546875" style="433" hidden="1" customWidth="1"/>
    <col min="2563" max="2578" width="2.42578125" style="433" hidden="1" customWidth="1"/>
    <col min="2579" max="2579" width="4" style="433" hidden="1" customWidth="1"/>
    <col min="2580" max="2599" width="2.42578125" style="433" hidden="1" customWidth="1"/>
    <col min="2600" max="2600" width="1.42578125" style="433" hidden="1" customWidth="1"/>
    <col min="2601" max="2816" width="2.42578125" style="433" hidden="1"/>
    <col min="2817" max="2817" width="1.42578125" style="433" hidden="1" customWidth="1"/>
    <col min="2818" max="2818" width="0.85546875" style="433" hidden="1" customWidth="1"/>
    <col min="2819" max="2834" width="2.42578125" style="433" hidden="1" customWidth="1"/>
    <col min="2835" max="2835" width="4" style="433" hidden="1" customWidth="1"/>
    <col min="2836" max="2855" width="2.42578125" style="433" hidden="1" customWidth="1"/>
    <col min="2856" max="2856" width="1.42578125" style="433" hidden="1" customWidth="1"/>
    <col min="2857" max="3072" width="2.42578125" style="433" hidden="1"/>
    <col min="3073" max="3073" width="1.42578125" style="433" hidden="1" customWidth="1"/>
    <col min="3074" max="3074" width="0.85546875" style="433" hidden="1" customWidth="1"/>
    <col min="3075" max="3090" width="2.42578125" style="433" hidden="1" customWidth="1"/>
    <col min="3091" max="3091" width="4" style="433" hidden="1" customWidth="1"/>
    <col min="3092" max="3111" width="2.42578125" style="433" hidden="1" customWidth="1"/>
    <col min="3112" max="3112" width="1.42578125" style="433" hidden="1" customWidth="1"/>
    <col min="3113" max="3328" width="2.42578125" style="433" hidden="1"/>
    <col min="3329" max="3329" width="1.42578125" style="433" hidden="1" customWidth="1"/>
    <col min="3330" max="3330" width="0.85546875" style="433" hidden="1" customWidth="1"/>
    <col min="3331" max="3346" width="2.42578125" style="433" hidden="1" customWidth="1"/>
    <col min="3347" max="3347" width="4" style="433" hidden="1" customWidth="1"/>
    <col min="3348" max="3367" width="2.42578125" style="433" hidden="1" customWidth="1"/>
    <col min="3368" max="3368" width="1.42578125" style="433" hidden="1" customWidth="1"/>
    <col min="3369" max="3584" width="2.42578125" style="433" hidden="1"/>
    <col min="3585" max="3585" width="1.42578125" style="433" hidden="1" customWidth="1"/>
    <col min="3586" max="3586" width="0.85546875" style="433" hidden="1" customWidth="1"/>
    <col min="3587" max="3602" width="2.42578125" style="433" hidden="1" customWidth="1"/>
    <col min="3603" max="3603" width="4" style="433" hidden="1" customWidth="1"/>
    <col min="3604" max="3623" width="2.42578125" style="433" hidden="1" customWidth="1"/>
    <col min="3624" max="3624" width="1.42578125" style="433" hidden="1" customWidth="1"/>
    <col min="3625" max="3840" width="2.42578125" style="433" hidden="1"/>
    <col min="3841" max="3841" width="1.42578125" style="433" hidden="1" customWidth="1"/>
    <col min="3842" max="3842" width="0.85546875" style="433" hidden="1" customWidth="1"/>
    <col min="3843" max="3858" width="2.42578125" style="433" hidden="1" customWidth="1"/>
    <col min="3859" max="3859" width="4" style="433" hidden="1" customWidth="1"/>
    <col min="3860" max="3879" width="2.42578125" style="433" hidden="1" customWidth="1"/>
    <col min="3880" max="3880" width="1.42578125" style="433" hidden="1" customWidth="1"/>
    <col min="3881" max="4096" width="2.42578125" style="433" hidden="1"/>
    <col min="4097" max="4097" width="1.42578125" style="433" hidden="1" customWidth="1"/>
    <col min="4098" max="4098" width="0.85546875" style="433" hidden="1" customWidth="1"/>
    <col min="4099" max="4114" width="2.42578125" style="433" hidden="1" customWidth="1"/>
    <col min="4115" max="4115" width="4" style="433" hidden="1" customWidth="1"/>
    <col min="4116" max="4135" width="2.42578125" style="433" hidden="1" customWidth="1"/>
    <col min="4136" max="4136" width="1.42578125" style="433" hidden="1" customWidth="1"/>
    <col min="4137" max="4352" width="2.42578125" style="433" hidden="1"/>
    <col min="4353" max="4353" width="1.42578125" style="433" hidden="1" customWidth="1"/>
    <col min="4354" max="4354" width="0.85546875" style="433" hidden="1" customWidth="1"/>
    <col min="4355" max="4370" width="2.42578125" style="433" hidden="1" customWidth="1"/>
    <col min="4371" max="4371" width="4" style="433" hidden="1" customWidth="1"/>
    <col min="4372" max="4391" width="2.42578125" style="433" hidden="1" customWidth="1"/>
    <col min="4392" max="4392" width="1.42578125" style="433" hidden="1" customWidth="1"/>
    <col min="4393" max="4608" width="2.42578125" style="433" hidden="1"/>
    <col min="4609" max="4609" width="1.42578125" style="433" hidden="1" customWidth="1"/>
    <col min="4610" max="4610" width="0.85546875" style="433" hidden="1" customWidth="1"/>
    <col min="4611" max="4626" width="2.42578125" style="433" hidden="1" customWidth="1"/>
    <col min="4627" max="4627" width="4" style="433" hidden="1" customWidth="1"/>
    <col min="4628" max="4647" width="2.42578125" style="433" hidden="1" customWidth="1"/>
    <col min="4648" max="4648" width="1.42578125" style="433" hidden="1" customWidth="1"/>
    <col min="4649" max="4864" width="2.42578125" style="433" hidden="1"/>
    <col min="4865" max="4865" width="1.42578125" style="433" hidden="1" customWidth="1"/>
    <col min="4866" max="4866" width="0.85546875" style="433" hidden="1" customWidth="1"/>
    <col min="4867" max="4882" width="2.42578125" style="433" hidden="1" customWidth="1"/>
    <col min="4883" max="4883" width="4" style="433" hidden="1" customWidth="1"/>
    <col min="4884" max="4903" width="2.42578125" style="433" hidden="1" customWidth="1"/>
    <col min="4904" max="4904" width="1.42578125" style="433" hidden="1" customWidth="1"/>
    <col min="4905" max="5120" width="2.42578125" style="433" hidden="1"/>
    <col min="5121" max="5121" width="1.42578125" style="433" hidden="1" customWidth="1"/>
    <col min="5122" max="5122" width="0.85546875" style="433" hidden="1" customWidth="1"/>
    <col min="5123" max="5138" width="2.42578125" style="433" hidden="1" customWidth="1"/>
    <col min="5139" max="5139" width="4" style="433" hidden="1" customWidth="1"/>
    <col min="5140" max="5159" width="2.42578125" style="433" hidden="1" customWidth="1"/>
    <col min="5160" max="5160" width="1.42578125" style="433" hidden="1" customWidth="1"/>
    <col min="5161" max="5376" width="2.42578125" style="433" hidden="1"/>
    <col min="5377" max="5377" width="1.42578125" style="433" hidden="1" customWidth="1"/>
    <col min="5378" max="5378" width="0.85546875" style="433" hidden="1" customWidth="1"/>
    <col min="5379" max="5394" width="2.42578125" style="433" hidden="1" customWidth="1"/>
    <col min="5395" max="5395" width="4" style="433" hidden="1" customWidth="1"/>
    <col min="5396" max="5415" width="2.42578125" style="433" hidden="1" customWidth="1"/>
    <col min="5416" max="5416" width="1.42578125" style="433" hidden="1" customWidth="1"/>
    <col min="5417" max="5632" width="2.42578125" style="433" hidden="1"/>
    <col min="5633" max="5633" width="1.42578125" style="433" hidden="1" customWidth="1"/>
    <col min="5634" max="5634" width="0.85546875" style="433" hidden="1" customWidth="1"/>
    <col min="5635" max="5650" width="2.42578125" style="433" hidden="1" customWidth="1"/>
    <col min="5651" max="5651" width="4" style="433" hidden="1" customWidth="1"/>
    <col min="5652" max="5671" width="2.42578125" style="433" hidden="1" customWidth="1"/>
    <col min="5672" max="5672" width="1.42578125" style="433" hidden="1" customWidth="1"/>
    <col min="5673" max="5888" width="2.42578125" style="433" hidden="1"/>
    <col min="5889" max="5889" width="1.42578125" style="433" hidden="1" customWidth="1"/>
    <col min="5890" max="5890" width="0.85546875" style="433" hidden="1" customWidth="1"/>
    <col min="5891" max="5906" width="2.42578125" style="433" hidden="1" customWidth="1"/>
    <col min="5907" max="5907" width="4" style="433" hidden="1" customWidth="1"/>
    <col min="5908" max="5927" width="2.42578125" style="433" hidden="1" customWidth="1"/>
    <col min="5928" max="5928" width="1.42578125" style="433" hidden="1" customWidth="1"/>
    <col min="5929" max="6144" width="2.42578125" style="433" hidden="1"/>
    <col min="6145" max="6145" width="1.42578125" style="433" hidden="1" customWidth="1"/>
    <col min="6146" max="6146" width="0.85546875" style="433" hidden="1" customWidth="1"/>
    <col min="6147" max="6162" width="2.42578125" style="433" hidden="1" customWidth="1"/>
    <col min="6163" max="6163" width="4" style="433" hidden="1" customWidth="1"/>
    <col min="6164" max="6183" width="2.42578125" style="433" hidden="1" customWidth="1"/>
    <col min="6184" max="6184" width="1.42578125" style="433" hidden="1" customWidth="1"/>
    <col min="6185" max="6400" width="2.42578125" style="433" hidden="1"/>
    <col min="6401" max="6401" width="1.42578125" style="433" hidden="1" customWidth="1"/>
    <col min="6402" max="6402" width="0.85546875" style="433" hidden="1" customWidth="1"/>
    <col min="6403" max="6418" width="2.42578125" style="433" hidden="1" customWidth="1"/>
    <col min="6419" max="6419" width="4" style="433" hidden="1" customWidth="1"/>
    <col min="6420" max="6439" width="2.42578125" style="433" hidden="1" customWidth="1"/>
    <col min="6440" max="6440" width="1.42578125" style="433" hidden="1" customWidth="1"/>
    <col min="6441" max="6656" width="2.42578125" style="433" hidden="1"/>
    <col min="6657" max="6657" width="1.42578125" style="433" hidden="1" customWidth="1"/>
    <col min="6658" max="6658" width="0.85546875" style="433" hidden="1" customWidth="1"/>
    <col min="6659" max="6674" width="2.42578125" style="433" hidden="1" customWidth="1"/>
    <col min="6675" max="6675" width="4" style="433" hidden="1" customWidth="1"/>
    <col min="6676" max="6695" width="2.42578125" style="433" hidden="1" customWidth="1"/>
    <col min="6696" max="6696" width="1.42578125" style="433" hidden="1" customWidth="1"/>
    <col min="6697" max="6912" width="2.42578125" style="433" hidden="1"/>
    <col min="6913" max="6913" width="1.42578125" style="433" hidden="1" customWidth="1"/>
    <col min="6914" max="6914" width="0.85546875" style="433" hidden="1" customWidth="1"/>
    <col min="6915" max="6930" width="2.42578125" style="433" hidden="1" customWidth="1"/>
    <col min="6931" max="6931" width="4" style="433" hidden="1" customWidth="1"/>
    <col min="6932" max="6951" width="2.42578125" style="433" hidden="1" customWidth="1"/>
    <col min="6952" max="6952" width="1.42578125" style="433" hidden="1" customWidth="1"/>
    <col min="6953" max="7168" width="2.42578125" style="433" hidden="1"/>
    <col min="7169" max="7169" width="1.42578125" style="433" hidden="1" customWidth="1"/>
    <col min="7170" max="7170" width="0.85546875" style="433" hidden="1" customWidth="1"/>
    <col min="7171" max="7186" width="2.42578125" style="433" hidden="1" customWidth="1"/>
    <col min="7187" max="7187" width="4" style="433" hidden="1" customWidth="1"/>
    <col min="7188" max="7207" width="2.42578125" style="433" hidden="1" customWidth="1"/>
    <col min="7208" max="7208" width="1.42578125" style="433" hidden="1" customWidth="1"/>
    <col min="7209" max="7424" width="2.42578125" style="433" hidden="1"/>
    <col min="7425" max="7425" width="1.42578125" style="433" hidden="1" customWidth="1"/>
    <col min="7426" max="7426" width="0.85546875" style="433" hidden="1" customWidth="1"/>
    <col min="7427" max="7442" width="2.42578125" style="433" hidden="1" customWidth="1"/>
    <col min="7443" max="7443" width="4" style="433" hidden="1" customWidth="1"/>
    <col min="7444" max="7463" width="2.42578125" style="433" hidden="1" customWidth="1"/>
    <col min="7464" max="7464" width="1.42578125" style="433" hidden="1" customWidth="1"/>
    <col min="7465" max="7680" width="2.42578125" style="433" hidden="1"/>
    <col min="7681" max="7681" width="1.42578125" style="433" hidden="1" customWidth="1"/>
    <col min="7682" max="7682" width="0.85546875" style="433" hidden="1" customWidth="1"/>
    <col min="7683" max="7698" width="2.42578125" style="433" hidden="1" customWidth="1"/>
    <col min="7699" max="7699" width="4" style="433" hidden="1" customWidth="1"/>
    <col min="7700" max="7719" width="2.42578125" style="433" hidden="1" customWidth="1"/>
    <col min="7720" max="7720" width="1.42578125" style="433" hidden="1" customWidth="1"/>
    <col min="7721" max="7936" width="2.42578125" style="433" hidden="1"/>
    <col min="7937" max="7937" width="1.42578125" style="433" hidden="1" customWidth="1"/>
    <col min="7938" max="7938" width="0.85546875" style="433" hidden="1" customWidth="1"/>
    <col min="7939" max="7954" width="2.42578125" style="433" hidden="1" customWidth="1"/>
    <col min="7955" max="7955" width="4" style="433" hidden="1" customWidth="1"/>
    <col min="7956" max="7975" width="2.42578125" style="433" hidden="1" customWidth="1"/>
    <col min="7976" max="7976" width="1.42578125" style="433" hidden="1" customWidth="1"/>
    <col min="7977" max="8192" width="2.42578125" style="433" hidden="1"/>
    <col min="8193" max="8193" width="1.42578125" style="433" hidden="1" customWidth="1"/>
    <col min="8194" max="8194" width="0.85546875" style="433" hidden="1" customWidth="1"/>
    <col min="8195" max="8210" width="2.42578125" style="433" hidden="1" customWidth="1"/>
    <col min="8211" max="8211" width="4" style="433" hidden="1" customWidth="1"/>
    <col min="8212" max="8231" width="2.42578125" style="433" hidden="1" customWidth="1"/>
    <col min="8232" max="8232" width="1.42578125" style="433" hidden="1" customWidth="1"/>
    <col min="8233" max="8448" width="2.42578125" style="433" hidden="1"/>
    <col min="8449" max="8449" width="1.42578125" style="433" hidden="1" customWidth="1"/>
    <col min="8450" max="8450" width="0.85546875" style="433" hidden="1" customWidth="1"/>
    <col min="8451" max="8466" width="2.42578125" style="433" hidden="1" customWidth="1"/>
    <col min="8467" max="8467" width="4" style="433" hidden="1" customWidth="1"/>
    <col min="8468" max="8487" width="2.42578125" style="433" hidden="1" customWidth="1"/>
    <col min="8488" max="8488" width="1.42578125" style="433" hidden="1" customWidth="1"/>
    <col min="8489" max="8704" width="2.42578125" style="433" hidden="1"/>
    <col min="8705" max="8705" width="1.42578125" style="433" hidden="1" customWidth="1"/>
    <col min="8706" max="8706" width="0.85546875" style="433" hidden="1" customWidth="1"/>
    <col min="8707" max="8722" width="2.42578125" style="433" hidden="1" customWidth="1"/>
    <col min="8723" max="8723" width="4" style="433" hidden="1" customWidth="1"/>
    <col min="8724" max="8743" width="2.42578125" style="433" hidden="1" customWidth="1"/>
    <col min="8744" max="8744" width="1.42578125" style="433" hidden="1" customWidth="1"/>
    <col min="8745" max="8960" width="2.42578125" style="433" hidden="1"/>
    <col min="8961" max="8961" width="1.42578125" style="433" hidden="1" customWidth="1"/>
    <col min="8962" max="8962" width="0.85546875" style="433" hidden="1" customWidth="1"/>
    <col min="8963" max="8978" width="2.42578125" style="433" hidden="1" customWidth="1"/>
    <col min="8979" max="8979" width="4" style="433" hidden="1" customWidth="1"/>
    <col min="8980" max="8999" width="2.42578125" style="433" hidden="1" customWidth="1"/>
    <col min="9000" max="9000" width="1.42578125" style="433" hidden="1" customWidth="1"/>
    <col min="9001" max="9216" width="2.42578125" style="433" hidden="1"/>
    <col min="9217" max="9217" width="1.42578125" style="433" hidden="1" customWidth="1"/>
    <col min="9218" max="9218" width="0.85546875" style="433" hidden="1" customWidth="1"/>
    <col min="9219" max="9234" width="2.42578125" style="433" hidden="1" customWidth="1"/>
    <col min="9235" max="9235" width="4" style="433" hidden="1" customWidth="1"/>
    <col min="9236" max="9255" width="2.42578125" style="433" hidden="1" customWidth="1"/>
    <col min="9256" max="9256" width="1.42578125" style="433" hidden="1" customWidth="1"/>
    <col min="9257" max="9472" width="2.42578125" style="433" hidden="1"/>
    <col min="9473" max="9473" width="1.42578125" style="433" hidden="1" customWidth="1"/>
    <col min="9474" max="9474" width="0.85546875" style="433" hidden="1" customWidth="1"/>
    <col min="9475" max="9490" width="2.42578125" style="433" hidden="1" customWidth="1"/>
    <col min="9491" max="9491" width="4" style="433" hidden="1" customWidth="1"/>
    <col min="9492" max="9511" width="2.42578125" style="433" hidden="1" customWidth="1"/>
    <col min="9512" max="9512" width="1.42578125" style="433" hidden="1" customWidth="1"/>
    <col min="9513" max="9728" width="2.42578125" style="433" hidden="1"/>
    <col min="9729" max="9729" width="1.42578125" style="433" hidden="1" customWidth="1"/>
    <col min="9730" max="9730" width="0.85546875" style="433" hidden="1" customWidth="1"/>
    <col min="9731" max="9746" width="2.42578125" style="433" hidden="1" customWidth="1"/>
    <col min="9747" max="9747" width="4" style="433" hidden="1" customWidth="1"/>
    <col min="9748" max="9767" width="2.42578125" style="433" hidden="1" customWidth="1"/>
    <col min="9768" max="9768" width="1.42578125" style="433" hidden="1" customWidth="1"/>
    <col min="9769" max="9984" width="2.42578125" style="433" hidden="1"/>
    <col min="9985" max="9985" width="1.42578125" style="433" hidden="1" customWidth="1"/>
    <col min="9986" max="9986" width="0.85546875" style="433" hidden="1" customWidth="1"/>
    <col min="9987" max="10002" width="2.42578125" style="433" hidden="1" customWidth="1"/>
    <col min="10003" max="10003" width="4" style="433" hidden="1" customWidth="1"/>
    <col min="10004" max="10023" width="2.42578125" style="433" hidden="1" customWidth="1"/>
    <col min="10024" max="10024" width="1.42578125" style="433" hidden="1" customWidth="1"/>
    <col min="10025" max="10240" width="2.42578125" style="433" hidden="1"/>
    <col min="10241" max="10241" width="1.42578125" style="433" hidden="1" customWidth="1"/>
    <col min="10242" max="10242" width="0.85546875" style="433" hidden="1" customWidth="1"/>
    <col min="10243" max="10258" width="2.42578125" style="433" hidden="1" customWidth="1"/>
    <col min="10259" max="10259" width="4" style="433" hidden="1" customWidth="1"/>
    <col min="10260" max="10279" width="2.42578125" style="433" hidden="1" customWidth="1"/>
    <col min="10280" max="10280" width="1.42578125" style="433" hidden="1" customWidth="1"/>
    <col min="10281" max="10496" width="2.42578125" style="433" hidden="1"/>
    <col min="10497" max="10497" width="1.42578125" style="433" hidden="1" customWidth="1"/>
    <col min="10498" max="10498" width="0.85546875" style="433" hidden="1" customWidth="1"/>
    <col min="10499" max="10514" width="2.42578125" style="433" hidden="1" customWidth="1"/>
    <col min="10515" max="10515" width="4" style="433" hidden="1" customWidth="1"/>
    <col min="10516" max="10535" width="2.42578125" style="433" hidden="1" customWidth="1"/>
    <col min="10536" max="10536" width="1.42578125" style="433" hidden="1" customWidth="1"/>
    <col min="10537" max="10752" width="2.42578125" style="433" hidden="1"/>
    <col min="10753" max="10753" width="1.42578125" style="433" hidden="1" customWidth="1"/>
    <col min="10754" max="10754" width="0.85546875" style="433" hidden="1" customWidth="1"/>
    <col min="10755" max="10770" width="2.42578125" style="433" hidden="1" customWidth="1"/>
    <col min="10771" max="10771" width="4" style="433" hidden="1" customWidth="1"/>
    <col min="10772" max="10791" width="2.42578125" style="433" hidden="1" customWidth="1"/>
    <col min="10792" max="10792" width="1.42578125" style="433" hidden="1" customWidth="1"/>
    <col min="10793" max="11008" width="2.42578125" style="433" hidden="1"/>
    <col min="11009" max="11009" width="1.42578125" style="433" hidden="1" customWidth="1"/>
    <col min="11010" max="11010" width="0.85546875" style="433" hidden="1" customWidth="1"/>
    <col min="11011" max="11026" width="2.42578125" style="433" hidden="1" customWidth="1"/>
    <col min="11027" max="11027" width="4" style="433" hidden="1" customWidth="1"/>
    <col min="11028" max="11047" width="2.42578125" style="433" hidden="1" customWidth="1"/>
    <col min="11048" max="11048" width="1.42578125" style="433" hidden="1" customWidth="1"/>
    <col min="11049" max="11264" width="2.42578125" style="433" hidden="1"/>
    <col min="11265" max="11265" width="1.42578125" style="433" hidden="1" customWidth="1"/>
    <col min="11266" max="11266" width="0.85546875" style="433" hidden="1" customWidth="1"/>
    <col min="11267" max="11282" width="2.42578125" style="433" hidden="1" customWidth="1"/>
    <col min="11283" max="11283" width="4" style="433" hidden="1" customWidth="1"/>
    <col min="11284" max="11303" width="2.42578125" style="433" hidden="1" customWidth="1"/>
    <col min="11304" max="11304" width="1.42578125" style="433" hidden="1" customWidth="1"/>
    <col min="11305" max="11520" width="2.42578125" style="433" hidden="1"/>
    <col min="11521" max="11521" width="1.42578125" style="433" hidden="1" customWidth="1"/>
    <col min="11522" max="11522" width="0.85546875" style="433" hidden="1" customWidth="1"/>
    <col min="11523" max="11538" width="2.42578125" style="433" hidden="1" customWidth="1"/>
    <col min="11539" max="11539" width="4" style="433" hidden="1" customWidth="1"/>
    <col min="11540" max="11559" width="2.42578125" style="433" hidden="1" customWidth="1"/>
    <col min="11560" max="11560" width="1.42578125" style="433" hidden="1" customWidth="1"/>
    <col min="11561" max="11776" width="2.42578125" style="433" hidden="1"/>
    <col min="11777" max="11777" width="1.42578125" style="433" hidden="1" customWidth="1"/>
    <col min="11778" max="11778" width="0.85546875" style="433" hidden="1" customWidth="1"/>
    <col min="11779" max="11794" width="2.42578125" style="433" hidden="1" customWidth="1"/>
    <col min="11795" max="11795" width="4" style="433" hidden="1" customWidth="1"/>
    <col min="11796" max="11815" width="2.42578125" style="433" hidden="1" customWidth="1"/>
    <col min="11816" max="11816" width="1.42578125" style="433" hidden="1" customWidth="1"/>
    <col min="11817" max="12032" width="2.42578125" style="433" hidden="1"/>
    <col min="12033" max="12033" width="1.42578125" style="433" hidden="1" customWidth="1"/>
    <col min="12034" max="12034" width="0.85546875" style="433" hidden="1" customWidth="1"/>
    <col min="12035" max="12050" width="2.42578125" style="433" hidden="1" customWidth="1"/>
    <col min="12051" max="12051" width="4" style="433" hidden="1" customWidth="1"/>
    <col min="12052" max="12071" width="2.42578125" style="433" hidden="1" customWidth="1"/>
    <col min="12072" max="12072" width="1.42578125" style="433" hidden="1" customWidth="1"/>
    <col min="12073" max="12288" width="2.42578125" style="433" hidden="1"/>
    <col min="12289" max="12289" width="1.42578125" style="433" hidden="1" customWidth="1"/>
    <col min="12290" max="12290" width="0.85546875" style="433" hidden="1" customWidth="1"/>
    <col min="12291" max="12306" width="2.42578125" style="433" hidden="1" customWidth="1"/>
    <col min="12307" max="12307" width="4" style="433" hidden="1" customWidth="1"/>
    <col min="12308" max="12327" width="2.42578125" style="433" hidden="1" customWidth="1"/>
    <col min="12328" max="12328" width="1.42578125" style="433" hidden="1" customWidth="1"/>
    <col min="12329" max="12544" width="2.42578125" style="433" hidden="1"/>
    <col min="12545" max="12545" width="1.42578125" style="433" hidden="1" customWidth="1"/>
    <col min="12546" max="12546" width="0.85546875" style="433" hidden="1" customWidth="1"/>
    <col min="12547" max="12562" width="2.42578125" style="433" hidden="1" customWidth="1"/>
    <col min="12563" max="12563" width="4" style="433" hidden="1" customWidth="1"/>
    <col min="12564" max="12583" width="2.42578125" style="433" hidden="1" customWidth="1"/>
    <col min="12584" max="12584" width="1.42578125" style="433" hidden="1" customWidth="1"/>
    <col min="12585" max="12800" width="2.42578125" style="433" hidden="1"/>
    <col min="12801" max="12801" width="1.42578125" style="433" hidden="1" customWidth="1"/>
    <col min="12802" max="12802" width="0.85546875" style="433" hidden="1" customWidth="1"/>
    <col min="12803" max="12818" width="2.42578125" style="433" hidden="1" customWidth="1"/>
    <col min="12819" max="12819" width="4" style="433" hidden="1" customWidth="1"/>
    <col min="12820" max="12839" width="2.42578125" style="433" hidden="1" customWidth="1"/>
    <col min="12840" max="12840" width="1.42578125" style="433" hidden="1" customWidth="1"/>
    <col min="12841" max="13056" width="2.42578125" style="433" hidden="1"/>
    <col min="13057" max="13057" width="1.42578125" style="433" hidden="1" customWidth="1"/>
    <col min="13058" max="13058" width="0.85546875" style="433" hidden="1" customWidth="1"/>
    <col min="13059" max="13074" width="2.42578125" style="433" hidden="1" customWidth="1"/>
    <col min="13075" max="13075" width="4" style="433" hidden="1" customWidth="1"/>
    <col min="13076" max="13095" width="2.42578125" style="433" hidden="1" customWidth="1"/>
    <col min="13096" max="13096" width="1.42578125" style="433" hidden="1" customWidth="1"/>
    <col min="13097" max="13312" width="2.42578125" style="433" hidden="1"/>
    <col min="13313" max="13313" width="1.42578125" style="433" hidden="1" customWidth="1"/>
    <col min="13314" max="13314" width="0.85546875" style="433" hidden="1" customWidth="1"/>
    <col min="13315" max="13330" width="2.42578125" style="433" hidden="1" customWidth="1"/>
    <col min="13331" max="13331" width="4" style="433" hidden="1" customWidth="1"/>
    <col min="13332" max="13351" width="2.42578125" style="433" hidden="1" customWidth="1"/>
    <col min="13352" max="13352" width="1.42578125" style="433" hidden="1" customWidth="1"/>
    <col min="13353" max="13568" width="2.42578125" style="433" hidden="1"/>
    <col min="13569" max="13569" width="1.42578125" style="433" hidden="1" customWidth="1"/>
    <col min="13570" max="13570" width="0.85546875" style="433" hidden="1" customWidth="1"/>
    <col min="13571" max="13586" width="2.42578125" style="433" hidden="1" customWidth="1"/>
    <col min="13587" max="13587" width="4" style="433" hidden="1" customWidth="1"/>
    <col min="13588" max="13607" width="2.42578125" style="433" hidden="1" customWidth="1"/>
    <col min="13608" max="13608" width="1.42578125" style="433" hidden="1" customWidth="1"/>
    <col min="13609" max="13824" width="2.42578125" style="433" hidden="1"/>
    <col min="13825" max="13825" width="1.42578125" style="433" hidden="1" customWidth="1"/>
    <col min="13826" max="13826" width="0.85546875" style="433" hidden="1" customWidth="1"/>
    <col min="13827" max="13842" width="2.42578125" style="433" hidden="1" customWidth="1"/>
    <col min="13843" max="13843" width="4" style="433" hidden="1" customWidth="1"/>
    <col min="13844" max="13863" width="2.42578125" style="433" hidden="1" customWidth="1"/>
    <col min="13864" max="13864" width="1.42578125" style="433" hidden="1" customWidth="1"/>
    <col min="13865" max="14080" width="2.42578125" style="433" hidden="1"/>
    <col min="14081" max="14081" width="1.42578125" style="433" hidden="1" customWidth="1"/>
    <col min="14082" max="14082" width="0.85546875" style="433" hidden="1" customWidth="1"/>
    <col min="14083" max="14098" width="2.42578125" style="433" hidden="1" customWidth="1"/>
    <col min="14099" max="14099" width="4" style="433" hidden="1" customWidth="1"/>
    <col min="14100" max="14119" width="2.42578125" style="433" hidden="1" customWidth="1"/>
    <col min="14120" max="14120" width="1.42578125" style="433" hidden="1" customWidth="1"/>
    <col min="14121" max="14336" width="2.42578125" style="433" hidden="1"/>
    <col min="14337" max="14337" width="1.42578125" style="433" hidden="1" customWidth="1"/>
    <col min="14338" max="14338" width="0.85546875" style="433" hidden="1" customWidth="1"/>
    <col min="14339" max="14354" width="2.42578125" style="433" hidden="1" customWidth="1"/>
    <col min="14355" max="14355" width="4" style="433" hidden="1" customWidth="1"/>
    <col min="14356" max="14375" width="2.42578125" style="433" hidden="1" customWidth="1"/>
    <col min="14376" max="14376" width="1.42578125" style="433" hidden="1" customWidth="1"/>
    <col min="14377" max="14592" width="2.42578125" style="433" hidden="1"/>
    <col min="14593" max="14593" width="1.42578125" style="433" hidden="1" customWidth="1"/>
    <col min="14594" max="14594" width="0.85546875" style="433" hidden="1" customWidth="1"/>
    <col min="14595" max="14610" width="2.42578125" style="433" hidden="1" customWidth="1"/>
    <col min="14611" max="14611" width="4" style="433" hidden="1" customWidth="1"/>
    <col min="14612" max="14631" width="2.42578125" style="433" hidden="1" customWidth="1"/>
    <col min="14632" max="14632" width="1.42578125" style="433" hidden="1" customWidth="1"/>
    <col min="14633" max="14848" width="2.42578125" style="433" hidden="1"/>
    <col min="14849" max="14849" width="1.42578125" style="433" hidden="1" customWidth="1"/>
    <col min="14850" max="14850" width="0.85546875" style="433" hidden="1" customWidth="1"/>
    <col min="14851" max="14866" width="2.42578125" style="433" hidden="1" customWidth="1"/>
    <col min="14867" max="14867" width="4" style="433" hidden="1" customWidth="1"/>
    <col min="14868" max="14887" width="2.42578125" style="433" hidden="1" customWidth="1"/>
    <col min="14888" max="14888" width="1.42578125" style="433" hidden="1" customWidth="1"/>
    <col min="14889" max="15104" width="2.42578125" style="433" hidden="1"/>
    <col min="15105" max="15105" width="1.42578125" style="433" hidden="1" customWidth="1"/>
    <col min="15106" max="15106" width="0.85546875" style="433" hidden="1" customWidth="1"/>
    <col min="15107" max="15122" width="2.42578125" style="433" hidden="1" customWidth="1"/>
    <col min="15123" max="15123" width="4" style="433" hidden="1" customWidth="1"/>
    <col min="15124" max="15143" width="2.42578125" style="433" hidden="1" customWidth="1"/>
    <col min="15144" max="15144" width="1.42578125" style="433" hidden="1" customWidth="1"/>
    <col min="15145" max="15360" width="2.42578125" style="433" hidden="1"/>
    <col min="15361" max="15361" width="1.42578125" style="433" hidden="1" customWidth="1"/>
    <col min="15362" max="15362" width="0.85546875" style="433" hidden="1" customWidth="1"/>
    <col min="15363" max="15378" width="2.42578125" style="433" hidden="1" customWidth="1"/>
    <col min="15379" max="15379" width="4" style="433" hidden="1" customWidth="1"/>
    <col min="15380" max="15399" width="2.42578125" style="433" hidden="1" customWidth="1"/>
    <col min="15400" max="15400" width="1.42578125" style="433" hidden="1" customWidth="1"/>
    <col min="15401" max="15616" width="2.42578125" style="433" hidden="1"/>
    <col min="15617" max="15617" width="1.42578125" style="433" hidden="1" customWidth="1"/>
    <col min="15618" max="15618" width="0.85546875" style="433" hidden="1" customWidth="1"/>
    <col min="15619" max="15634" width="2.42578125" style="433" hidden="1" customWidth="1"/>
    <col min="15635" max="15635" width="4" style="433" hidden="1" customWidth="1"/>
    <col min="15636" max="15655" width="2.42578125" style="433" hidden="1" customWidth="1"/>
    <col min="15656" max="15656" width="1.42578125" style="433" hidden="1" customWidth="1"/>
    <col min="15657" max="15872" width="2.42578125" style="433" hidden="1"/>
    <col min="15873" max="15873" width="1.42578125" style="433" hidden="1" customWidth="1"/>
    <col min="15874" max="15874" width="0.85546875" style="433" hidden="1" customWidth="1"/>
    <col min="15875" max="15890" width="2.42578125" style="433" hidden="1" customWidth="1"/>
    <col min="15891" max="15891" width="4" style="433" hidden="1" customWidth="1"/>
    <col min="15892" max="15911" width="2.42578125" style="433" hidden="1" customWidth="1"/>
    <col min="15912" max="15912" width="1.42578125" style="433" hidden="1" customWidth="1"/>
    <col min="15913" max="16128" width="2.42578125" style="433" hidden="1"/>
    <col min="16129" max="16129" width="1.42578125" style="433" hidden="1" customWidth="1"/>
    <col min="16130" max="16130" width="0.85546875" style="433" hidden="1" customWidth="1"/>
    <col min="16131" max="16146" width="2.42578125" style="433" hidden="1" customWidth="1"/>
    <col min="16147" max="16147" width="4" style="433" hidden="1" customWidth="1"/>
    <col min="16148" max="16167" width="2.42578125" style="433" hidden="1" customWidth="1"/>
    <col min="16168" max="16168" width="1.42578125" style="433" hidden="1" customWidth="1"/>
    <col min="16169" max="16384" width="2.42578125" style="433" hidden="1"/>
  </cols>
  <sheetData>
    <row r="1" spans="1:40" ht="12.95" customHeight="1">
      <c r="A1" s="2671" t="s">
        <v>1388</v>
      </c>
      <c r="B1" s="2671"/>
      <c r="C1" s="2671"/>
      <c r="D1" s="2671"/>
      <c r="E1" s="2671"/>
      <c r="F1" s="2671"/>
      <c r="G1" s="2671"/>
      <c r="H1" s="2671"/>
      <c r="I1" s="2671"/>
      <c r="J1" s="2671"/>
      <c r="K1" s="2671"/>
      <c r="L1" s="2671"/>
      <c r="M1" s="2671"/>
      <c r="N1" s="2671"/>
      <c r="O1" s="2671"/>
      <c r="P1" s="2671"/>
      <c r="Q1" s="2671"/>
      <c r="R1" s="2671"/>
      <c r="S1" s="2671"/>
      <c r="T1" s="2671"/>
      <c r="U1" s="2671"/>
      <c r="V1" s="2671"/>
      <c r="W1" s="2671"/>
      <c r="X1" s="2671"/>
      <c r="Y1" s="2671"/>
      <c r="Z1" s="2671"/>
      <c r="AA1" s="2671"/>
      <c r="AB1" s="2671"/>
      <c r="AC1" s="2671"/>
      <c r="AD1" s="2671"/>
      <c r="AE1" s="2671"/>
      <c r="AF1" s="2671"/>
      <c r="AG1" s="2671"/>
      <c r="AH1" s="2671"/>
      <c r="AI1" s="2671"/>
      <c r="AJ1" s="2671"/>
      <c r="AK1" s="2671"/>
      <c r="AL1" s="2671"/>
      <c r="AM1" s="2671"/>
      <c r="AN1" s="2671"/>
    </row>
    <row r="2" spans="1:40" ht="12.95" customHeight="1" thickBot="1">
      <c r="A2" s="2672"/>
      <c r="B2" s="2672"/>
      <c r="C2" s="2672"/>
      <c r="D2" s="2672"/>
      <c r="E2" s="2672"/>
      <c r="F2" s="2672"/>
      <c r="G2" s="2672"/>
      <c r="H2" s="2672"/>
      <c r="I2" s="2672"/>
      <c r="J2" s="2672"/>
      <c r="K2" s="2672"/>
      <c r="L2" s="2672"/>
      <c r="M2" s="2672"/>
      <c r="N2" s="2672"/>
      <c r="O2" s="2672"/>
      <c r="P2" s="2672"/>
      <c r="Q2" s="2672"/>
      <c r="R2" s="2672"/>
      <c r="S2" s="2672"/>
      <c r="T2" s="2672"/>
      <c r="U2" s="2672"/>
      <c r="V2" s="2672"/>
      <c r="W2" s="2672"/>
      <c r="X2" s="2672"/>
      <c r="Y2" s="2672"/>
      <c r="Z2" s="2672"/>
      <c r="AA2" s="2672"/>
      <c r="AB2" s="2672"/>
      <c r="AC2" s="2672"/>
      <c r="AD2" s="2672"/>
      <c r="AE2" s="2672"/>
      <c r="AF2" s="2672"/>
      <c r="AG2" s="2672"/>
      <c r="AH2" s="2672"/>
      <c r="AI2" s="2672"/>
      <c r="AJ2" s="2672"/>
      <c r="AK2" s="2672"/>
      <c r="AL2" s="2672"/>
      <c r="AM2" s="2672"/>
      <c r="AN2" s="2672"/>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319</v>
      </c>
      <c r="C5" s="435" t="s">
        <v>122</v>
      </c>
      <c r="F5" s="435"/>
    </row>
    <row r="6" spans="1:40" ht="12.95" customHeight="1">
      <c r="A6" s="435"/>
      <c r="C6" s="433" t="s">
        <v>1343</v>
      </c>
    </row>
    <row r="7" spans="1:40" ht="12.95" customHeight="1">
      <c r="B7" s="436"/>
      <c r="C7" s="437"/>
      <c r="D7" s="437"/>
      <c r="E7" s="437"/>
      <c r="F7" s="437"/>
      <c r="G7" s="437"/>
      <c r="H7" s="437"/>
      <c r="I7" s="437"/>
      <c r="J7" s="437"/>
      <c r="K7" s="437"/>
      <c r="L7" s="437"/>
      <c r="M7" s="437"/>
      <c r="N7" s="437"/>
      <c r="O7" s="437"/>
      <c r="P7" s="437"/>
      <c r="Q7" s="437"/>
      <c r="R7" s="437"/>
      <c r="S7" s="437"/>
      <c r="T7" s="2651" t="str">
        <f xml:space="preserve"> IF(T25=100%,'Sources and Basis Breakdown'!G2,'Sources and Basis Breakdown'!F2)</f>
        <v>30% PVC for New Const/
Rehabilitation
DDA/QCT
Building(s)</v>
      </c>
      <c r="U7" s="2651"/>
      <c r="V7" s="2651"/>
      <c r="W7" s="2651"/>
      <c r="X7" s="2651"/>
      <c r="Y7" s="2651" t="str">
        <f>IF(T25=100%,"",'Sources and Basis Breakdown'!G2)</f>
        <v>30% PVC for New Const/
Rehabilitation
NON-DDA/
NON-QCT Building(s)</v>
      </c>
      <c r="Z7" s="2651"/>
      <c r="AA7" s="2651"/>
      <c r="AB7" s="2651"/>
      <c r="AC7" s="2651"/>
      <c r="AD7" s="2651" t="str">
        <f xml:space="preserve"> IF(T25=100%, 'Sources and Basis Breakdown'!J2,'Sources and Basis Breakdown'!I2)</f>
        <v>30% PVC for Acquisition
DDA/QCT Building(s)</v>
      </c>
      <c r="AE7" s="2651"/>
      <c r="AF7" s="2651"/>
      <c r="AG7" s="2651"/>
      <c r="AH7" s="2651"/>
      <c r="AI7" s="2651" t="str">
        <f>IF(T25=100%,"",'Sources and Basis Breakdown'!J2)</f>
        <v>30% PVC for Acquisition
NON-DDA/
NON-QCT Building(s)</v>
      </c>
      <c r="AJ7" s="2651"/>
      <c r="AK7" s="2651"/>
      <c r="AL7" s="2651"/>
      <c r="AM7" s="2651"/>
    </row>
    <row r="8" spans="1:40" ht="12.95" customHeight="1">
      <c r="B8" s="438"/>
      <c r="T8" s="2651"/>
      <c r="U8" s="2651"/>
      <c r="V8" s="2651"/>
      <c r="W8" s="2651"/>
      <c r="X8" s="2651"/>
      <c r="Y8" s="2651"/>
      <c r="Z8" s="2651"/>
      <c r="AA8" s="2651"/>
      <c r="AB8" s="2651"/>
      <c r="AC8" s="2651"/>
      <c r="AD8" s="2651"/>
      <c r="AE8" s="2651"/>
      <c r="AF8" s="2651"/>
      <c r="AG8" s="2651"/>
      <c r="AH8" s="2651"/>
      <c r="AI8" s="2651"/>
      <c r="AJ8" s="2651"/>
      <c r="AK8" s="2651"/>
      <c r="AL8" s="2651"/>
      <c r="AM8" s="2651"/>
    </row>
    <row r="9" spans="1:40" ht="12.95" customHeight="1">
      <c r="B9" s="438"/>
      <c r="T9" s="2651"/>
      <c r="U9" s="2651"/>
      <c r="V9" s="2651"/>
      <c r="W9" s="2651"/>
      <c r="X9" s="2651"/>
      <c r="Y9" s="2651"/>
      <c r="Z9" s="2651"/>
      <c r="AA9" s="2651"/>
      <c r="AB9" s="2651"/>
      <c r="AC9" s="2651"/>
      <c r="AD9" s="2651"/>
      <c r="AE9" s="2651"/>
      <c r="AF9" s="2651"/>
      <c r="AG9" s="2651"/>
      <c r="AH9" s="2651"/>
      <c r="AI9" s="2651"/>
      <c r="AJ9" s="2651"/>
      <c r="AK9" s="2651"/>
      <c r="AL9" s="2651"/>
      <c r="AM9" s="2651"/>
    </row>
    <row r="10" spans="1:40" ht="12.95" customHeight="1">
      <c r="B10" s="439"/>
      <c r="C10" s="440"/>
      <c r="D10" s="440"/>
      <c r="E10" s="440"/>
      <c r="F10" s="440"/>
      <c r="G10" s="440"/>
      <c r="H10" s="440"/>
      <c r="I10" s="440"/>
      <c r="J10" s="440"/>
      <c r="K10" s="440"/>
      <c r="L10" s="440"/>
      <c r="M10" s="440"/>
      <c r="N10" s="440"/>
      <c r="O10" s="440"/>
      <c r="P10" s="440"/>
      <c r="Q10" s="440"/>
      <c r="R10" s="440"/>
      <c r="S10" s="440"/>
      <c r="T10" s="2651"/>
      <c r="U10" s="2651"/>
      <c r="V10" s="2651"/>
      <c r="W10" s="2651"/>
      <c r="X10" s="2651"/>
      <c r="Y10" s="2651"/>
      <c r="Z10" s="2651"/>
      <c r="AA10" s="2651"/>
      <c r="AB10" s="2651"/>
      <c r="AC10" s="2651"/>
      <c r="AD10" s="2651"/>
      <c r="AE10" s="2651"/>
      <c r="AF10" s="2651"/>
      <c r="AG10" s="2651"/>
      <c r="AH10" s="2651"/>
      <c r="AI10" s="2651"/>
      <c r="AJ10" s="2651"/>
      <c r="AK10" s="2651"/>
      <c r="AL10" s="2651"/>
      <c r="AM10" s="2651"/>
    </row>
    <row r="11" spans="1:40" ht="12.95" customHeight="1">
      <c r="B11" s="2634" t="s">
        <v>375</v>
      </c>
      <c r="C11" s="2635"/>
      <c r="D11" s="2635"/>
      <c r="E11" s="2635"/>
      <c r="F11" s="2635"/>
      <c r="G11" s="2635"/>
      <c r="H11" s="2635"/>
      <c r="I11" s="2635"/>
      <c r="J11" s="2635"/>
      <c r="K11" s="2635"/>
      <c r="L11" s="2635"/>
      <c r="M11" s="2635"/>
      <c r="N11" s="2635"/>
      <c r="O11" s="2635"/>
      <c r="P11" s="2635"/>
      <c r="Q11" s="2635"/>
      <c r="R11" s="2635"/>
      <c r="S11" s="2636"/>
      <c r="T11" s="2673">
        <f>IF('Sources and Basis Breakdown'!F107=0,'Sources and Basis Breakdown'!E107,'Sources and Basis Breakdown'!F107)</f>
        <v>97706870.200000003</v>
      </c>
      <c r="U11" s="2674"/>
      <c r="V11" s="2674"/>
      <c r="W11" s="2674"/>
      <c r="X11" s="2674"/>
      <c r="Y11" s="2673">
        <f>IF(Y7="",0,IF('Sources and Basis Breakdown'!G107+'Sources and Basis Breakdown'!F107='Sources and Basis Breakdown'!E107,'Sources and Basis Breakdown'!G107,0))</f>
        <v>0</v>
      </c>
      <c r="Z11" s="2674"/>
      <c r="AA11" s="2674"/>
      <c r="AB11" s="2674"/>
      <c r="AC11" s="2674"/>
      <c r="AD11" s="2674">
        <f>IF('Sources and Basis Breakdown'!I107=0,'Sources and Basis Breakdown'!H107,'Sources and Basis Breakdown'!I107)</f>
        <v>0</v>
      </c>
      <c r="AE11" s="2674"/>
      <c r="AF11" s="2674"/>
      <c r="AG11" s="2674"/>
      <c r="AH11" s="2674"/>
      <c r="AI11" s="2674">
        <f>IF(Y7="",0,IF('Sources and Basis Breakdown'!I107+'Sources and Basis Breakdown'!J107='Sources and Basis Breakdown'!H107,'Sources and Basis Breakdown'!J107,0))</f>
        <v>0</v>
      </c>
      <c r="AJ11" s="2674"/>
      <c r="AK11" s="2674"/>
      <c r="AL11" s="2674"/>
      <c r="AM11" s="2674"/>
    </row>
    <row r="12" spans="1:40" ht="12.95" customHeight="1">
      <c r="B12" s="2675" t="s">
        <v>504</v>
      </c>
      <c r="C12" s="1283"/>
      <c r="D12" s="1283"/>
      <c r="E12" s="1283"/>
      <c r="F12" s="1283"/>
      <c r="G12" s="1283"/>
      <c r="H12" s="1283"/>
      <c r="I12" s="1283"/>
      <c r="J12" s="1283"/>
      <c r="K12" s="1283"/>
      <c r="L12" s="1283"/>
      <c r="M12" s="1283"/>
      <c r="N12" s="1283"/>
      <c r="O12" s="1283"/>
      <c r="P12" s="1283"/>
      <c r="Q12" s="1283"/>
      <c r="R12" s="1283"/>
      <c r="S12" s="2676"/>
      <c r="T12" s="2666"/>
      <c r="U12" s="2667"/>
      <c r="V12" s="2667"/>
      <c r="W12" s="2667"/>
      <c r="X12" s="2668"/>
      <c r="Y12" s="2666"/>
      <c r="Z12" s="2667"/>
      <c r="AA12" s="2667"/>
      <c r="AB12" s="2667"/>
      <c r="AC12" s="2668"/>
      <c r="AD12" s="2666"/>
      <c r="AE12" s="2667"/>
      <c r="AF12" s="2667"/>
      <c r="AG12" s="2667"/>
      <c r="AH12" s="2668"/>
      <c r="AI12" s="2666"/>
      <c r="AJ12" s="2667"/>
      <c r="AK12" s="2667"/>
      <c r="AL12" s="2667"/>
      <c r="AM12" s="2668"/>
    </row>
    <row r="13" spans="1:40" ht="12.95" customHeight="1">
      <c r="B13" s="467"/>
      <c r="C13" s="2677" t="s">
        <v>505</v>
      </c>
      <c r="D13" s="2677"/>
      <c r="E13" s="2677"/>
      <c r="F13" s="2677"/>
      <c r="G13" s="2677"/>
      <c r="H13" s="2677"/>
      <c r="I13" s="2677"/>
      <c r="J13" s="2677"/>
      <c r="K13" s="2677"/>
      <c r="L13" s="2677"/>
      <c r="M13" s="2677"/>
      <c r="N13" s="2677"/>
      <c r="O13" s="2677"/>
      <c r="P13" s="2677"/>
      <c r="Q13" s="2677"/>
      <c r="R13" s="2677"/>
      <c r="S13" s="2678"/>
      <c r="T13" s="2669"/>
      <c r="U13" s="2670"/>
      <c r="V13" s="2670"/>
      <c r="W13" s="2670"/>
      <c r="X13" s="2670"/>
      <c r="Y13" s="2669"/>
      <c r="Z13" s="2670"/>
      <c r="AA13" s="2670"/>
      <c r="AB13" s="2670"/>
      <c r="AC13" s="2670"/>
      <c r="AD13" s="2670"/>
      <c r="AE13" s="2670"/>
      <c r="AF13" s="2670"/>
      <c r="AG13" s="2670"/>
      <c r="AH13" s="2670"/>
      <c r="AI13" s="2670"/>
      <c r="AJ13" s="2670"/>
      <c r="AK13" s="2670"/>
      <c r="AL13" s="2670"/>
      <c r="AM13" s="2670"/>
    </row>
    <row r="14" spans="1:40" ht="12.95" customHeight="1">
      <c r="B14" s="467"/>
      <c r="C14" s="2677" t="s">
        <v>506</v>
      </c>
      <c r="D14" s="2677"/>
      <c r="E14" s="2677"/>
      <c r="F14" s="2677"/>
      <c r="G14" s="2677"/>
      <c r="H14" s="2677"/>
      <c r="I14" s="2677"/>
      <c r="J14" s="2677"/>
      <c r="K14" s="2677"/>
      <c r="L14" s="2677"/>
      <c r="M14" s="2677"/>
      <c r="N14" s="2677"/>
      <c r="O14" s="2677"/>
      <c r="P14" s="2677"/>
      <c r="Q14" s="2677"/>
      <c r="R14" s="2677"/>
      <c r="S14" s="2678"/>
      <c r="T14" s="2659"/>
      <c r="U14" s="2660"/>
      <c r="V14" s="2660"/>
      <c r="W14" s="2660"/>
      <c r="X14" s="2660"/>
      <c r="Y14" s="2659"/>
      <c r="Z14" s="2660"/>
      <c r="AA14" s="2660"/>
      <c r="AB14" s="2660"/>
      <c r="AC14" s="2660"/>
      <c r="AD14" s="2660"/>
      <c r="AE14" s="2660"/>
      <c r="AF14" s="2660"/>
      <c r="AG14" s="2660"/>
      <c r="AH14" s="2660"/>
      <c r="AI14" s="2660"/>
      <c r="AJ14" s="2660"/>
      <c r="AK14" s="2660"/>
      <c r="AL14" s="2660"/>
      <c r="AM14" s="2660"/>
    </row>
    <row r="15" spans="1:40" ht="12.95" customHeight="1">
      <c r="B15" s="467"/>
      <c r="C15" s="2677" t="s">
        <v>507</v>
      </c>
      <c r="D15" s="2677"/>
      <c r="E15" s="2677"/>
      <c r="F15" s="2677"/>
      <c r="G15" s="2677"/>
      <c r="H15" s="2677"/>
      <c r="I15" s="2677"/>
      <c r="J15" s="2677"/>
      <c r="K15" s="2677"/>
      <c r="L15" s="2677"/>
      <c r="M15" s="2677"/>
      <c r="N15" s="2677"/>
      <c r="O15" s="2677"/>
      <c r="P15" s="2677"/>
      <c r="Q15" s="2677"/>
      <c r="R15" s="2677"/>
      <c r="S15" s="2678"/>
      <c r="T15" s="2659"/>
      <c r="U15" s="2660"/>
      <c r="V15" s="2660"/>
      <c r="W15" s="2660"/>
      <c r="X15" s="2660"/>
      <c r="Y15" s="2659"/>
      <c r="Z15" s="2660"/>
      <c r="AA15" s="2660"/>
      <c r="AB15" s="2660"/>
      <c r="AC15" s="2660"/>
      <c r="AD15" s="2660"/>
      <c r="AE15" s="2660"/>
      <c r="AF15" s="2660"/>
      <c r="AG15" s="2660"/>
      <c r="AH15" s="2660"/>
      <c r="AI15" s="2660"/>
      <c r="AJ15" s="2660"/>
      <c r="AK15" s="2660"/>
      <c r="AL15" s="2660"/>
      <c r="AM15" s="2660"/>
    </row>
    <row r="16" spans="1:40" ht="12.95" customHeight="1">
      <c r="B16" s="467"/>
      <c r="C16" s="2677" t="s">
        <v>813</v>
      </c>
      <c r="D16" s="2677"/>
      <c r="E16" s="2677"/>
      <c r="F16" s="2677"/>
      <c r="G16" s="2677"/>
      <c r="H16" s="2677"/>
      <c r="I16" s="2677"/>
      <c r="J16" s="2677"/>
      <c r="K16" s="2677"/>
      <c r="L16" s="2677"/>
      <c r="M16" s="2677"/>
      <c r="N16" s="2677"/>
      <c r="O16" s="2677"/>
      <c r="P16" s="2677"/>
      <c r="Q16" s="2677"/>
      <c r="R16" s="2677"/>
      <c r="S16" s="2678"/>
      <c r="T16" s="2659"/>
      <c r="U16" s="2660"/>
      <c r="V16" s="2660"/>
      <c r="W16" s="2660"/>
      <c r="X16" s="2660"/>
      <c r="Y16" s="2659"/>
      <c r="Z16" s="2660"/>
      <c r="AA16" s="2660"/>
      <c r="AB16" s="2660"/>
      <c r="AC16" s="2660"/>
      <c r="AD16" s="2660"/>
      <c r="AE16" s="2660"/>
      <c r="AF16" s="2660"/>
      <c r="AG16" s="2660"/>
      <c r="AH16" s="2660"/>
      <c r="AI16" s="2660"/>
      <c r="AJ16" s="2660"/>
      <c r="AK16" s="2660"/>
      <c r="AL16" s="2660"/>
      <c r="AM16" s="2660"/>
    </row>
    <row r="17" spans="1:40" ht="12.95" customHeight="1">
      <c r="B17" s="467"/>
      <c r="C17" s="2677" t="s">
        <v>508</v>
      </c>
      <c r="D17" s="2677"/>
      <c r="E17" s="2677"/>
      <c r="F17" s="2677"/>
      <c r="G17" s="2677"/>
      <c r="H17" s="2677"/>
      <c r="I17" s="2677"/>
      <c r="J17" s="2677"/>
      <c r="K17" s="2677"/>
      <c r="L17" s="2677"/>
      <c r="M17" s="2677"/>
      <c r="N17" s="2677"/>
      <c r="O17" s="2677"/>
      <c r="P17" s="2677"/>
      <c r="Q17" s="2677"/>
      <c r="R17" s="2677"/>
      <c r="S17" s="2678"/>
      <c r="T17" s="2659"/>
      <c r="U17" s="2660"/>
      <c r="V17" s="2660"/>
      <c r="W17" s="2660"/>
      <c r="X17" s="2660"/>
      <c r="Y17" s="2659"/>
      <c r="Z17" s="2660"/>
      <c r="AA17" s="2660"/>
      <c r="AB17" s="2660"/>
      <c r="AC17" s="2660"/>
      <c r="AD17" s="2660"/>
      <c r="AE17" s="2660"/>
      <c r="AF17" s="2660"/>
      <c r="AG17" s="2660"/>
      <c r="AH17" s="2660"/>
      <c r="AI17" s="2660"/>
      <c r="AJ17" s="2660"/>
      <c r="AK17" s="2660"/>
      <c r="AL17" s="2660"/>
      <c r="AM17" s="2660"/>
    </row>
    <row r="18" spans="1:40" ht="12.95" customHeight="1">
      <c r="A18"/>
      <c r="B18" s="1194"/>
      <c r="C18" s="1669" t="s">
        <v>977</v>
      </c>
      <c r="D18" s="1669"/>
      <c r="E18" s="1669"/>
      <c r="F18" s="1669"/>
      <c r="G18" s="1669"/>
      <c r="H18" s="1669"/>
      <c r="I18" s="1669"/>
      <c r="J18" s="1669"/>
      <c r="K18" s="1669"/>
      <c r="L18" s="1669"/>
      <c r="M18" s="1669"/>
      <c r="N18" s="1669"/>
      <c r="O18" s="1669"/>
      <c r="P18" s="1669"/>
      <c r="Q18" s="1669"/>
      <c r="R18" s="1669"/>
      <c r="S18" s="1670"/>
      <c r="T18" s="2659"/>
      <c r="U18" s="2660"/>
      <c r="V18" s="2660"/>
      <c r="W18" s="2660"/>
      <c r="X18" s="2660"/>
      <c r="Y18" s="2659"/>
      <c r="Z18" s="2660"/>
      <c r="AA18" s="2660"/>
      <c r="AB18" s="2660"/>
      <c r="AC18" s="2660"/>
      <c r="AD18" s="2660"/>
      <c r="AE18" s="2660"/>
      <c r="AF18" s="2660"/>
      <c r="AG18" s="2660"/>
      <c r="AH18" s="2660"/>
      <c r="AI18" s="2660"/>
      <c r="AJ18" s="2660"/>
      <c r="AK18" s="2660"/>
      <c r="AL18" s="2660"/>
      <c r="AM18" s="2660"/>
    </row>
    <row r="19" spans="1:40" ht="12.95" customHeight="1">
      <c r="B19" s="1194"/>
      <c r="C19" s="1669" t="s">
        <v>977</v>
      </c>
      <c r="D19" s="1669"/>
      <c r="E19" s="1669"/>
      <c r="F19" s="1669"/>
      <c r="G19" s="1669"/>
      <c r="H19" s="1669"/>
      <c r="I19" s="1669"/>
      <c r="J19" s="1669"/>
      <c r="K19" s="1669"/>
      <c r="L19" s="1669"/>
      <c r="M19" s="1669"/>
      <c r="N19" s="1669"/>
      <c r="O19" s="1669"/>
      <c r="P19" s="1669"/>
      <c r="Q19" s="1669"/>
      <c r="R19" s="1669"/>
      <c r="S19" s="1670"/>
      <c r="T19" s="2659"/>
      <c r="U19" s="2660"/>
      <c r="V19" s="2660"/>
      <c r="W19" s="2660"/>
      <c r="X19" s="2660"/>
      <c r="Y19" s="2659"/>
      <c r="Z19" s="2660"/>
      <c r="AA19" s="2660"/>
      <c r="AB19" s="2660"/>
      <c r="AC19" s="2660"/>
      <c r="AD19" s="2660"/>
      <c r="AE19" s="2660"/>
      <c r="AF19" s="2660"/>
      <c r="AG19" s="2660"/>
      <c r="AH19" s="2660"/>
      <c r="AI19" s="2660"/>
      <c r="AJ19" s="2660"/>
      <c r="AK19" s="2660"/>
      <c r="AL19" s="2660"/>
      <c r="AM19" s="2660"/>
    </row>
    <row r="20" spans="1:40" ht="12.95" customHeight="1">
      <c r="B20" s="2634" t="s">
        <v>509</v>
      </c>
      <c r="C20" s="2635"/>
      <c r="D20" s="2635"/>
      <c r="E20" s="2635"/>
      <c r="F20" s="2635"/>
      <c r="G20" s="2635"/>
      <c r="H20" s="2635"/>
      <c r="I20" s="2635"/>
      <c r="J20" s="2635"/>
      <c r="K20" s="2635"/>
      <c r="L20" s="2635"/>
      <c r="M20" s="2635"/>
      <c r="N20" s="2635"/>
      <c r="O20" s="2635"/>
      <c r="P20" s="2635"/>
      <c r="Q20" s="2635"/>
      <c r="R20" s="2635"/>
      <c r="S20" s="2636"/>
      <c r="T20" s="2650">
        <f>SUM(T13:X19)</f>
        <v>0</v>
      </c>
      <c r="U20" s="2628"/>
      <c r="V20" s="2628"/>
      <c r="W20" s="2628"/>
      <c r="X20" s="2628"/>
      <c r="Y20" s="2650">
        <f>SUM(Y13:AC19)</f>
        <v>0</v>
      </c>
      <c r="Z20" s="2628"/>
      <c r="AA20" s="2628"/>
      <c r="AB20" s="2628"/>
      <c r="AC20" s="2628"/>
      <c r="AD20" s="2638">
        <f>SUM(AD13:AH19)</f>
        <v>0</v>
      </c>
      <c r="AE20" s="2649"/>
      <c r="AF20" s="2649"/>
      <c r="AG20" s="2649"/>
      <c r="AH20" s="2650"/>
      <c r="AI20" s="2638">
        <f>SUM(AI13:AM19)</f>
        <v>0</v>
      </c>
      <c r="AJ20" s="2649"/>
      <c r="AK20" s="2649"/>
      <c r="AL20" s="2649"/>
      <c r="AM20" s="2650"/>
    </row>
    <row r="21" spans="1:40" ht="12.95" customHeight="1">
      <c r="B21" s="2634" t="s">
        <v>1371</v>
      </c>
      <c r="C21" s="2635"/>
      <c r="D21" s="2635"/>
      <c r="E21" s="2635"/>
      <c r="F21" s="2635"/>
      <c r="G21" s="2635"/>
      <c r="H21" s="2635"/>
      <c r="I21" s="2635"/>
      <c r="J21" s="2635"/>
      <c r="K21" s="2635"/>
      <c r="L21" s="2635"/>
      <c r="M21" s="2635"/>
      <c r="N21" s="2635"/>
      <c r="O21" s="2635"/>
      <c r="P21" s="2635"/>
      <c r="Q21" s="2635"/>
      <c r="R21" s="2635"/>
      <c r="S21" s="2636"/>
      <c r="T21" s="2659"/>
      <c r="U21" s="2660"/>
      <c r="V21" s="2660"/>
      <c r="W21" s="2660"/>
      <c r="X21" s="2660"/>
      <c r="Y21" s="2659"/>
      <c r="Z21" s="2660"/>
      <c r="AA21" s="2660"/>
      <c r="AB21" s="2660"/>
      <c r="AC21" s="2660"/>
      <c r="AD21" s="2666"/>
      <c r="AE21" s="2667"/>
      <c r="AF21" s="2667"/>
      <c r="AG21" s="2667"/>
      <c r="AH21" s="2668"/>
      <c r="AI21" s="2666"/>
      <c r="AJ21" s="2667"/>
      <c r="AK21" s="2667"/>
      <c r="AL21" s="2667"/>
      <c r="AM21" s="2668"/>
    </row>
    <row r="22" spans="1:40" ht="12.95" customHeight="1">
      <c r="B22" s="2634" t="s">
        <v>510</v>
      </c>
      <c r="C22" s="2635"/>
      <c r="D22" s="2635"/>
      <c r="E22" s="2635"/>
      <c r="F22" s="2635"/>
      <c r="G22" s="2635"/>
      <c r="H22" s="2635"/>
      <c r="I22" s="2635"/>
      <c r="J22" s="2635"/>
      <c r="K22" s="2635"/>
      <c r="L22" s="2635"/>
      <c r="M22" s="2635"/>
      <c r="N22" s="2635"/>
      <c r="O22" s="2635"/>
      <c r="P22" s="2635"/>
      <c r="Q22" s="2635"/>
      <c r="R22" s="2635"/>
      <c r="S22" s="2636"/>
      <c r="T22" s="2655">
        <f>(ABS(T20)+ABS(T21))*-1</f>
        <v>0</v>
      </c>
      <c r="U22" s="2656"/>
      <c r="V22" s="2656"/>
      <c r="W22" s="2656"/>
      <c r="X22" s="2656"/>
      <c r="Y22" s="2655">
        <f>(Y20+Y21)*-1</f>
        <v>0</v>
      </c>
      <c r="Z22" s="2656"/>
      <c r="AA22" s="2656"/>
      <c r="AB22" s="2656"/>
      <c r="AC22" s="2656"/>
      <c r="AD22" s="2657">
        <f>(AD20)*-1</f>
        <v>0</v>
      </c>
      <c r="AE22" s="2658"/>
      <c r="AF22" s="2658"/>
      <c r="AG22" s="2658"/>
      <c r="AH22" s="2655"/>
      <c r="AI22" s="2657">
        <f>(AI20)*-1</f>
        <v>0</v>
      </c>
      <c r="AJ22" s="2658"/>
      <c r="AK22" s="2658"/>
      <c r="AL22" s="2658"/>
      <c r="AM22" s="2655"/>
    </row>
    <row r="23" spans="1:40" ht="12.95" customHeight="1">
      <c r="B23" s="2634" t="s">
        <v>511</v>
      </c>
      <c r="C23" s="2635"/>
      <c r="D23" s="2635"/>
      <c r="E23" s="2635"/>
      <c r="F23" s="2635"/>
      <c r="G23" s="2635"/>
      <c r="H23" s="2635"/>
      <c r="I23" s="2635"/>
      <c r="J23" s="2635"/>
      <c r="K23" s="2635"/>
      <c r="L23" s="2635"/>
      <c r="M23" s="2635"/>
      <c r="N23" s="2635"/>
      <c r="O23" s="2635"/>
      <c r="P23" s="2635"/>
      <c r="Q23" s="2635"/>
      <c r="R23" s="2635"/>
      <c r="S23" s="2636"/>
      <c r="T23" s="2650">
        <f>T11+T22</f>
        <v>97706870.200000003</v>
      </c>
      <c r="U23" s="2628"/>
      <c r="V23" s="2628"/>
      <c r="W23" s="2628"/>
      <c r="X23" s="2628"/>
      <c r="Y23" s="2650">
        <f>Y11+Y22</f>
        <v>0</v>
      </c>
      <c r="Z23" s="2628"/>
      <c r="AA23" s="2628"/>
      <c r="AB23" s="2628"/>
      <c r="AC23" s="2628"/>
      <c r="AD23" s="2650">
        <f>AD11+AD22</f>
        <v>0</v>
      </c>
      <c r="AE23" s="2628"/>
      <c r="AF23" s="2628"/>
      <c r="AG23" s="2628"/>
      <c r="AH23" s="2628"/>
      <c r="AI23" s="2650">
        <f>AI11+AI22</f>
        <v>0</v>
      </c>
      <c r="AJ23" s="2628"/>
      <c r="AK23" s="2628"/>
      <c r="AL23" s="2628"/>
      <c r="AM23" s="2628"/>
    </row>
    <row r="24" spans="1:40" ht="12.95" customHeight="1">
      <c r="B24" s="2634" t="s">
        <v>978</v>
      </c>
      <c r="C24" s="2635"/>
      <c r="D24" s="2635"/>
      <c r="E24" s="2635"/>
      <c r="F24" s="2635"/>
      <c r="G24" s="2635"/>
      <c r="H24" s="2635"/>
      <c r="I24" s="2635"/>
      <c r="J24" s="2635"/>
      <c r="K24" s="2635"/>
      <c r="L24" s="2635"/>
      <c r="M24" s="2635"/>
      <c r="N24" s="2635"/>
      <c r="O24" s="2635"/>
      <c r="P24" s="2635"/>
      <c r="Q24" s="2635"/>
      <c r="R24" s="2635"/>
      <c r="S24" s="2636"/>
      <c r="T24" s="2638">
        <f>Application!AJ1052</f>
        <v>145097045.94</v>
      </c>
      <c r="U24" s="2649"/>
      <c r="V24" s="2649"/>
      <c r="W24" s="2649"/>
      <c r="X24" s="2649"/>
      <c r="Y24" s="2649"/>
      <c r="Z24" s="2649"/>
      <c r="AA24" s="2649"/>
      <c r="AB24" s="2649"/>
      <c r="AC24" s="2649"/>
      <c r="AD24" s="2649"/>
      <c r="AE24" s="2649"/>
      <c r="AF24" s="2649"/>
      <c r="AG24" s="2649"/>
      <c r="AH24" s="2649"/>
      <c r="AI24" s="2649"/>
      <c r="AJ24" s="2649"/>
      <c r="AK24" s="2649"/>
      <c r="AL24" s="2649"/>
      <c r="AM24" s="2650"/>
    </row>
    <row r="25" spans="1:40" ht="12.95" customHeight="1">
      <c r="B25" s="2681" t="s">
        <v>1372</v>
      </c>
      <c r="C25" s="2682"/>
      <c r="D25" s="2682"/>
      <c r="E25" s="2682"/>
      <c r="F25" s="2682"/>
      <c r="G25" s="2682"/>
      <c r="H25" s="2682"/>
      <c r="I25" s="2682"/>
      <c r="J25" s="2682"/>
      <c r="K25" s="2682"/>
      <c r="L25" s="2682"/>
      <c r="M25" s="2682"/>
      <c r="N25" s="2682"/>
      <c r="O25" s="2682"/>
      <c r="P25" s="2682"/>
      <c r="Q25" s="2682"/>
      <c r="R25" s="2682"/>
      <c r="S25" s="2683"/>
      <c r="T25" s="2663">
        <f>IF(OR(Application!T196="yes",Application!T195="yes"),1.3,1)</f>
        <v>1.3</v>
      </c>
      <c r="U25" s="2664"/>
      <c r="V25" s="2664"/>
      <c r="W25" s="2664"/>
      <c r="X25" s="2664"/>
      <c r="Y25" s="2663">
        <v>1</v>
      </c>
      <c r="Z25" s="2664"/>
      <c r="AA25" s="2664"/>
      <c r="AB25" s="2664"/>
      <c r="AC25" s="2664"/>
      <c r="AD25" s="2663">
        <v>1</v>
      </c>
      <c r="AE25" s="2664"/>
      <c r="AF25" s="2664"/>
      <c r="AG25" s="2664"/>
      <c r="AH25" s="2665"/>
      <c r="AI25" s="2663">
        <v>1</v>
      </c>
      <c r="AJ25" s="2664"/>
      <c r="AK25" s="2664"/>
      <c r="AL25" s="2664"/>
      <c r="AM25" s="2665"/>
    </row>
    <row r="26" spans="1:40" ht="12.95" customHeight="1">
      <c r="B26" s="2634" t="s">
        <v>512</v>
      </c>
      <c r="C26" s="2635"/>
      <c r="D26" s="2635"/>
      <c r="E26" s="2635"/>
      <c r="F26" s="2635"/>
      <c r="G26" s="2635"/>
      <c r="H26" s="2635"/>
      <c r="I26" s="2635"/>
      <c r="J26" s="2635"/>
      <c r="K26" s="2635"/>
      <c r="L26" s="2635"/>
      <c r="M26" s="2635"/>
      <c r="N26" s="2635"/>
      <c r="O26" s="2635"/>
      <c r="P26" s="2635"/>
      <c r="Q26" s="2635"/>
      <c r="R26" s="2635"/>
      <c r="S26" s="2636"/>
      <c r="T26" s="2650">
        <f>T23*T25</f>
        <v>127018931.26000001</v>
      </c>
      <c r="U26" s="2628"/>
      <c r="V26" s="2628"/>
      <c r="W26" s="2628"/>
      <c r="X26" s="2628"/>
      <c r="Y26" s="2650">
        <f>Y23*Y25</f>
        <v>0</v>
      </c>
      <c r="Z26" s="2628"/>
      <c r="AA26" s="2628"/>
      <c r="AB26" s="2628"/>
      <c r="AC26" s="2628"/>
      <c r="AD26" s="2650">
        <f>AD23*AD25</f>
        <v>0</v>
      </c>
      <c r="AE26" s="2628"/>
      <c r="AF26" s="2628"/>
      <c r="AG26" s="2628"/>
      <c r="AH26" s="2628"/>
      <c r="AI26" s="2650">
        <f>AI23*AI25</f>
        <v>0</v>
      </c>
      <c r="AJ26" s="2628"/>
      <c r="AK26" s="2628"/>
      <c r="AL26" s="2628"/>
      <c r="AM26" s="2628"/>
    </row>
    <row r="27" spans="1:40" ht="12.95" customHeight="1">
      <c r="A27" s="441"/>
      <c r="B27" s="2684" t="s">
        <v>426</v>
      </c>
      <c r="C27" s="2685"/>
      <c r="D27" s="2685"/>
      <c r="E27" s="2685"/>
      <c r="F27" s="2685"/>
      <c r="G27" s="2685"/>
      <c r="H27" s="2685"/>
      <c r="I27" s="2685"/>
      <c r="J27" s="2685"/>
      <c r="K27" s="2685"/>
      <c r="L27" s="2685"/>
      <c r="M27" s="2685"/>
      <c r="N27" s="2685"/>
      <c r="O27" s="2685"/>
      <c r="P27" s="2685"/>
      <c r="Q27" s="2685"/>
      <c r="R27" s="2685"/>
      <c r="S27" s="2686"/>
      <c r="T27" s="2661">
        <f>Application!$AG$445</f>
        <v>1</v>
      </c>
      <c r="U27" s="2662"/>
      <c r="V27" s="2662"/>
      <c r="W27" s="2662"/>
      <c r="X27" s="2662"/>
      <c r="Y27" s="2661">
        <f>Application!$AG$445</f>
        <v>1</v>
      </c>
      <c r="Z27" s="2662"/>
      <c r="AA27" s="2662"/>
      <c r="AB27" s="2662"/>
      <c r="AC27" s="2662"/>
      <c r="AD27" s="2661">
        <f>Application!$AG$445</f>
        <v>1</v>
      </c>
      <c r="AE27" s="2662"/>
      <c r="AF27" s="2662"/>
      <c r="AG27" s="2662"/>
      <c r="AH27" s="2662"/>
      <c r="AI27" s="2661">
        <f>Application!$AG$445</f>
        <v>1</v>
      </c>
      <c r="AJ27" s="2662"/>
      <c r="AK27" s="2662"/>
      <c r="AL27" s="2662"/>
      <c r="AM27" s="2662"/>
    </row>
    <row r="28" spans="1:40" ht="12.95" customHeight="1">
      <c r="A28" s="435"/>
      <c r="B28" s="2634" t="s">
        <v>513</v>
      </c>
      <c r="C28" s="2635"/>
      <c r="D28" s="2635"/>
      <c r="E28" s="2635"/>
      <c r="F28" s="2635"/>
      <c r="G28" s="2635"/>
      <c r="H28" s="2635"/>
      <c r="I28" s="2635"/>
      <c r="J28" s="2635"/>
      <c r="K28" s="2635"/>
      <c r="L28" s="2635"/>
      <c r="M28" s="2635"/>
      <c r="N28" s="2635"/>
      <c r="O28" s="2635"/>
      <c r="P28" s="2635"/>
      <c r="Q28" s="2635"/>
      <c r="R28" s="2635"/>
      <c r="S28" s="2636"/>
      <c r="T28" s="2650">
        <f>IF(ISERROR((T26*T27)),0,(T26*T27))</f>
        <v>127018931.26000001</v>
      </c>
      <c r="U28" s="2628"/>
      <c r="V28" s="2628"/>
      <c r="W28" s="2628"/>
      <c r="X28" s="2628"/>
      <c r="Y28" s="2650">
        <f>IF(ISERROR((Y26*Y27)),0,(Y26*Y27))</f>
        <v>0</v>
      </c>
      <c r="Z28" s="2628"/>
      <c r="AA28" s="2628"/>
      <c r="AB28" s="2628"/>
      <c r="AC28" s="2628"/>
      <c r="AD28" s="2650">
        <f>IF(ISERROR((AD26*AD27)),0,(AD26*AD27))</f>
        <v>0</v>
      </c>
      <c r="AE28" s="2628"/>
      <c r="AF28" s="2628"/>
      <c r="AG28" s="2628"/>
      <c r="AH28" s="2628"/>
      <c r="AI28" s="2650">
        <f>IF(ISERROR((AI26*AI27)),0,(AI26*AI27))</f>
        <v>0</v>
      </c>
      <c r="AJ28" s="2628"/>
      <c r="AK28" s="2628"/>
      <c r="AL28" s="2628"/>
      <c r="AM28" s="2628"/>
    </row>
    <row r="29" spans="1:40" ht="12.95" customHeight="1">
      <c r="B29" s="2634" t="s">
        <v>530</v>
      </c>
      <c r="C29" s="2635"/>
      <c r="D29" s="2635"/>
      <c r="E29" s="2635"/>
      <c r="F29" s="2635"/>
      <c r="G29" s="2635"/>
      <c r="H29" s="2635"/>
      <c r="I29" s="2635"/>
      <c r="J29" s="2635"/>
      <c r="K29" s="2635"/>
      <c r="L29" s="2635"/>
      <c r="M29" s="2635"/>
      <c r="N29" s="2635"/>
      <c r="O29" s="2635"/>
      <c r="P29" s="2635"/>
      <c r="Q29" s="2635"/>
      <c r="R29" s="2635"/>
      <c r="S29" s="2636"/>
      <c r="T29" s="2638">
        <f>T28+Y28+AD28+AI28</f>
        <v>127018931.26000001</v>
      </c>
      <c r="U29" s="2649"/>
      <c r="V29" s="2649"/>
      <c r="W29" s="2649"/>
      <c r="X29" s="2649"/>
      <c r="Y29" s="2649"/>
      <c r="Z29" s="2649"/>
      <c r="AA29" s="2649"/>
      <c r="AB29" s="2649"/>
      <c r="AC29" s="2649"/>
      <c r="AD29" s="2649"/>
      <c r="AE29" s="2649"/>
      <c r="AF29" s="2649"/>
      <c r="AG29" s="2649"/>
      <c r="AH29" s="2649"/>
      <c r="AI29" s="2649"/>
      <c r="AJ29" s="2649"/>
      <c r="AK29" s="2649"/>
      <c r="AL29" s="2649"/>
      <c r="AM29" s="2650"/>
    </row>
    <row r="30" spans="1:40" ht="12.95" customHeight="1">
      <c r="B30" s="2654" t="s">
        <v>1374</v>
      </c>
      <c r="C30" s="2654"/>
      <c r="D30" s="2654"/>
      <c r="E30" s="2654"/>
      <c r="F30" s="2654"/>
      <c r="G30" s="2654"/>
      <c r="H30" s="2654"/>
      <c r="I30" s="2654"/>
      <c r="J30" s="2654"/>
      <c r="K30" s="2654"/>
      <c r="L30" s="2654"/>
      <c r="M30" s="2654"/>
      <c r="N30" s="2654"/>
      <c r="O30" s="2654"/>
      <c r="P30" s="2654"/>
      <c r="Q30" s="2654"/>
      <c r="R30" s="2654"/>
      <c r="S30" s="2654"/>
      <c r="T30" s="2654"/>
      <c r="U30" s="2654"/>
      <c r="V30" s="2654"/>
      <c r="W30" s="2654"/>
      <c r="X30" s="2654"/>
      <c r="Y30" s="2654"/>
      <c r="Z30" s="2654"/>
      <c r="AA30" s="2654"/>
      <c r="AB30" s="2654"/>
      <c r="AC30" s="2654"/>
      <c r="AD30" s="2654"/>
      <c r="AE30" s="2654"/>
      <c r="AF30" s="2654"/>
      <c r="AG30" s="2654"/>
      <c r="AH30" s="2654"/>
      <c r="AI30" s="2654"/>
      <c r="AJ30" s="2654"/>
      <c r="AK30" s="2654"/>
      <c r="AL30" s="2654"/>
      <c r="AM30" s="2654"/>
    </row>
    <row r="31" spans="1:40" ht="12.95" customHeight="1">
      <c r="B31" s="2654" t="s">
        <v>1373</v>
      </c>
      <c r="C31" s="2654"/>
      <c r="D31" s="2654"/>
      <c r="E31" s="2654"/>
      <c r="F31" s="2654"/>
      <c r="G31" s="2654"/>
      <c r="H31" s="2654"/>
      <c r="I31" s="2654"/>
      <c r="J31" s="2654"/>
      <c r="K31" s="2654"/>
      <c r="L31" s="2654"/>
      <c r="M31" s="2654"/>
      <c r="N31" s="2654"/>
      <c r="O31" s="2654"/>
      <c r="P31" s="2654"/>
      <c r="Q31" s="2654"/>
      <c r="R31" s="2654"/>
      <c r="S31" s="2654"/>
      <c r="T31" s="2654"/>
      <c r="U31" s="2654"/>
      <c r="V31" s="2654"/>
      <c r="W31" s="2654"/>
      <c r="X31" s="2654"/>
      <c r="Y31" s="2654"/>
      <c r="Z31" s="2654"/>
      <c r="AA31" s="2654"/>
      <c r="AB31" s="2654"/>
      <c r="AC31" s="2654"/>
      <c r="AD31" s="2654"/>
      <c r="AE31" s="2654"/>
      <c r="AF31" s="2654"/>
      <c r="AG31" s="2654"/>
      <c r="AH31" s="2654"/>
      <c r="AI31" s="2654"/>
      <c r="AJ31" s="2654"/>
      <c r="AK31" s="2654"/>
      <c r="AL31" s="2654"/>
      <c r="AM31" s="2654"/>
      <c r="AN31" s="552"/>
    </row>
    <row r="32" spans="1:40" ht="12.95" customHeight="1">
      <c r="B32" s="466"/>
      <c r="C32" s="545" t="s">
        <v>387</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583</v>
      </c>
      <c r="C34" s="435" t="s">
        <v>575</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51" t="s">
        <v>1254</v>
      </c>
      <c r="Z35" s="2651"/>
      <c r="AA35" s="2651"/>
      <c r="AB35" s="2651"/>
      <c r="AC35" s="2651"/>
      <c r="AD35" s="2652" t="s">
        <v>369</v>
      </c>
      <c r="AE35" s="2652"/>
      <c r="AF35" s="2652"/>
      <c r="AG35" s="2652"/>
      <c r="AH35" s="2652"/>
    </row>
    <row r="36" spans="1:76" ht="12.95" customHeight="1">
      <c r="B36" s="438"/>
      <c r="X36" s="443"/>
      <c r="Y36" s="2651"/>
      <c r="Z36" s="2651"/>
      <c r="AA36" s="2651"/>
      <c r="AB36" s="2651"/>
      <c r="AC36" s="2651"/>
      <c r="AD36" s="2652"/>
      <c r="AE36" s="2652"/>
      <c r="AF36" s="2652"/>
      <c r="AG36" s="2652"/>
      <c r="AH36" s="2652"/>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51"/>
      <c r="Z37" s="2651"/>
      <c r="AA37" s="2651"/>
      <c r="AB37" s="2651"/>
      <c r="AC37" s="2651"/>
      <c r="AD37" s="2652"/>
      <c r="AE37" s="2652"/>
      <c r="AF37" s="2652"/>
      <c r="AG37" s="2652"/>
      <c r="AH37" s="2652"/>
    </row>
    <row r="38" spans="1:76" ht="12.95" customHeight="1">
      <c r="A38" s="435"/>
      <c r="B38" s="2634" t="s">
        <v>513</v>
      </c>
      <c r="C38" s="2635"/>
      <c r="D38" s="2635"/>
      <c r="E38" s="2635"/>
      <c r="F38" s="2635"/>
      <c r="G38" s="2635"/>
      <c r="H38" s="2635"/>
      <c r="I38" s="2635"/>
      <c r="J38" s="2635"/>
      <c r="K38" s="2635"/>
      <c r="L38" s="2635"/>
      <c r="M38" s="2635"/>
      <c r="N38" s="2635"/>
      <c r="O38" s="2635"/>
      <c r="P38" s="2635"/>
      <c r="Q38" s="2635"/>
      <c r="R38" s="2635"/>
      <c r="S38" s="2635"/>
      <c r="T38" s="2635"/>
      <c r="U38" s="2635"/>
      <c r="V38" s="2635"/>
      <c r="W38" s="2635"/>
      <c r="X38" s="2636"/>
      <c r="Y38" s="2628">
        <f>IF(T24&gt;=(T23+Y23+AD23+AI23),T28+Y28,0)</f>
        <v>127018931.26000001</v>
      </c>
      <c r="Z38" s="2628"/>
      <c r="AA38" s="2628"/>
      <c r="AB38" s="2628"/>
      <c r="AC38" s="2628"/>
      <c r="AD38" s="2628">
        <f>IF(T24&gt;=(T23+Y23+AD23+AI23),AD28+AI28,0)</f>
        <v>0</v>
      </c>
      <c r="AE38" s="2628"/>
      <c r="AF38" s="2628"/>
      <c r="AG38" s="2628"/>
      <c r="AH38" s="2628"/>
    </row>
    <row r="39" spans="1:76" ht="12.95" customHeight="1">
      <c r="B39" s="2634" t="s">
        <v>1879</v>
      </c>
      <c r="C39" s="2635"/>
      <c r="D39" s="2635"/>
      <c r="E39" s="2635"/>
      <c r="F39" s="2635"/>
      <c r="G39" s="2635"/>
      <c r="H39" s="2635"/>
      <c r="I39" s="2635"/>
      <c r="J39" s="2635"/>
      <c r="K39" s="2635"/>
      <c r="L39" s="2635"/>
      <c r="M39" s="2635"/>
      <c r="N39" s="2635"/>
      <c r="O39" s="2635"/>
      <c r="P39" s="2635"/>
      <c r="Q39" s="2635"/>
      <c r="R39" s="2635"/>
      <c r="S39" s="2635"/>
      <c r="T39" s="2635"/>
      <c r="U39" s="2635"/>
      <c r="V39" s="2635"/>
      <c r="W39" s="2635"/>
      <c r="X39" s="2636"/>
      <c r="Y39" s="2653">
        <v>0.04</v>
      </c>
      <c r="Z39" s="2653"/>
      <c r="AA39" s="2653"/>
      <c r="AB39" s="2653"/>
      <c r="AC39" s="2653"/>
      <c r="AD39" s="2653">
        <v>0.04</v>
      </c>
      <c r="AE39" s="2653"/>
      <c r="AF39" s="2653"/>
      <c r="AG39" s="2653"/>
      <c r="AH39" s="2653"/>
    </row>
    <row r="40" spans="1:76" ht="12.95" customHeight="1">
      <c r="A40" s="435"/>
      <c r="B40" s="2634" t="s">
        <v>649</v>
      </c>
      <c r="C40" s="2635"/>
      <c r="D40" s="2635"/>
      <c r="E40" s="2635"/>
      <c r="F40" s="2635"/>
      <c r="G40" s="2635"/>
      <c r="H40" s="2635"/>
      <c r="I40" s="2635"/>
      <c r="J40" s="2635"/>
      <c r="K40" s="2635"/>
      <c r="L40" s="2635"/>
      <c r="M40" s="2635"/>
      <c r="N40" s="2635"/>
      <c r="O40" s="2635"/>
      <c r="P40" s="2635"/>
      <c r="Q40" s="2635"/>
      <c r="R40" s="2635"/>
      <c r="S40" s="2635"/>
      <c r="T40" s="2635"/>
      <c r="U40" s="2635"/>
      <c r="V40" s="2635"/>
      <c r="W40" s="2635"/>
      <c r="X40" s="2636"/>
      <c r="Y40" s="2628">
        <f>ROUND(Y38*Y39,0)</f>
        <v>5080757</v>
      </c>
      <c r="Z40" s="2628"/>
      <c r="AA40" s="2628"/>
      <c r="AB40" s="2628"/>
      <c r="AC40" s="2628"/>
      <c r="AD40" s="2650">
        <f>ROUND(AD38*AD39,0)</f>
        <v>0</v>
      </c>
      <c r="AE40" s="2628"/>
      <c r="AF40" s="2628"/>
      <c r="AG40" s="2628"/>
      <c r="AH40" s="2628"/>
    </row>
    <row r="41" spans="1:76" ht="12.95" customHeight="1">
      <c r="B41" s="2634" t="s">
        <v>650</v>
      </c>
      <c r="C41" s="2635"/>
      <c r="D41" s="2635"/>
      <c r="E41" s="2635"/>
      <c r="F41" s="2635"/>
      <c r="G41" s="2635"/>
      <c r="H41" s="2635"/>
      <c r="I41" s="2635"/>
      <c r="J41" s="2635"/>
      <c r="K41" s="2635"/>
      <c r="L41" s="2635"/>
      <c r="M41" s="2635"/>
      <c r="N41" s="2635"/>
      <c r="O41" s="2635"/>
      <c r="P41" s="2635"/>
      <c r="Q41" s="2635"/>
      <c r="R41" s="2635"/>
      <c r="S41" s="2635"/>
      <c r="T41" s="2635"/>
      <c r="U41" s="2635"/>
      <c r="V41" s="2635"/>
      <c r="W41" s="2635"/>
      <c r="X41" s="2636"/>
      <c r="Y41" s="2638">
        <f>Y40+AD40</f>
        <v>5080757</v>
      </c>
      <c r="Z41" s="2649"/>
      <c r="AA41" s="2649"/>
      <c r="AB41" s="2649"/>
      <c r="AC41" s="2649"/>
      <c r="AD41" s="2649"/>
      <c r="AE41" s="2649"/>
      <c r="AF41" s="2649"/>
      <c r="AG41" s="2649"/>
      <c r="AH41" s="2650"/>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48" t="s">
        <v>1384</v>
      </c>
      <c r="B44" s="2648"/>
      <c r="C44" s="2648"/>
      <c r="D44" s="2648"/>
      <c r="E44" s="2648"/>
      <c r="F44" s="2648"/>
      <c r="G44" s="2648"/>
      <c r="H44" s="2648"/>
      <c r="I44" s="2648"/>
      <c r="J44" s="2648"/>
      <c r="K44" s="2648"/>
      <c r="L44" s="2648"/>
      <c r="M44" s="2648"/>
      <c r="N44" s="2648"/>
      <c r="O44" s="2648"/>
      <c r="P44" s="2648"/>
      <c r="Q44" s="2648"/>
      <c r="R44" s="2648"/>
      <c r="S44" s="2648"/>
      <c r="T44" s="2648"/>
      <c r="U44" s="2648"/>
      <c r="V44" s="2648"/>
      <c r="W44" s="2648"/>
      <c r="X44" s="2648"/>
      <c r="Y44" s="2648"/>
      <c r="Z44" s="2648"/>
      <c r="AA44" s="2648"/>
      <c r="AB44" s="2648"/>
      <c r="AC44" s="2648"/>
      <c r="AD44" s="2648"/>
      <c r="AE44" s="2648"/>
      <c r="AF44" s="2648"/>
      <c r="AG44" s="2648"/>
      <c r="AH44" s="2648"/>
      <c r="AI44" s="2648"/>
      <c r="AJ44" s="2648"/>
      <c r="AK44" s="2648"/>
      <c r="AL44" s="2648"/>
      <c r="AM44" s="2648"/>
      <c r="AN44" s="2648"/>
      <c r="AO44" s="2648"/>
      <c r="AP44" s="2648"/>
      <c r="AQ44" s="2648"/>
      <c r="AR44" s="2648"/>
      <c r="AS44" s="2648"/>
      <c r="AT44" s="2648"/>
      <c r="AU44" s="2648"/>
      <c r="AV44" s="2648"/>
      <c r="AW44" s="2648"/>
      <c r="AX44" s="2648"/>
      <c r="AY44" s="2648"/>
      <c r="AZ44" s="2648"/>
      <c r="BA44" s="2648"/>
      <c r="BB44" s="2648"/>
      <c r="BC44" s="2648"/>
      <c r="BD44" s="2648"/>
      <c r="BE44" s="2648"/>
      <c r="BF44" s="2648"/>
      <c r="BG44" s="2648"/>
      <c r="BH44" s="2648"/>
      <c r="BI44" s="2648"/>
      <c r="BJ44" s="2648"/>
      <c r="BK44" s="2648"/>
      <c r="BL44" s="2648"/>
      <c r="BM44" s="2648"/>
      <c r="BN44" s="2648"/>
      <c r="BO44" s="2648"/>
      <c r="BP44" s="2648"/>
      <c r="BQ44" s="2648"/>
      <c r="BR44" s="2648"/>
      <c r="BS44" s="2648"/>
      <c r="BT44" s="2648"/>
      <c r="BU44" s="2648"/>
      <c r="BV44" s="2648"/>
      <c r="BW44" s="2648"/>
      <c r="BX44" s="2648"/>
    </row>
    <row r="45" spans="1:76" s="218" customFormat="1" ht="12.95" customHeight="1" thickTop="1"/>
    <row r="46" spans="1:76" ht="12.95" customHeight="1">
      <c r="A46" s="435" t="s">
        <v>593</v>
      </c>
      <c r="C46" s="435" t="s">
        <v>282</v>
      </c>
    </row>
    <row r="47" spans="1:76" ht="12.95" customHeight="1">
      <c r="D47" s="435" t="s">
        <v>283</v>
      </c>
      <c r="AB47" s="2642">
        <f>'Sources and Uses Budget'!B105-MAX(IF('Sources and Uses Budget'!B15="",0,'Sources and Uses Budget'!B15),IF(Application!AG394="",0,Application!AG394))</f>
        <v>110111142</v>
      </c>
      <c r="AC47" s="2643"/>
      <c r="AD47" s="2643"/>
      <c r="AE47" s="2643"/>
      <c r="AF47" s="2644"/>
    </row>
    <row r="48" spans="1:76" ht="12.95" customHeight="1">
      <c r="D48" s="435" t="s">
        <v>21</v>
      </c>
      <c r="AB48" s="2642">
        <f>Application!AO639-MAX(IF('Sources and Uses Budget'!B15="",0,'Sources and Uses Budget'!B15),IF(Application!AG394="",0,Application!AG394))</f>
        <v>60900374</v>
      </c>
      <c r="AC48" s="2643"/>
      <c r="AD48" s="2643"/>
      <c r="AE48" s="2643"/>
      <c r="AF48" s="2644"/>
    </row>
    <row r="49" spans="1:76" ht="12.95" customHeight="1">
      <c r="D49" s="435" t="s">
        <v>91</v>
      </c>
      <c r="AB49" s="2642">
        <f>AB47-AB48</f>
        <v>49210768</v>
      </c>
      <c r="AC49" s="2643"/>
      <c r="AD49" s="2643"/>
      <c r="AE49" s="2643"/>
      <c r="AF49" s="2644"/>
    </row>
    <row r="50" spans="1:76" ht="12.95" customHeight="1">
      <c r="D50" s="435" t="s">
        <v>688</v>
      </c>
      <c r="AA50" s="446"/>
      <c r="AB50" s="2630">
        <v>0.93511269584050005</v>
      </c>
      <c r="AC50" s="2631"/>
      <c r="AD50" s="2631"/>
      <c r="AE50" s="2631"/>
      <c r="AF50" s="2632"/>
    </row>
    <row r="51" spans="1:76" s="448" customFormat="1" ht="12.95" customHeight="1">
      <c r="A51" s="433"/>
      <c r="B51" s="433"/>
      <c r="C51" s="433"/>
      <c r="D51" s="433"/>
      <c r="E51" s="2641" t="s">
        <v>2039</v>
      </c>
      <c r="F51" s="2641"/>
      <c r="G51" s="2641"/>
      <c r="H51" s="2641"/>
      <c r="I51" s="2641"/>
      <c r="J51" s="2641"/>
      <c r="K51" s="2641"/>
      <c r="L51" s="2641"/>
      <c r="M51" s="2641"/>
      <c r="N51" s="2641"/>
      <c r="O51" s="2641"/>
      <c r="P51" s="2641"/>
      <c r="Q51" s="2641"/>
      <c r="R51" s="2641"/>
      <c r="S51" s="2641"/>
      <c r="T51" s="2641"/>
      <c r="U51" s="2641"/>
      <c r="V51" s="2641"/>
      <c r="W51" s="2641"/>
      <c r="X51" s="2641"/>
      <c r="Y51" s="2641"/>
      <c r="Z51" s="2641"/>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41"/>
      <c r="F52" s="2641"/>
      <c r="G52" s="2641"/>
      <c r="H52" s="2641"/>
      <c r="I52" s="2641"/>
      <c r="J52" s="2641"/>
      <c r="K52" s="2641"/>
      <c r="L52" s="2641"/>
      <c r="M52" s="2641"/>
      <c r="N52" s="2641"/>
      <c r="O52" s="2641"/>
      <c r="P52" s="2641"/>
      <c r="Q52" s="2641"/>
      <c r="R52" s="2641"/>
      <c r="S52" s="2641"/>
      <c r="T52" s="2641"/>
      <c r="U52" s="2641"/>
      <c r="V52" s="2641"/>
      <c r="W52" s="2641"/>
      <c r="X52" s="2641"/>
      <c r="Y52" s="2641"/>
      <c r="Z52" s="2641"/>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332</v>
      </c>
      <c r="AB54" s="2642">
        <f>ROUND(IF(ISERROR((AB49/AB50)),0,(AB49/AB50)),0)</f>
        <v>52625494</v>
      </c>
      <c r="AC54" s="2643"/>
      <c r="AD54" s="2643"/>
      <c r="AE54" s="2643"/>
      <c r="AF54" s="2644"/>
    </row>
    <row r="55" spans="1:76" ht="12.95" customHeight="1">
      <c r="D55" s="435" t="s">
        <v>333</v>
      </c>
      <c r="AB55" s="2642">
        <f>(AB54/10)</f>
        <v>5262549.4000000004</v>
      </c>
      <c r="AC55" s="2643"/>
      <c r="AD55" s="2643"/>
      <c r="AE55" s="2643"/>
      <c r="AF55" s="2644"/>
    </row>
    <row r="56" spans="1:76" ht="12.95" customHeight="1">
      <c r="D56" s="435" t="s">
        <v>764</v>
      </c>
      <c r="AB56" s="2645">
        <f>(IF((Y41&lt;AB55),Y41,AB55))</f>
        <v>5080757</v>
      </c>
      <c r="AC56" s="2646"/>
      <c r="AD56" s="2646"/>
      <c r="AE56" s="2646"/>
      <c r="AF56" s="2647"/>
    </row>
    <row r="57" spans="1:76" ht="12.95" customHeight="1">
      <c r="D57" s="435" t="s">
        <v>763</v>
      </c>
      <c r="AB57" s="2642">
        <f>ROUND((10*AB56*AB50),0)</f>
        <v>47510804</v>
      </c>
      <c r="AC57" s="2643"/>
      <c r="AD57" s="2643"/>
      <c r="AE57" s="2643"/>
      <c r="AF57" s="2644"/>
    </row>
    <row r="58" spans="1:76" ht="12.95" customHeight="1">
      <c r="D58" s="435"/>
      <c r="AB58" s="454"/>
      <c r="AC58" s="454"/>
      <c r="AD58" s="454"/>
      <c r="AE58" s="454"/>
      <c r="AF58" s="454"/>
    </row>
    <row r="59" spans="1:76" ht="12.95" customHeight="1">
      <c r="D59" s="435" t="s">
        <v>762</v>
      </c>
      <c r="AB59" s="2626">
        <f>AB49-AB57</f>
        <v>1699964</v>
      </c>
      <c r="AC59" s="2626"/>
      <c r="AD59" s="2626"/>
      <c r="AE59" s="2626"/>
      <c r="AF59" s="2626"/>
    </row>
    <row r="60" spans="1:76" ht="12.95" customHeight="1">
      <c r="D60" s="435"/>
      <c r="AB60" s="454"/>
      <c r="AC60" s="454"/>
      <c r="AD60" s="454"/>
      <c r="AE60" s="454"/>
      <c r="AF60" s="454"/>
    </row>
    <row r="61" spans="1:76" s="218" customFormat="1" ht="12.95" customHeight="1" thickBot="1">
      <c r="A61" s="2648" t="str">
        <f>IF(Application!AP205="yes","Farmworker State Credit", "State Credit" )</f>
        <v>State Credit</v>
      </c>
      <c r="B61" s="2648"/>
      <c r="C61" s="2648"/>
      <c r="D61" s="2648"/>
      <c r="E61" s="2648"/>
      <c r="F61" s="2648"/>
      <c r="G61" s="2648"/>
      <c r="H61" s="2648"/>
      <c r="I61" s="2648"/>
      <c r="J61" s="2648"/>
      <c r="K61" s="2648"/>
      <c r="L61" s="2648"/>
      <c r="M61" s="2648"/>
      <c r="N61" s="2648"/>
      <c r="O61" s="2648"/>
      <c r="P61" s="2648"/>
      <c r="Q61" s="2648"/>
      <c r="R61" s="2648"/>
      <c r="S61" s="2648"/>
      <c r="T61" s="2648"/>
      <c r="U61" s="2648"/>
      <c r="V61" s="2648"/>
      <c r="W61" s="2648"/>
      <c r="X61" s="2648"/>
      <c r="Y61" s="2648"/>
      <c r="Z61" s="2648"/>
      <c r="AA61" s="2648"/>
      <c r="AB61" s="2648"/>
      <c r="AC61" s="2648"/>
      <c r="AD61" s="2648"/>
      <c r="AE61" s="2648"/>
      <c r="AF61" s="2648"/>
      <c r="AG61" s="2648"/>
      <c r="AH61" s="2648"/>
      <c r="AI61" s="2648"/>
      <c r="AJ61" s="2648"/>
      <c r="AK61" s="2648"/>
      <c r="AL61" s="2648"/>
      <c r="AM61" s="2648"/>
      <c r="AN61" s="2648"/>
      <c r="AO61" s="2648"/>
      <c r="AP61" s="2648"/>
      <c r="AQ61" s="2648"/>
      <c r="AR61" s="2648"/>
      <c r="AS61" s="2648"/>
      <c r="AT61" s="2648"/>
      <c r="AU61" s="2648"/>
      <c r="AV61" s="2648"/>
      <c r="AW61" s="2648"/>
      <c r="AX61" s="2648"/>
      <c r="AY61" s="2648"/>
      <c r="AZ61" s="2648"/>
      <c r="BA61" s="2648"/>
      <c r="BB61" s="2648"/>
      <c r="BC61" s="2648"/>
      <c r="BD61" s="2648"/>
      <c r="BE61" s="2648"/>
      <c r="BF61" s="2648"/>
      <c r="BG61" s="2648"/>
      <c r="BH61" s="2648"/>
      <c r="BI61" s="2648"/>
      <c r="BJ61" s="2648"/>
      <c r="BK61" s="2648"/>
      <c r="BL61" s="2648"/>
      <c r="BM61" s="2648"/>
      <c r="BN61" s="2648"/>
      <c r="BO61" s="2648"/>
      <c r="BP61" s="2648"/>
      <c r="BQ61" s="2648"/>
      <c r="BR61" s="2648"/>
      <c r="BS61" s="2648"/>
      <c r="BT61" s="2648"/>
      <c r="BU61" s="2648"/>
      <c r="BV61" s="2648"/>
      <c r="BW61" s="2648"/>
      <c r="BX61" s="2648"/>
    </row>
    <row r="62" spans="1:76" s="218" customFormat="1" ht="12.95" customHeight="1" thickTop="1"/>
    <row r="63" spans="1:76" ht="12.95" customHeight="1">
      <c r="A63" s="435" t="s">
        <v>596</v>
      </c>
      <c r="C63" s="219" t="s">
        <v>1355</v>
      </c>
      <c r="Y63" s="2637" t="s">
        <v>1001</v>
      </c>
      <c r="Z63" s="2637"/>
      <c r="AA63" s="2637"/>
      <c r="AB63" s="2637"/>
      <c r="AC63" s="2637"/>
      <c r="AD63" s="2637" t="s">
        <v>369</v>
      </c>
      <c r="AE63" s="2637"/>
      <c r="AF63" s="2637"/>
      <c r="AG63" s="2637"/>
      <c r="AH63" s="2637"/>
    </row>
    <row r="64" spans="1:76" ht="12.95" customHeight="1">
      <c r="C64" s="435"/>
      <c r="D64" s="408" t="s">
        <v>1356</v>
      </c>
      <c r="E64" s="451"/>
      <c r="F64" s="451"/>
      <c r="G64" s="451"/>
      <c r="H64" s="451"/>
      <c r="I64" s="451"/>
      <c r="J64" s="451"/>
      <c r="K64" s="451"/>
      <c r="L64" s="451"/>
      <c r="M64" s="451"/>
      <c r="N64" s="451"/>
      <c r="O64" s="451"/>
      <c r="P64" s="451"/>
      <c r="Q64" s="451"/>
      <c r="R64" s="451"/>
      <c r="S64" s="451"/>
      <c r="T64" s="451"/>
      <c r="U64" s="451"/>
      <c r="V64" s="451"/>
      <c r="W64" s="451"/>
      <c r="X64" s="451"/>
      <c r="Y64" s="2638">
        <f>IF(Application!Z205="(select)",0,((T23*T27)+Y28))</f>
        <v>97706870.200000003</v>
      </c>
      <c r="Z64" s="2639"/>
      <c r="AA64" s="2639"/>
      <c r="AB64" s="2639"/>
      <c r="AC64" s="2640"/>
      <c r="AD64" s="2638">
        <f>IF(AND(OR(Application!D211="At-Risk",Application!D211="At-Risk and Special Needs"),Application!M358="yes"),AD28+AI28,0)</f>
        <v>0</v>
      </c>
      <c r="AE64" s="2639"/>
      <c r="AF64" s="2639"/>
      <c r="AG64" s="2639"/>
      <c r="AH64" s="2640"/>
    </row>
    <row r="65" spans="1:36" ht="12.95" customHeight="1">
      <c r="C65" s="435"/>
      <c r="E65" s="1052" t="s">
        <v>2037</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2038</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270</v>
      </c>
      <c r="E67" s="452"/>
      <c r="F67" s="452"/>
      <c r="G67" s="452"/>
      <c r="H67" s="452"/>
      <c r="I67" s="452"/>
      <c r="J67" s="452"/>
      <c r="K67" s="452"/>
      <c r="L67" s="452"/>
      <c r="M67" s="452"/>
      <c r="N67" s="452"/>
      <c r="O67" s="452"/>
      <c r="P67" s="452"/>
      <c r="Q67" s="452"/>
      <c r="R67" s="452"/>
      <c r="S67" s="452"/>
      <c r="T67" s="452"/>
      <c r="U67" s="452"/>
      <c r="V67" s="452"/>
      <c r="W67" s="452"/>
      <c r="X67" s="452"/>
      <c r="Y67" s="2627">
        <f>IF(Application!AP205="yes",0.75,IF(Application!Z204="15% set-aside",0.13,IF(Application!Z204="15% set-aside with qualifying low value rehab",0.95,0.3)))</f>
        <v>0.3</v>
      </c>
      <c r="Z67" s="2627"/>
      <c r="AA67" s="2627"/>
      <c r="AB67" s="2627"/>
      <c r="AC67" s="2627"/>
      <c r="AD67" s="2627">
        <f>IF(Application!Z204="15% set-aside with qualifying low value rehab", 0.95,0.13)</f>
        <v>0.13</v>
      </c>
      <c r="AE67" s="2627"/>
      <c r="AF67" s="2627"/>
      <c r="AG67" s="2627"/>
      <c r="AH67" s="2627"/>
    </row>
    <row r="68" spans="1:36" ht="12.95" customHeight="1">
      <c r="C68" s="435"/>
      <c r="D68" s="219" t="s">
        <v>1357</v>
      </c>
      <c r="Y68" s="2628">
        <f>ROUND(Y64*Y67,0)</f>
        <v>29312061</v>
      </c>
      <c r="Z68" s="2629"/>
      <c r="AA68" s="2629"/>
      <c r="AB68" s="2629"/>
      <c r="AC68" s="2629"/>
      <c r="AD68" s="2628">
        <f>ROUND(AD64*AD67,0)</f>
        <v>0</v>
      </c>
      <c r="AE68" s="2629"/>
      <c r="AF68" s="2629"/>
      <c r="AG68" s="2629"/>
      <c r="AH68" s="2629"/>
    </row>
    <row r="69" spans="1:36" ht="12.95" customHeight="1">
      <c r="C69" s="435"/>
      <c r="E69" s="435"/>
      <c r="AB69" s="453"/>
      <c r="AC69" s="453"/>
      <c r="AD69" s="453"/>
      <c r="AE69" s="453"/>
      <c r="AF69" s="453"/>
    </row>
    <row r="70" spans="1:36" ht="12.95" customHeight="1">
      <c r="A70" s="435" t="s">
        <v>597</v>
      </c>
      <c r="C70" s="219" t="s">
        <v>284</v>
      </c>
    </row>
    <row r="71" spans="1:36" ht="12.95" customHeight="1">
      <c r="A71" s="435"/>
      <c r="C71" s="435"/>
      <c r="D71" s="219" t="s">
        <v>1358</v>
      </c>
      <c r="AB71" s="2630">
        <v>0.79584100000000002</v>
      </c>
      <c r="AC71" s="2631"/>
      <c r="AD71" s="2631"/>
      <c r="AE71" s="2631"/>
      <c r="AF71" s="2632"/>
    </row>
    <row r="72" spans="1:36" ht="12.95" customHeight="1">
      <c r="A72" s="435"/>
      <c r="C72" s="435"/>
      <c r="D72" s="435"/>
      <c r="E72" s="2633" t="s">
        <v>1359</v>
      </c>
      <c r="F72" s="2633"/>
      <c r="G72" s="2633"/>
      <c r="H72" s="2633"/>
      <c r="I72" s="2633"/>
      <c r="J72" s="2633"/>
      <c r="K72" s="2633"/>
      <c r="L72" s="2633"/>
      <c r="M72" s="2633"/>
      <c r="N72" s="2633"/>
      <c r="O72" s="2633"/>
      <c r="P72" s="2633"/>
      <c r="Q72" s="2633"/>
      <c r="R72" s="2633"/>
      <c r="S72" s="2633"/>
      <c r="T72" s="2633"/>
      <c r="U72" s="2633"/>
      <c r="V72" s="2633"/>
      <c r="W72" s="2633"/>
      <c r="X72" s="2633"/>
      <c r="Y72" s="2633"/>
      <c r="Z72" s="2633"/>
      <c r="AA72" s="2633"/>
      <c r="AB72" s="471"/>
      <c r="AC72" s="471"/>
    </row>
    <row r="73" spans="1:36" ht="12.95" customHeight="1">
      <c r="A73" s="435"/>
      <c r="C73" s="435"/>
      <c r="D73" s="435"/>
      <c r="E73" s="2633"/>
      <c r="F73" s="2633"/>
      <c r="G73" s="2633"/>
      <c r="H73" s="2633"/>
      <c r="I73" s="2633"/>
      <c r="J73" s="2633"/>
      <c r="K73" s="2633"/>
      <c r="L73" s="2633"/>
      <c r="M73" s="2633"/>
      <c r="N73" s="2633"/>
      <c r="O73" s="2633"/>
      <c r="P73" s="2633"/>
      <c r="Q73" s="2633"/>
      <c r="R73" s="2633"/>
      <c r="S73" s="2633"/>
      <c r="T73" s="2633"/>
      <c r="U73" s="2633"/>
      <c r="V73" s="2633"/>
      <c r="W73" s="2633"/>
      <c r="X73" s="2633"/>
      <c r="Y73" s="2633"/>
      <c r="Z73" s="2633"/>
      <c r="AA73" s="2633"/>
      <c r="AB73" s="471"/>
      <c r="AC73" s="471"/>
    </row>
    <row r="74" spans="1:36" ht="12.95" customHeight="1">
      <c r="A74" s="435"/>
      <c r="C74" s="435"/>
      <c r="D74" s="435"/>
      <c r="E74" s="2633"/>
      <c r="F74" s="2633"/>
      <c r="G74" s="2633"/>
      <c r="H74" s="2633"/>
      <c r="I74" s="2633"/>
      <c r="J74" s="2633"/>
      <c r="K74" s="2633"/>
      <c r="L74" s="2633"/>
      <c r="M74" s="2633"/>
      <c r="N74" s="2633"/>
      <c r="O74" s="2633"/>
      <c r="P74" s="2633"/>
      <c r="Q74" s="2633"/>
      <c r="R74" s="2633"/>
      <c r="S74" s="2633"/>
      <c r="T74" s="2633"/>
      <c r="U74" s="2633"/>
      <c r="V74" s="2633"/>
      <c r="W74" s="2633"/>
      <c r="X74" s="2633"/>
      <c r="Y74" s="2633"/>
      <c r="Z74" s="2633"/>
      <c r="AA74" s="2633"/>
      <c r="AB74" s="471"/>
      <c r="AC74" s="471"/>
    </row>
    <row r="75" spans="1:36" ht="12.95"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2.95" customHeight="1">
      <c r="C76" s="435"/>
      <c r="D76" s="219" t="s">
        <v>1360</v>
      </c>
      <c r="AB76" s="2621">
        <f>ROUND(IF(ISERROR((AB59/AB71)),0,(AB59/AB71)),0)</f>
        <v>2136060</v>
      </c>
      <c r="AC76" s="2621"/>
      <c r="AD76" s="2621"/>
      <c r="AE76" s="2621"/>
      <c r="AF76" s="2621"/>
    </row>
    <row r="77" spans="1:36" ht="12.95" customHeight="1">
      <c r="C77" s="435"/>
      <c r="D77" s="219" t="s">
        <v>1361</v>
      </c>
      <c r="AB77" s="2622">
        <f>IF((Y68+AD68&lt;AB76),Y68+AD68,AB76)</f>
        <v>2136060</v>
      </c>
      <c r="AC77" s="2623"/>
      <c r="AD77" s="2623"/>
      <c r="AE77" s="2623"/>
      <c r="AF77" s="2624"/>
    </row>
    <row r="78" spans="1:36" ht="12.95" customHeight="1">
      <c r="C78" s="435"/>
      <c r="D78" s="219" t="s">
        <v>1362</v>
      </c>
      <c r="AB78" s="2625">
        <f>AB77*AB71</f>
        <v>1699964.1264599999</v>
      </c>
      <c r="AC78" s="2625"/>
      <c r="AD78" s="2625"/>
      <c r="AE78" s="2625"/>
      <c r="AF78" s="2625"/>
    </row>
    <row r="79" spans="1:36" ht="12.95" customHeight="1">
      <c r="C79" s="435"/>
      <c r="D79" s="435"/>
      <c r="AB79" s="456"/>
      <c r="AC79" s="456"/>
      <c r="AD79" s="456"/>
      <c r="AE79" s="456"/>
      <c r="AF79" s="456"/>
    </row>
    <row r="80" spans="1:36" ht="12.95" customHeight="1">
      <c r="D80" s="435" t="s">
        <v>762</v>
      </c>
      <c r="AB80" s="2626">
        <f>AB49-(AB57+AB78)</f>
        <v>-0.126460000872612</v>
      </c>
      <c r="AC80" s="2626"/>
      <c r="AD80" s="2626"/>
      <c r="AE80" s="2626"/>
      <c r="AF80" s="2626"/>
    </row>
    <row r="81" spans="1:78" ht="12.95" customHeight="1">
      <c r="F81" s="556"/>
      <c r="J81" s="556" t="str">
        <f>IF(AB80&gt;0,"FUNDING GAP MUST NOT EXCEED ZERO","")</f>
        <v/>
      </c>
    </row>
    <row r="82" spans="1:78" ht="12.95" customHeight="1">
      <c r="D82" s="557"/>
    </row>
    <row r="83" spans="1:78" ht="12.95" customHeight="1" thickBot="1">
      <c r="A83" s="2648"/>
      <c r="B83" s="2648"/>
      <c r="C83" s="2648"/>
      <c r="D83" s="2648"/>
      <c r="E83" s="2648"/>
      <c r="F83" s="2648"/>
      <c r="G83" s="2648"/>
      <c r="H83" s="2648"/>
      <c r="I83" s="2648"/>
      <c r="J83" s="2648"/>
      <c r="K83" s="2648"/>
      <c r="L83" s="2648"/>
      <c r="M83" s="2648"/>
      <c r="N83" s="2648"/>
      <c r="O83" s="2648"/>
      <c r="P83" s="2648"/>
      <c r="Q83" s="2648"/>
      <c r="R83" s="2648"/>
      <c r="S83" s="2648"/>
      <c r="T83" s="2648"/>
      <c r="U83" s="2648"/>
      <c r="V83" s="2648"/>
      <c r="W83" s="2648"/>
      <c r="X83" s="2648"/>
      <c r="Y83" s="2648"/>
      <c r="Z83" s="2648"/>
      <c r="AA83" s="2648"/>
      <c r="AB83" s="2648"/>
      <c r="AC83" s="2648"/>
      <c r="AD83" s="2648"/>
      <c r="AE83" s="2648"/>
      <c r="AF83" s="2648"/>
      <c r="AG83" s="2648"/>
      <c r="AH83" s="2648"/>
      <c r="AI83" s="2648"/>
      <c r="AJ83" s="2648"/>
      <c r="AK83" s="2648"/>
      <c r="AL83" s="2648"/>
      <c r="AM83" s="2648"/>
      <c r="AN83" s="2648"/>
      <c r="AO83" s="2648"/>
      <c r="AP83" s="2648"/>
      <c r="AQ83" s="2648"/>
      <c r="AR83" s="2648"/>
      <c r="AS83" s="2648"/>
      <c r="AT83" s="2648"/>
      <c r="AU83" s="2648"/>
      <c r="AV83" s="2648"/>
      <c r="AW83" s="2648"/>
      <c r="AX83" s="2648"/>
      <c r="AY83" s="2648"/>
      <c r="AZ83" s="2648"/>
      <c r="BA83" s="2648"/>
      <c r="BB83" s="2648"/>
      <c r="BC83" s="2648"/>
      <c r="BD83" s="2648"/>
      <c r="BE83" s="2648"/>
      <c r="BF83" s="2648"/>
      <c r="BG83" s="2648"/>
      <c r="BH83" s="2648"/>
      <c r="BI83" s="2648"/>
      <c r="BJ83" s="2648"/>
      <c r="BK83" s="2648"/>
      <c r="BL83" s="2648"/>
      <c r="BM83" s="2648"/>
      <c r="BN83" s="2648"/>
      <c r="BO83" s="2648"/>
      <c r="BP83" s="2648"/>
      <c r="BQ83" s="2648"/>
      <c r="BR83" s="2648"/>
      <c r="BS83" s="2648"/>
      <c r="BT83" s="2648"/>
      <c r="BU83" s="2648"/>
      <c r="BV83" s="2648"/>
      <c r="BW83" s="2648"/>
      <c r="BX83" s="2648"/>
    </row>
    <row r="84" spans="1:78" ht="12.95" customHeight="1" thickTop="1"/>
    <row r="85" spans="1:78" ht="12.95" customHeight="1">
      <c r="A85" s="435"/>
      <c r="C85" s="219"/>
    </row>
    <row r="86" spans="1:78" ht="12.95" customHeight="1">
      <c r="D86" s="219"/>
      <c r="AB86" s="2680"/>
      <c r="AC86" s="2680"/>
      <c r="AD86" s="2680"/>
      <c r="AE86" s="2680"/>
      <c r="AF86" s="2680"/>
    </row>
    <row r="87" spans="1:78" ht="12.95" customHeight="1" thickBot="1">
      <c r="D87" s="219"/>
      <c r="AB87" s="2679"/>
      <c r="AC87" s="2679"/>
      <c r="AD87" s="2679"/>
      <c r="AE87" s="2679"/>
      <c r="AF87" s="2679"/>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2.95" customHeight="1" thickTop="1"/>
  </sheetData>
  <sheetProtection algorithmName="SHA-512" hashValue="k9PbSX/hJGgzTlRILAbCvWtiNd1GNnCXouFwCRpnyJkO2RSZ1d5TcArF0zGZQXBKpujcjbmW6XObcV/ZO5LNfw==" saltValue="0xdt7+VqfU+VCHEhAbSo3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1"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B20" activeCellId="5" sqref="B8 B10 B13 B15 B18 B20"/>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87" t="s">
        <v>923</v>
      </c>
      <c r="B1" s="2687"/>
      <c r="C1" s="2687"/>
      <c r="D1" s="2687"/>
      <c r="E1" s="2687"/>
      <c r="F1" s="2687"/>
      <c r="G1" s="2687"/>
      <c r="H1" s="2687"/>
      <c r="I1" s="2687"/>
      <c r="J1" s="2687"/>
      <c r="K1" s="218"/>
      <c r="L1" s="218"/>
    </row>
    <row r="2" spans="1:12">
      <c r="A2" s="225"/>
      <c r="B2" s="225"/>
      <c r="C2" s="225"/>
      <c r="D2" s="225"/>
      <c r="E2" s="225"/>
      <c r="F2" s="225"/>
      <c r="G2" s="225"/>
      <c r="H2" s="225"/>
      <c r="I2" s="225"/>
      <c r="J2" s="225"/>
    </row>
    <row r="3" spans="1:12" ht="99.75">
      <c r="A3" s="457" t="s">
        <v>924</v>
      </c>
      <c r="B3" s="457" t="s">
        <v>925</v>
      </c>
      <c r="C3" s="457" t="s">
        <v>2256</v>
      </c>
      <c r="D3" s="1190" t="s">
        <v>926</v>
      </c>
      <c r="E3" s="218"/>
      <c r="F3" s="1190" t="s">
        <v>927</v>
      </c>
      <c r="G3" s="457" t="s">
        <v>928</v>
      </c>
      <c r="H3" s="458"/>
      <c r="I3" s="457" t="s">
        <v>929</v>
      </c>
      <c r="J3" s="457" t="s">
        <v>930</v>
      </c>
      <c r="K3" s="218"/>
      <c r="L3" s="328"/>
    </row>
    <row r="4" spans="1:12">
      <c r="A4" s="459" t="str">
        <f>Application!B718</f>
        <v>SRO/Studio</v>
      </c>
      <c r="B4" s="1121">
        <f>Application!G718</f>
        <v>1</v>
      </c>
      <c r="C4" s="1122"/>
      <c r="D4" s="459">
        <f>Application!O718</f>
        <v>780</v>
      </c>
      <c r="E4" s="460"/>
      <c r="F4" s="1123"/>
      <c r="G4" s="459">
        <f>F4*B4</f>
        <v>0</v>
      </c>
      <c r="H4" s="460"/>
      <c r="I4" s="459" t="str">
        <f t="shared" ref="I4:I27" si="0">IF(F4=0,"",(F4-D4))</f>
        <v/>
      </c>
      <c r="J4" s="459" t="str">
        <f t="shared" ref="J4:J27" si="1">IF(F4=0,"",(I4*B4))</f>
        <v/>
      </c>
      <c r="K4" s="218"/>
      <c r="L4" s="328"/>
    </row>
    <row r="5" spans="1:12">
      <c r="A5" s="459" t="str">
        <f>Application!B719</f>
        <v>SRO/Studio</v>
      </c>
      <c r="B5" s="1121">
        <f>Application!G719</f>
        <v>1</v>
      </c>
      <c r="C5" s="1122"/>
      <c r="D5" s="459">
        <f>Application!O719</f>
        <v>1069</v>
      </c>
      <c r="E5" s="460"/>
      <c r="F5" s="1123"/>
      <c r="G5" s="459">
        <f t="shared" ref="G5:G38" si="2">F5*B5</f>
        <v>0</v>
      </c>
      <c r="H5" s="460"/>
      <c r="I5" s="459" t="str">
        <f t="shared" si="0"/>
        <v/>
      </c>
      <c r="J5" s="459" t="str">
        <f t="shared" si="1"/>
        <v/>
      </c>
      <c r="K5" s="218"/>
      <c r="L5" s="328"/>
    </row>
    <row r="6" spans="1:12">
      <c r="A6" s="459" t="str">
        <f>Application!B720</f>
        <v>SRO/Studio</v>
      </c>
      <c r="B6" s="1121">
        <f>Application!G720</f>
        <v>4</v>
      </c>
      <c r="C6" s="1122"/>
      <c r="D6" s="459">
        <f>Application!O720</f>
        <v>1357</v>
      </c>
      <c r="E6" s="460"/>
      <c r="F6" s="1123"/>
      <c r="G6" s="459">
        <f t="shared" si="2"/>
        <v>0</v>
      </c>
      <c r="H6" s="460"/>
      <c r="I6" s="459" t="str">
        <f t="shared" si="0"/>
        <v/>
      </c>
      <c r="J6" s="459" t="str">
        <f t="shared" si="1"/>
        <v/>
      </c>
      <c r="K6" s="218"/>
      <c r="L6" s="328"/>
    </row>
    <row r="7" spans="1:12">
      <c r="A7" s="459" t="str">
        <f>Application!B721</f>
        <v>SRO/Studio</v>
      </c>
      <c r="B7" s="1121">
        <f>Application!G721</f>
        <v>5</v>
      </c>
      <c r="C7" s="1122"/>
      <c r="D7" s="459">
        <f>Application!O721</f>
        <v>1645</v>
      </c>
      <c r="E7" s="460"/>
      <c r="F7" s="1123"/>
      <c r="G7" s="459">
        <f t="shared" si="2"/>
        <v>0</v>
      </c>
      <c r="H7" s="460"/>
      <c r="I7" s="459" t="str">
        <f t="shared" si="0"/>
        <v/>
      </c>
      <c r="J7" s="459" t="str">
        <f t="shared" si="1"/>
        <v/>
      </c>
      <c r="K7" s="218"/>
      <c r="L7" s="328"/>
    </row>
    <row r="8" spans="1:12">
      <c r="A8" s="459" t="str">
        <f>Application!B722</f>
        <v>1 Bedroom</v>
      </c>
      <c r="B8" s="1121">
        <f>Application!G722</f>
        <v>8</v>
      </c>
      <c r="C8" s="1122" t="s">
        <v>385</v>
      </c>
      <c r="D8" s="459">
        <f>Application!O722</f>
        <v>826</v>
      </c>
      <c r="E8" s="460"/>
      <c r="F8" s="1123">
        <v>2878</v>
      </c>
      <c r="G8" s="459">
        <f t="shared" si="2"/>
        <v>23024</v>
      </c>
      <c r="H8" s="460"/>
      <c r="I8" s="459">
        <f t="shared" si="0"/>
        <v>2052</v>
      </c>
      <c r="J8" s="459">
        <f t="shared" si="1"/>
        <v>16416</v>
      </c>
      <c r="K8" s="218"/>
      <c r="L8" s="328"/>
    </row>
    <row r="9" spans="1:12">
      <c r="A9" s="459" t="str">
        <f>Application!B723</f>
        <v>1 Bedroom</v>
      </c>
      <c r="B9" s="1121">
        <f>Application!G723</f>
        <v>3</v>
      </c>
      <c r="C9" s="1122"/>
      <c r="D9" s="459">
        <f>Application!O723</f>
        <v>1135</v>
      </c>
      <c r="E9" s="460"/>
      <c r="F9" s="1123"/>
      <c r="G9" s="459">
        <f t="shared" si="2"/>
        <v>0</v>
      </c>
      <c r="H9" s="460"/>
      <c r="I9" s="459" t="str">
        <f t="shared" si="0"/>
        <v/>
      </c>
      <c r="J9" s="459" t="str">
        <f t="shared" si="1"/>
        <v/>
      </c>
      <c r="K9" s="218"/>
      <c r="L9" s="328"/>
    </row>
    <row r="10" spans="1:12">
      <c r="A10" s="459" t="str">
        <f>Application!B724</f>
        <v>1 Bedroom</v>
      </c>
      <c r="B10" s="1121">
        <f>Application!G724</f>
        <v>7</v>
      </c>
      <c r="C10" s="1122" t="s">
        <v>385</v>
      </c>
      <c r="D10" s="459">
        <f>Application!O724</f>
        <v>1135</v>
      </c>
      <c r="E10" s="460"/>
      <c r="F10" s="1123">
        <v>2878</v>
      </c>
      <c r="G10" s="459">
        <f t="shared" si="2"/>
        <v>20146</v>
      </c>
      <c r="H10" s="460"/>
      <c r="I10" s="459">
        <f t="shared" si="0"/>
        <v>1743</v>
      </c>
      <c r="J10" s="459">
        <f t="shared" si="1"/>
        <v>12201</v>
      </c>
      <c r="K10" s="218"/>
      <c r="L10" s="328"/>
    </row>
    <row r="11" spans="1:12">
      <c r="A11" s="459" t="str">
        <f>Application!B725</f>
        <v>1 Bedroom</v>
      </c>
      <c r="B11" s="1121">
        <f>Application!G725</f>
        <v>16</v>
      </c>
      <c r="C11" s="1122"/>
      <c r="D11" s="459">
        <f>Application!O725</f>
        <v>1444</v>
      </c>
      <c r="E11" s="460"/>
      <c r="F11" s="1123"/>
      <c r="G11" s="459">
        <f t="shared" si="2"/>
        <v>0</v>
      </c>
      <c r="H11" s="460"/>
      <c r="I11" s="459" t="str">
        <f t="shared" si="0"/>
        <v/>
      </c>
      <c r="J11" s="459" t="str">
        <f t="shared" si="1"/>
        <v/>
      </c>
      <c r="K11" s="218"/>
      <c r="L11" s="328"/>
    </row>
    <row r="12" spans="1:12">
      <c r="A12" s="459" t="str">
        <f>Application!B726</f>
        <v>1 Bedroom</v>
      </c>
      <c r="B12" s="1121">
        <f>Application!G726</f>
        <v>16</v>
      </c>
      <c r="C12" s="1122"/>
      <c r="D12" s="459">
        <f>Application!O726</f>
        <v>1753</v>
      </c>
      <c r="E12" s="460"/>
      <c r="F12" s="1123"/>
      <c r="G12" s="459">
        <f t="shared" si="2"/>
        <v>0</v>
      </c>
      <c r="H12" s="460"/>
      <c r="I12" s="459" t="str">
        <f t="shared" si="0"/>
        <v/>
      </c>
      <c r="J12" s="459" t="str">
        <f t="shared" si="1"/>
        <v/>
      </c>
      <c r="K12" s="218"/>
      <c r="L12" s="328"/>
    </row>
    <row r="13" spans="1:12">
      <c r="A13" s="459" t="str">
        <f>Application!B727</f>
        <v>2 Bedrooms</v>
      </c>
      <c r="B13" s="1121">
        <f>Application!G727</f>
        <v>5</v>
      </c>
      <c r="C13" s="1122" t="s">
        <v>385</v>
      </c>
      <c r="D13" s="459">
        <f>Application!O727</f>
        <v>975</v>
      </c>
      <c r="E13" s="460"/>
      <c r="F13" s="1123">
        <v>3730</v>
      </c>
      <c r="G13" s="459">
        <f t="shared" si="2"/>
        <v>18650</v>
      </c>
      <c r="H13" s="460"/>
      <c r="I13" s="459">
        <f t="shared" si="0"/>
        <v>2755</v>
      </c>
      <c r="J13" s="459">
        <f t="shared" si="1"/>
        <v>13775</v>
      </c>
      <c r="K13" s="218"/>
      <c r="L13" s="328"/>
    </row>
    <row r="14" spans="1:12">
      <c r="A14" s="459" t="str">
        <f>Application!B728</f>
        <v>2 Bedrooms</v>
      </c>
      <c r="B14" s="1121">
        <f>Application!G728</f>
        <v>1</v>
      </c>
      <c r="C14" s="1122"/>
      <c r="D14" s="459">
        <f>Application!O728</f>
        <v>1346</v>
      </c>
      <c r="E14" s="460"/>
      <c r="F14" s="1123"/>
      <c r="G14" s="459">
        <f t="shared" si="2"/>
        <v>0</v>
      </c>
      <c r="H14" s="460"/>
      <c r="I14" s="459" t="str">
        <f t="shared" si="0"/>
        <v/>
      </c>
      <c r="J14" s="459" t="str">
        <f t="shared" si="1"/>
        <v/>
      </c>
      <c r="K14" s="218"/>
      <c r="L14" s="328"/>
    </row>
    <row r="15" spans="1:12">
      <c r="A15" s="459" t="str">
        <f>Application!B729</f>
        <v>2 Bedrooms</v>
      </c>
      <c r="B15" s="1121">
        <f>Application!G729</f>
        <v>3</v>
      </c>
      <c r="C15" s="1122" t="s">
        <v>385</v>
      </c>
      <c r="D15" s="459">
        <f>Application!O729</f>
        <v>1346</v>
      </c>
      <c r="E15" s="460"/>
      <c r="F15" s="1123">
        <v>3730</v>
      </c>
      <c r="G15" s="459">
        <f t="shared" si="2"/>
        <v>11190</v>
      </c>
      <c r="H15" s="460"/>
      <c r="I15" s="459">
        <f t="shared" si="0"/>
        <v>2384</v>
      </c>
      <c r="J15" s="459">
        <f t="shared" si="1"/>
        <v>7152</v>
      </c>
      <c r="K15" s="218"/>
      <c r="L15" s="328"/>
    </row>
    <row r="16" spans="1:12">
      <c r="A16" s="459" t="str">
        <f>Application!B730</f>
        <v>2 Bedrooms</v>
      </c>
      <c r="B16" s="1121">
        <f>Application!G730</f>
        <v>10</v>
      </c>
      <c r="C16" s="1122"/>
      <c r="D16" s="459">
        <f>Application!O730</f>
        <v>1716</v>
      </c>
      <c r="E16" s="460"/>
      <c r="F16" s="1123"/>
      <c r="G16" s="459">
        <f t="shared" si="2"/>
        <v>0</v>
      </c>
      <c r="H16" s="460"/>
      <c r="I16" s="459" t="str">
        <f t="shared" si="0"/>
        <v/>
      </c>
      <c r="J16" s="459" t="str">
        <f t="shared" si="1"/>
        <v/>
      </c>
      <c r="K16" s="218"/>
      <c r="L16" s="328"/>
    </row>
    <row r="17" spans="1:12">
      <c r="A17" s="459" t="str">
        <f>Application!B731</f>
        <v>2 Bedrooms</v>
      </c>
      <c r="B17" s="1121">
        <f>Application!G731</f>
        <v>12</v>
      </c>
      <c r="C17" s="1122"/>
      <c r="D17" s="459">
        <f>Application!O731</f>
        <v>2087</v>
      </c>
      <c r="E17" s="460"/>
      <c r="F17" s="1123"/>
      <c r="G17" s="459">
        <f t="shared" si="2"/>
        <v>0</v>
      </c>
      <c r="H17" s="460"/>
      <c r="I17" s="459" t="str">
        <f t="shared" si="0"/>
        <v/>
      </c>
      <c r="J17" s="459" t="str">
        <f t="shared" si="1"/>
        <v/>
      </c>
      <c r="K17" s="218"/>
      <c r="L17" s="328"/>
    </row>
    <row r="18" spans="1:12">
      <c r="A18" s="459" t="str">
        <f>Application!B732</f>
        <v>3 Bedrooms</v>
      </c>
      <c r="B18" s="1121">
        <f>Application!G732</f>
        <v>5</v>
      </c>
      <c r="C18" s="1122" t="s">
        <v>385</v>
      </c>
      <c r="D18" s="459">
        <f>Application!O732</f>
        <v>1107</v>
      </c>
      <c r="E18" s="460"/>
      <c r="F18" s="1123">
        <v>4635</v>
      </c>
      <c r="G18" s="459">
        <f t="shared" si="2"/>
        <v>23175</v>
      </c>
      <c r="H18" s="460"/>
      <c r="I18" s="459">
        <f t="shared" si="0"/>
        <v>3528</v>
      </c>
      <c r="J18" s="459">
        <f t="shared" si="1"/>
        <v>17640</v>
      </c>
      <c r="K18" s="218"/>
      <c r="L18" s="328"/>
    </row>
    <row r="19" spans="1:12">
      <c r="A19" s="459" t="str">
        <f>Application!B733</f>
        <v>3 Bedrooms</v>
      </c>
      <c r="B19" s="1121">
        <f>Application!G733</f>
        <v>1</v>
      </c>
      <c r="C19" s="1122"/>
      <c r="D19" s="459">
        <f>Application!O733</f>
        <v>1536</v>
      </c>
      <c r="E19" s="460"/>
      <c r="F19" s="1123"/>
      <c r="G19" s="459">
        <f t="shared" si="2"/>
        <v>0</v>
      </c>
      <c r="H19" s="460"/>
      <c r="I19" s="459" t="str">
        <f t="shared" si="0"/>
        <v/>
      </c>
      <c r="J19" s="459" t="str">
        <f t="shared" si="1"/>
        <v/>
      </c>
      <c r="K19" s="218"/>
      <c r="L19" s="328"/>
    </row>
    <row r="20" spans="1:12">
      <c r="A20" s="459" t="str">
        <f>Application!B734</f>
        <v>3 Bedrooms</v>
      </c>
      <c r="B20" s="1121">
        <f>Application!G734</f>
        <v>3</v>
      </c>
      <c r="C20" s="1122" t="s">
        <v>385</v>
      </c>
      <c r="D20" s="459">
        <f>Application!O734</f>
        <v>1536</v>
      </c>
      <c r="E20" s="460"/>
      <c r="F20" s="1123">
        <v>4635</v>
      </c>
      <c r="G20" s="459">
        <f t="shared" si="2"/>
        <v>13905</v>
      </c>
      <c r="H20" s="460"/>
      <c r="I20" s="459">
        <f t="shared" si="0"/>
        <v>3099</v>
      </c>
      <c r="J20" s="459">
        <f t="shared" si="1"/>
        <v>9297</v>
      </c>
      <c r="K20" s="218"/>
      <c r="L20" s="328"/>
    </row>
    <row r="21" spans="1:12">
      <c r="A21" s="459" t="str">
        <f>Application!B735</f>
        <v>3 Bedrooms</v>
      </c>
      <c r="B21" s="1121">
        <f>Application!G735</f>
        <v>10</v>
      </c>
      <c r="C21" s="1122"/>
      <c r="D21" s="459">
        <f>Application!O735</f>
        <v>1964</v>
      </c>
      <c r="E21" s="460"/>
      <c r="F21" s="1123"/>
      <c r="G21" s="459">
        <f t="shared" si="2"/>
        <v>0</v>
      </c>
      <c r="H21" s="460"/>
      <c r="I21" s="459" t="str">
        <f t="shared" si="0"/>
        <v/>
      </c>
      <c r="J21" s="459" t="str">
        <f t="shared" si="1"/>
        <v/>
      </c>
      <c r="K21" s="218"/>
      <c r="L21" s="328"/>
    </row>
    <row r="22" spans="1:12">
      <c r="A22" s="459" t="str">
        <f>Application!B736</f>
        <v>3 Bedrooms</v>
      </c>
      <c r="B22" s="1121">
        <f>Application!G736</f>
        <v>12</v>
      </c>
      <c r="C22" s="1122"/>
      <c r="D22" s="459">
        <f>Application!O736</f>
        <v>2392</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931</v>
      </c>
      <c r="B40" s="462"/>
      <c r="C40" s="462"/>
      <c r="D40" s="463">
        <f>Application!O753</f>
        <v>197098</v>
      </c>
      <c r="E40" s="460"/>
      <c r="F40" s="460"/>
      <c r="G40" s="463">
        <f>SUM(G4:G38)*12</f>
        <v>1321080</v>
      </c>
      <c r="H40" s="464"/>
      <c r="I40" s="462"/>
      <c r="J40" s="463">
        <f>SUM(J4:J38)*12</f>
        <v>917772</v>
      </c>
      <c r="K40" s="218"/>
      <c r="L40" s="329"/>
    </row>
    <row r="41" spans="1:12" ht="15">
      <c r="A41" s="461"/>
      <c r="B41" s="462"/>
      <c r="C41" s="462"/>
      <c r="D41" s="464"/>
      <c r="E41" s="460"/>
      <c r="F41" s="460"/>
      <c r="G41" s="464"/>
      <c r="H41" s="464"/>
      <c r="I41" s="462"/>
      <c r="J41" s="464"/>
      <c r="K41" s="218"/>
      <c r="L41" s="329"/>
    </row>
    <row r="42" spans="1:12">
      <c r="A42" s="465" t="s">
        <v>932</v>
      </c>
      <c r="B42" s="225"/>
      <c r="C42" s="225"/>
      <c r="D42" s="225"/>
      <c r="E42" s="225"/>
      <c r="F42" s="225"/>
      <c r="G42" s="225"/>
      <c r="H42" s="225"/>
      <c r="I42" s="225"/>
      <c r="J42" s="225"/>
    </row>
    <row r="43" spans="1:12">
      <c r="A43" s="465" t="s">
        <v>933</v>
      </c>
      <c r="B43" s="225"/>
      <c r="C43" s="225"/>
      <c r="D43" s="225"/>
      <c r="E43" s="225"/>
      <c r="F43" s="225"/>
      <c r="G43" s="225"/>
      <c r="H43" s="225"/>
      <c r="I43" s="225"/>
      <c r="J43" s="225"/>
    </row>
    <row r="44" spans="1:12">
      <c r="A44" s="225" t="s">
        <v>2417</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2"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zoomScaleNormal="100" workbookViewId="0">
      <selection activeCell="K33" sqref="K33"/>
    </sheetView>
  </sheetViews>
  <sheetFormatPr defaultColWidth="0" defaultRowHeight="12.75" zeroHeight="1"/>
  <cols>
    <col min="1" max="1" width="3.7109375" customWidth="1"/>
    <col min="2" max="2" width="30.42578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2408</v>
      </c>
      <c r="B1" s="226"/>
    </row>
    <row r="2" spans="1:34"/>
    <row r="3" spans="1:34" ht="15.75">
      <c r="A3" s="227" t="s">
        <v>829</v>
      </c>
      <c r="B3" s="227"/>
      <c r="C3" s="251" t="s">
        <v>830</v>
      </c>
      <c r="D3" s="13"/>
      <c r="E3" s="252" t="s">
        <v>831</v>
      </c>
      <c r="F3" s="217"/>
      <c r="G3" s="252" t="s">
        <v>832</v>
      </c>
      <c r="H3" s="217"/>
      <c r="I3" s="252" t="s">
        <v>833</v>
      </c>
      <c r="J3" s="217"/>
      <c r="K3" s="252" t="s">
        <v>834</v>
      </c>
      <c r="L3" s="217"/>
      <c r="M3" s="252" t="s">
        <v>835</v>
      </c>
      <c r="N3" s="217"/>
      <c r="O3" s="252" t="s">
        <v>836</v>
      </c>
      <c r="P3" s="217"/>
      <c r="Q3" s="252" t="s">
        <v>837</v>
      </c>
      <c r="R3" s="217"/>
      <c r="S3" s="252" t="s">
        <v>838</v>
      </c>
      <c r="T3" s="217"/>
      <c r="U3" s="252" t="s">
        <v>839</v>
      </c>
      <c r="V3" s="217"/>
      <c r="W3" s="252" t="s">
        <v>840</v>
      </c>
      <c r="X3" s="217"/>
      <c r="Y3" s="252" t="s">
        <v>841</v>
      </c>
      <c r="Z3" s="217"/>
      <c r="AA3" s="252" t="s">
        <v>842</v>
      </c>
      <c r="AB3" s="217"/>
      <c r="AC3" s="252" t="s">
        <v>843</v>
      </c>
      <c r="AD3" s="217"/>
      <c r="AE3" s="252" t="s">
        <v>844</v>
      </c>
      <c r="AF3" s="217"/>
      <c r="AG3" s="252" t="s">
        <v>845</v>
      </c>
      <c r="AH3" s="13"/>
    </row>
    <row r="4" spans="1:34" s="235" customFormat="1" ht="14.25">
      <c r="A4" s="235" t="s">
        <v>847</v>
      </c>
      <c r="C4" s="253">
        <v>1.0249999999999999</v>
      </c>
      <c r="E4" s="235">
        <f>Application!Y801</f>
        <v>2365176</v>
      </c>
      <c r="G4" s="235">
        <f>E4*$C$4</f>
        <v>2424305.4</v>
      </c>
      <c r="I4" s="235">
        <f>G4*$C$4</f>
        <v>2484913.0349999997</v>
      </c>
      <c r="K4" s="235">
        <f>I4*$C$4</f>
        <v>2547035.8608749993</v>
      </c>
      <c r="M4" s="235">
        <f>K4*$C$4</f>
        <v>2610711.757396874</v>
      </c>
      <c r="O4" s="235">
        <f>M4*$C$4</f>
        <v>2675979.5513317958</v>
      </c>
      <c r="Q4" s="235">
        <f>O4*$C$4</f>
        <v>2742879.0401150906</v>
      </c>
      <c r="S4" s="235">
        <f>Q4*$C$4</f>
        <v>2811451.0161179677</v>
      </c>
      <c r="U4" s="235">
        <f>S4*$C$4</f>
        <v>2881737.2915209164</v>
      </c>
      <c r="W4" s="235">
        <f>U4*$C$4</f>
        <v>2953780.7238089391</v>
      </c>
      <c r="Y4" s="235">
        <f>W4*$C$4</f>
        <v>3027625.2419041623</v>
      </c>
      <c r="AA4" s="235">
        <f>Y4*$C$4</f>
        <v>3103315.872951766</v>
      </c>
      <c r="AC4" s="235">
        <f>AA4*$C$4</f>
        <v>3180898.7697755597</v>
      </c>
      <c r="AE4" s="235">
        <f>AC4*$C$4</f>
        <v>3260421.2390199485</v>
      </c>
      <c r="AG4" s="235">
        <f>AE4*$C$4</f>
        <v>3341931.7699954468</v>
      </c>
    </row>
    <row r="5" spans="1:34" s="225" customFormat="1" ht="14.25">
      <c r="B5" s="225" t="s">
        <v>848</v>
      </c>
      <c r="C5" s="254">
        <f>IF(Application!$D$211="Special Needs",0.1,0.05)</f>
        <v>0.05</v>
      </c>
      <c r="E5" s="237">
        <f>-E4*$C$5</f>
        <v>-118258.8</v>
      </c>
      <c r="F5" s="237"/>
      <c r="G5" s="237">
        <f>-G4*$C$5</f>
        <v>-121215.27</v>
      </c>
      <c r="H5" s="237"/>
      <c r="I5" s="237">
        <f>-I4*$C$5</f>
        <v>-124245.65174999999</v>
      </c>
      <c r="J5" s="237"/>
      <c r="K5" s="237">
        <f>-K4*$C$5</f>
        <v>-127351.79304374997</v>
      </c>
      <c r="L5" s="237"/>
      <c r="M5" s="237">
        <f>-M4*$C$5</f>
        <v>-130535.5878698437</v>
      </c>
      <c r="N5" s="237"/>
      <c r="O5" s="237">
        <f>-O4*$C$5</f>
        <v>-133798.97756658981</v>
      </c>
      <c r="P5" s="237"/>
      <c r="Q5" s="237">
        <f>-Q4*$C$5</f>
        <v>-137143.95200575455</v>
      </c>
      <c r="R5" s="237"/>
      <c r="S5" s="237">
        <f>-S4*$C$5</f>
        <v>-140572.55080589838</v>
      </c>
      <c r="T5" s="237"/>
      <c r="U5" s="237">
        <f>-U4*$C$5</f>
        <v>-144086.86457604583</v>
      </c>
      <c r="V5" s="237"/>
      <c r="W5" s="237">
        <f>-W4*$C$5</f>
        <v>-147689.03619044696</v>
      </c>
      <c r="X5" s="237"/>
      <c r="Y5" s="237">
        <f>-Y4*$C$5</f>
        <v>-151381.26209520813</v>
      </c>
      <c r="Z5" s="237"/>
      <c r="AA5" s="237">
        <f>-AA4*$C$5</f>
        <v>-155165.79364758832</v>
      </c>
      <c r="AB5" s="237"/>
      <c r="AC5" s="237">
        <f>-AC4*$C$5</f>
        <v>-159044.93848877799</v>
      </c>
      <c r="AD5" s="237"/>
      <c r="AE5" s="237">
        <f>-AE4*$C$5</f>
        <v>-163021.06195099745</v>
      </c>
      <c r="AF5" s="237"/>
      <c r="AG5" s="237">
        <f>-AG4*$C$5</f>
        <v>-167096.58849977236</v>
      </c>
    </row>
    <row r="6" spans="1:34" s="225" customFormat="1" ht="14.25">
      <c r="A6" s="225" t="s">
        <v>846</v>
      </c>
      <c r="C6" s="253">
        <v>1.0249999999999999</v>
      </c>
      <c r="E6" s="238">
        <f>Application!Z809</f>
        <v>917772</v>
      </c>
      <c r="F6" s="238"/>
      <c r="G6" s="238">
        <f>E6*$C$6</f>
        <v>940716.29999999993</v>
      </c>
      <c r="H6" s="238"/>
      <c r="I6" s="238">
        <f>G6*$C$6</f>
        <v>964234.2074999999</v>
      </c>
      <c r="J6" s="238"/>
      <c r="K6" s="238">
        <f>I6*$C$6</f>
        <v>988340.0626874998</v>
      </c>
      <c r="L6" s="238"/>
      <c r="M6" s="238">
        <f>K6*$C$6</f>
        <v>1013048.5642546872</v>
      </c>
      <c r="N6" s="238"/>
      <c r="O6" s="238">
        <f>M6*$C$6</f>
        <v>1038374.7783610543</v>
      </c>
      <c r="P6" s="238"/>
      <c r="Q6" s="238">
        <f>O6*$C$6</f>
        <v>1064334.1478200806</v>
      </c>
      <c r="R6" s="238"/>
      <c r="S6" s="238">
        <f>Q6*$C$6</f>
        <v>1090942.5015155824</v>
      </c>
      <c r="T6" s="238"/>
      <c r="U6" s="238">
        <f>S6*$C$6</f>
        <v>1118216.0640534719</v>
      </c>
      <c r="V6" s="238"/>
      <c r="W6" s="238">
        <f>U6*$C$6</f>
        <v>1146171.4656548086</v>
      </c>
      <c r="X6" s="238"/>
      <c r="Y6" s="238">
        <f>W6*$C$6</f>
        <v>1174825.7522961786</v>
      </c>
      <c r="Z6" s="238"/>
      <c r="AA6" s="238">
        <f>Y6*$C$6</f>
        <v>1204196.396103583</v>
      </c>
      <c r="AB6" s="238"/>
      <c r="AC6" s="238">
        <f>AA6*$C$6</f>
        <v>1234301.3060061724</v>
      </c>
      <c r="AD6" s="238"/>
      <c r="AE6" s="238">
        <f>AC6*$C$6</f>
        <v>1265158.8386563268</v>
      </c>
      <c r="AF6" s="238"/>
      <c r="AG6" s="238">
        <f>AE6*$C$6</f>
        <v>1296787.8096227348</v>
      </c>
    </row>
    <row r="7" spans="1:34" s="225" customFormat="1" ht="14.25">
      <c r="B7" s="225" t="s">
        <v>848</v>
      </c>
      <c r="C7" s="254">
        <f>IF(Application!$D$211="Special Needs",0.1,0.05)</f>
        <v>0.05</v>
      </c>
      <c r="E7" s="237">
        <f>-E6*$C$7</f>
        <v>-45888.600000000006</v>
      </c>
      <c r="F7" s="237"/>
      <c r="G7" s="237">
        <f>-G6*$C$7</f>
        <v>-47035.815000000002</v>
      </c>
      <c r="H7" s="237"/>
      <c r="I7" s="237">
        <f>-I6*$C$7</f>
        <v>-48211.710374999995</v>
      </c>
      <c r="J7" s="237"/>
      <c r="K7" s="237">
        <f>-K6*$C$7</f>
        <v>-49417.003134374994</v>
      </c>
      <c r="L7" s="237"/>
      <c r="M7" s="237">
        <f>-M6*$C$7</f>
        <v>-50652.428212734361</v>
      </c>
      <c r="N7" s="237"/>
      <c r="O7" s="237">
        <f>-O6*$C$7</f>
        <v>-51918.738918052717</v>
      </c>
      <c r="P7" s="237"/>
      <c r="Q7" s="237">
        <f>-Q6*$C$7</f>
        <v>-53216.707391004034</v>
      </c>
      <c r="R7" s="237"/>
      <c r="S7" s="237">
        <f>-S6*$C$7</f>
        <v>-54547.125075779128</v>
      </c>
      <c r="T7" s="237"/>
      <c r="U7" s="237">
        <f>-U6*$C$7</f>
        <v>-55910.803202673596</v>
      </c>
      <c r="V7" s="237"/>
      <c r="W7" s="237">
        <f>-W6*$C$7</f>
        <v>-57308.573282740428</v>
      </c>
      <c r="X7" s="237"/>
      <c r="Y7" s="237">
        <f>-Y6*$C$7</f>
        <v>-58741.287614808934</v>
      </c>
      <c r="Z7" s="237"/>
      <c r="AA7" s="237">
        <f>-AA6*$C$7</f>
        <v>-60209.819805179155</v>
      </c>
      <c r="AB7" s="237"/>
      <c r="AC7" s="237">
        <f>-AC6*$C$7</f>
        <v>-61715.065300308626</v>
      </c>
      <c r="AD7" s="237"/>
      <c r="AE7" s="237">
        <f>-AE6*$C$7</f>
        <v>-63257.941932816342</v>
      </c>
      <c r="AF7" s="237"/>
      <c r="AG7" s="237">
        <f>-AG6*$C$7</f>
        <v>-64839.390481136739</v>
      </c>
    </row>
    <row r="8" spans="1:34" s="225" customFormat="1" ht="14.25">
      <c r="A8" s="225" t="s">
        <v>288</v>
      </c>
      <c r="C8" s="253">
        <v>1.0249999999999999</v>
      </c>
      <c r="E8" s="238">
        <f>Application!Z817</f>
        <v>16368</v>
      </c>
      <c r="F8" s="238"/>
      <c r="G8" s="238">
        <f>E8*$C$8</f>
        <v>16777.199999999997</v>
      </c>
      <c r="H8" s="238"/>
      <c r="I8" s="238">
        <f>G8*$C$8</f>
        <v>17196.629999999994</v>
      </c>
      <c r="J8" s="238"/>
      <c r="K8" s="238">
        <f>I8*$C$8</f>
        <v>17626.545749999994</v>
      </c>
      <c r="L8" s="238"/>
      <c r="M8" s="238">
        <f>K8*$C$8</f>
        <v>18067.209393749992</v>
      </c>
      <c r="N8" s="238"/>
      <c r="O8" s="238">
        <f>M8*$C$8</f>
        <v>18518.889628593741</v>
      </c>
      <c r="P8" s="238"/>
      <c r="Q8" s="238">
        <f>O8*$C$8</f>
        <v>18981.861869308581</v>
      </c>
      <c r="R8" s="238"/>
      <c r="S8" s="238">
        <f>Q8*$C$8</f>
        <v>19456.408416041293</v>
      </c>
      <c r="T8" s="238"/>
      <c r="U8" s="238">
        <f>S8*$C$8</f>
        <v>19942.818626442324</v>
      </c>
      <c r="V8" s="238"/>
      <c r="W8" s="238">
        <f>U8*$C$8</f>
        <v>20441.389092103382</v>
      </c>
      <c r="X8" s="238"/>
      <c r="Y8" s="238">
        <f>W8*$C$8</f>
        <v>20952.423819405965</v>
      </c>
      <c r="Z8" s="238"/>
      <c r="AA8" s="238">
        <f>Y8*$C$8</f>
        <v>21476.234414891114</v>
      </c>
      <c r="AB8" s="238"/>
      <c r="AC8" s="238">
        <f>AA8*$C$8</f>
        <v>22013.140275263391</v>
      </c>
      <c r="AD8" s="238"/>
      <c r="AE8" s="238">
        <f>AC8*$C$8</f>
        <v>22563.468782144973</v>
      </c>
      <c r="AF8" s="238"/>
      <c r="AG8" s="238">
        <f>AE8*$C$8</f>
        <v>23127.555501698596</v>
      </c>
    </row>
    <row r="9" spans="1:34" s="225" customFormat="1" ht="14.25">
      <c r="B9" s="225" t="s">
        <v>848</v>
      </c>
      <c r="C9" s="254">
        <f>IF(Application!$D$211="Special Needs",0.1,0.05)</f>
        <v>0.05</v>
      </c>
      <c r="E9" s="237">
        <f>-E8*$C$9</f>
        <v>-818.40000000000009</v>
      </c>
      <c r="F9" s="237"/>
      <c r="G9" s="237">
        <f>-G8*$C$9</f>
        <v>-838.8599999999999</v>
      </c>
      <c r="H9" s="237"/>
      <c r="I9" s="237">
        <f>-I8*$C$9</f>
        <v>-859.83149999999978</v>
      </c>
      <c r="J9" s="237"/>
      <c r="K9" s="237">
        <f>-K8*$C$9</f>
        <v>-881.32728749999978</v>
      </c>
      <c r="L9" s="237"/>
      <c r="M9" s="237">
        <f>-M8*$C$9</f>
        <v>-903.36046968749963</v>
      </c>
      <c r="N9" s="237"/>
      <c r="O9" s="237">
        <f>-O8*$C$9</f>
        <v>-925.94448142968713</v>
      </c>
      <c r="P9" s="237"/>
      <c r="Q9" s="237">
        <f>-Q8*$C$9</f>
        <v>-949.09309346542909</v>
      </c>
      <c r="R9" s="237"/>
      <c r="S9" s="237">
        <f>-S8*$C$9</f>
        <v>-972.82042080206475</v>
      </c>
      <c r="T9" s="237"/>
      <c r="U9" s="237">
        <f>-U8*$C$9</f>
        <v>-997.14093132211622</v>
      </c>
      <c r="V9" s="237"/>
      <c r="W9" s="237">
        <f>-W8*$C$9</f>
        <v>-1022.0694546051691</v>
      </c>
      <c r="X9" s="237"/>
      <c r="Y9" s="237">
        <f>-Y8*$C$9</f>
        <v>-1047.6211909702984</v>
      </c>
      <c r="Z9" s="237"/>
      <c r="AA9" s="237">
        <f>-AA8*$C$9</f>
        <v>-1073.8117207445557</v>
      </c>
      <c r="AB9" s="237"/>
      <c r="AC9" s="237">
        <f>-AC8*$C$9</f>
        <v>-1100.6570137631695</v>
      </c>
      <c r="AD9" s="237"/>
      <c r="AE9" s="237">
        <f>-AE8*$C$9</f>
        <v>-1128.1734391072487</v>
      </c>
      <c r="AF9" s="237"/>
      <c r="AG9" s="237">
        <f>-AG8*$C$9</f>
        <v>-1156.3777750849299</v>
      </c>
    </row>
    <row r="10" spans="1:34" s="225" customFormat="1" ht="14.25">
      <c r="A10" s="1187" t="s">
        <v>2631</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869</v>
      </c>
      <c r="C11" s="231"/>
      <c r="E11" s="239">
        <f>SUM(E4:E10)</f>
        <v>3134350.2</v>
      </c>
      <c r="G11" s="239">
        <f>SUM(G4:G10)</f>
        <v>3212708.9550000001</v>
      </c>
      <c r="I11" s="239">
        <f>SUM(I4:I10)</f>
        <v>3293026.6788749998</v>
      </c>
      <c r="K11" s="239">
        <f>SUM(K4:K10)</f>
        <v>3375352.3458468746</v>
      </c>
      <c r="M11" s="239">
        <f>SUM(M4:M10)</f>
        <v>3459736.1544930455</v>
      </c>
      <c r="O11" s="239">
        <f>SUM(O4:O10)</f>
        <v>3546229.5583553719</v>
      </c>
      <c r="Q11" s="239">
        <f>SUM(Q4:Q10)</f>
        <v>3634885.2973142555</v>
      </c>
      <c r="S11" s="239">
        <f>SUM(S4:S10)</f>
        <v>3725757.4297471116</v>
      </c>
      <c r="U11" s="239">
        <f>SUM(U4:U10)</f>
        <v>3818901.3654907891</v>
      </c>
      <c r="W11" s="239">
        <f>SUM(W4:W10)</f>
        <v>3914373.8996280585</v>
      </c>
      <c r="Y11" s="239">
        <f>SUM(Y4:Y10)</f>
        <v>4012233.2471187594</v>
      </c>
      <c r="AA11" s="239">
        <f>SUM(AA4:AA10)</f>
        <v>4112539.078296728</v>
      </c>
      <c r="AC11" s="239">
        <f>SUM(AC4:AC10)</f>
        <v>4215352.5552541465</v>
      </c>
      <c r="AE11" s="239">
        <f>SUM(AE4:AE10)</f>
        <v>4320736.369135499</v>
      </c>
      <c r="AG11" s="239">
        <f>SUM(AG4:AG10)</f>
        <v>4428754.7783638854</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849</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850</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851</v>
      </c>
      <c r="C15" s="185"/>
      <c r="E15" s="235">
        <f>Application!W847</f>
        <v>164375</v>
      </c>
      <c r="G15" s="235">
        <f>E15*$C$14</f>
        <v>170128.125</v>
      </c>
      <c r="I15" s="235">
        <f>G15*$C$14</f>
        <v>176082.609375</v>
      </c>
      <c r="K15" s="235">
        <f>I15*$C$14</f>
        <v>182245.500703125</v>
      </c>
      <c r="M15" s="235">
        <f>K15*$C$14</f>
        <v>188624.09322773435</v>
      </c>
      <c r="O15" s="235">
        <f>M15*$C$14</f>
        <v>195225.93649070503</v>
      </c>
      <c r="Q15" s="235">
        <f>O15*$C$14</f>
        <v>202058.8442678797</v>
      </c>
      <c r="S15" s="235">
        <f>Q15*$C$14</f>
        <v>209130.90381725549</v>
      </c>
      <c r="U15" s="235">
        <f>S15*$C$14</f>
        <v>216450.48545085941</v>
      </c>
      <c r="W15" s="235">
        <f>U15*$C$14</f>
        <v>224026.25244163949</v>
      </c>
      <c r="Y15" s="235">
        <f>W15*$C$14</f>
        <v>231867.17127709684</v>
      </c>
      <c r="AA15" s="235">
        <f>Y15*$C$14</f>
        <v>239982.52227179523</v>
      </c>
      <c r="AC15" s="235">
        <f>AA15*$C$14</f>
        <v>248381.91055130804</v>
      </c>
      <c r="AE15" s="235">
        <f>AC15*$C$14</f>
        <v>257075.27742060382</v>
      </c>
      <c r="AG15" s="235">
        <f>AE15*$C$14</f>
        <v>266072.91213032493</v>
      </c>
    </row>
    <row r="16" spans="1:34" s="225" customFormat="1" ht="14.25">
      <c r="A16" s="225" t="s">
        <v>344</v>
      </c>
      <c r="C16" s="249"/>
      <c r="E16" s="238">
        <f>Application!W849</f>
        <v>104160</v>
      </c>
      <c r="F16" s="238"/>
      <c r="G16" s="238">
        <f t="shared" ref="G16:AG21" si="0">E16*$C$14</f>
        <v>107805.59999999999</v>
      </c>
      <c r="H16" s="238"/>
      <c r="I16" s="238">
        <f t="shared" si="0"/>
        <v>111578.79599999999</v>
      </c>
      <c r="J16" s="238"/>
      <c r="K16" s="238">
        <f t="shared" si="0"/>
        <v>115484.05385999999</v>
      </c>
      <c r="L16" s="238"/>
      <c r="M16" s="238">
        <f t="shared" si="0"/>
        <v>119525.99574509998</v>
      </c>
      <c r="N16" s="238"/>
      <c r="O16" s="238">
        <f t="shared" si="0"/>
        <v>123709.40559617846</v>
      </c>
      <c r="P16" s="238"/>
      <c r="Q16" s="238">
        <f t="shared" si="0"/>
        <v>128039.23479204469</v>
      </c>
      <c r="R16" s="238"/>
      <c r="S16" s="238">
        <f t="shared" si="0"/>
        <v>132520.60800976623</v>
      </c>
      <c r="T16" s="238"/>
      <c r="U16" s="238">
        <f t="shared" si="0"/>
        <v>137158.82929010803</v>
      </c>
      <c r="V16" s="238"/>
      <c r="W16" s="238">
        <f t="shared" si="0"/>
        <v>141959.38831526181</v>
      </c>
      <c r="X16" s="238"/>
      <c r="Y16" s="238">
        <f t="shared" si="0"/>
        <v>146927.96690629597</v>
      </c>
      <c r="Z16" s="238"/>
      <c r="AA16" s="238">
        <f t="shared" si="0"/>
        <v>152070.44574801633</v>
      </c>
      <c r="AB16" s="238"/>
      <c r="AC16" s="238">
        <f t="shared" si="0"/>
        <v>157392.91134919689</v>
      </c>
      <c r="AD16" s="238"/>
      <c r="AE16" s="238">
        <f t="shared" si="0"/>
        <v>162901.66324641876</v>
      </c>
      <c r="AF16" s="238"/>
      <c r="AG16" s="238">
        <f t="shared" si="0"/>
        <v>168603.22146004339</v>
      </c>
    </row>
    <row r="17" spans="1:33" s="225" customFormat="1" ht="14.25">
      <c r="A17" s="225" t="s">
        <v>568</v>
      </c>
      <c r="C17" s="249"/>
      <c r="E17" s="238">
        <f>Application!W855</f>
        <v>183405</v>
      </c>
      <c r="F17" s="238"/>
      <c r="G17" s="238">
        <f t="shared" si="0"/>
        <v>189824.17499999999</v>
      </c>
      <c r="H17" s="238"/>
      <c r="I17" s="238">
        <f t="shared" si="0"/>
        <v>196468.02112499997</v>
      </c>
      <c r="J17" s="238"/>
      <c r="K17" s="238">
        <f t="shared" si="0"/>
        <v>203344.40186437496</v>
      </c>
      <c r="L17" s="238"/>
      <c r="M17" s="238">
        <f t="shared" si="0"/>
        <v>210461.45592962808</v>
      </c>
      <c r="N17" s="238"/>
      <c r="O17" s="238">
        <f t="shared" si="0"/>
        <v>217827.60688716505</v>
      </c>
      <c r="P17" s="238"/>
      <c r="Q17" s="238">
        <f t="shared" si="0"/>
        <v>225451.57312821582</v>
      </c>
      <c r="R17" s="238"/>
      <c r="S17" s="238">
        <f t="shared" si="0"/>
        <v>233342.37818770335</v>
      </c>
      <c r="T17" s="238"/>
      <c r="U17" s="238">
        <f t="shared" si="0"/>
        <v>241509.36142427294</v>
      </c>
      <c r="V17" s="238"/>
      <c r="W17" s="238">
        <f t="shared" si="0"/>
        <v>249962.18907412246</v>
      </c>
      <c r="X17" s="238"/>
      <c r="Y17" s="238">
        <f t="shared" si="0"/>
        <v>258710.86569171672</v>
      </c>
      <c r="Z17" s="238"/>
      <c r="AA17" s="238">
        <f t="shared" si="0"/>
        <v>267765.74599092681</v>
      </c>
      <c r="AB17" s="238"/>
      <c r="AC17" s="238">
        <f t="shared" si="0"/>
        <v>277137.54710060923</v>
      </c>
      <c r="AD17" s="238"/>
      <c r="AE17" s="238">
        <f t="shared" si="0"/>
        <v>286837.36124913051</v>
      </c>
      <c r="AF17" s="238"/>
      <c r="AG17" s="238">
        <f t="shared" si="0"/>
        <v>296876.66889285005</v>
      </c>
    </row>
    <row r="18" spans="1:33" s="225" customFormat="1" ht="14.25">
      <c r="A18" s="225" t="s">
        <v>852</v>
      </c>
      <c r="C18" s="249"/>
      <c r="E18" s="238">
        <f>Application!W862</f>
        <v>232584</v>
      </c>
      <c r="F18" s="238"/>
      <c r="G18" s="238">
        <f t="shared" si="0"/>
        <v>240724.43999999997</v>
      </c>
      <c r="H18" s="238"/>
      <c r="I18" s="238">
        <f t="shared" si="0"/>
        <v>249149.79539999994</v>
      </c>
      <c r="J18" s="238"/>
      <c r="K18" s="238">
        <f t="shared" si="0"/>
        <v>257870.03823899993</v>
      </c>
      <c r="L18" s="238"/>
      <c r="M18" s="238">
        <f t="shared" si="0"/>
        <v>266895.48957736493</v>
      </c>
      <c r="N18" s="238"/>
      <c r="O18" s="238">
        <f t="shared" si="0"/>
        <v>276236.83171257266</v>
      </c>
      <c r="P18" s="238"/>
      <c r="Q18" s="238">
        <f t="shared" si="0"/>
        <v>285905.12082251266</v>
      </c>
      <c r="R18" s="238"/>
      <c r="S18" s="238">
        <f t="shared" si="0"/>
        <v>295911.80005130055</v>
      </c>
      <c r="T18" s="238"/>
      <c r="U18" s="238">
        <f t="shared" si="0"/>
        <v>306268.71305309603</v>
      </c>
      <c r="V18" s="238"/>
      <c r="W18" s="238">
        <f t="shared" si="0"/>
        <v>316988.11800995434</v>
      </c>
      <c r="X18" s="238"/>
      <c r="Y18" s="238">
        <f t="shared" si="0"/>
        <v>328082.70214030275</v>
      </c>
      <c r="Z18" s="238"/>
      <c r="AA18" s="238">
        <f t="shared" si="0"/>
        <v>339565.59671521332</v>
      </c>
      <c r="AB18" s="238"/>
      <c r="AC18" s="238">
        <f t="shared" si="0"/>
        <v>351450.39260024577</v>
      </c>
      <c r="AD18" s="238"/>
      <c r="AE18" s="238">
        <f t="shared" si="0"/>
        <v>363751.15634125436</v>
      </c>
      <c r="AF18" s="238"/>
      <c r="AG18" s="238">
        <f t="shared" si="0"/>
        <v>376482.44681319821</v>
      </c>
    </row>
    <row r="19" spans="1:33" s="225" customFormat="1" ht="14.25">
      <c r="A19" s="225" t="s">
        <v>155</v>
      </c>
      <c r="C19" s="249"/>
      <c r="E19" s="238">
        <f>Application!W863</f>
        <v>125000</v>
      </c>
      <c r="F19" s="238"/>
      <c r="G19" s="238">
        <f t="shared" si="0"/>
        <v>129374.99999999999</v>
      </c>
      <c r="H19" s="238"/>
      <c r="I19" s="238">
        <f t="shared" si="0"/>
        <v>133903.12499999997</v>
      </c>
      <c r="J19" s="238"/>
      <c r="K19" s="238">
        <f t="shared" si="0"/>
        <v>138589.73437499997</v>
      </c>
      <c r="L19" s="238"/>
      <c r="M19" s="238">
        <f t="shared" si="0"/>
        <v>143440.37507812495</v>
      </c>
      <c r="N19" s="238"/>
      <c r="O19" s="238">
        <f t="shared" si="0"/>
        <v>148460.78820585931</v>
      </c>
      <c r="P19" s="238"/>
      <c r="Q19" s="238">
        <f t="shared" si="0"/>
        <v>153656.91579306437</v>
      </c>
      <c r="R19" s="238"/>
      <c r="S19" s="238">
        <f t="shared" si="0"/>
        <v>159034.90784582161</v>
      </c>
      <c r="T19" s="238"/>
      <c r="U19" s="238">
        <f t="shared" si="0"/>
        <v>164601.12962042534</v>
      </c>
      <c r="V19" s="238"/>
      <c r="W19" s="238">
        <f t="shared" si="0"/>
        <v>170362.16915714022</v>
      </c>
      <c r="X19" s="238"/>
      <c r="Y19" s="238">
        <f t="shared" si="0"/>
        <v>176324.84507764012</v>
      </c>
      <c r="Z19" s="238"/>
      <c r="AA19" s="238">
        <f t="shared" si="0"/>
        <v>182496.2146553575</v>
      </c>
      <c r="AB19" s="238"/>
      <c r="AC19" s="238">
        <f t="shared" si="0"/>
        <v>188883.58216829499</v>
      </c>
      <c r="AD19" s="238"/>
      <c r="AE19" s="238">
        <f t="shared" si="0"/>
        <v>195494.5075441853</v>
      </c>
      <c r="AF19" s="238"/>
      <c r="AG19" s="238">
        <f t="shared" si="0"/>
        <v>202336.81530823177</v>
      </c>
    </row>
    <row r="20" spans="1:33" s="225" customFormat="1" ht="14.25">
      <c r="A20" s="225" t="s">
        <v>390</v>
      </c>
      <c r="C20" s="249"/>
      <c r="E20" s="238">
        <f>Application!W872</f>
        <v>208938.99999999997</v>
      </c>
      <c r="F20" s="238"/>
      <c r="G20" s="238">
        <f t="shared" si="0"/>
        <v>216251.86499999996</v>
      </c>
      <c r="H20" s="238"/>
      <c r="I20" s="238">
        <f t="shared" si="0"/>
        <v>223820.68027499993</v>
      </c>
      <c r="J20" s="238"/>
      <c r="K20" s="238">
        <f t="shared" si="0"/>
        <v>231654.40408462493</v>
      </c>
      <c r="L20" s="238"/>
      <c r="M20" s="238">
        <f t="shared" si="0"/>
        <v>239762.30822758679</v>
      </c>
      <c r="N20" s="238"/>
      <c r="O20" s="238">
        <f t="shared" si="0"/>
        <v>248153.9890155523</v>
      </c>
      <c r="P20" s="238"/>
      <c r="Q20" s="238">
        <f t="shared" si="0"/>
        <v>256839.37863109662</v>
      </c>
      <c r="R20" s="238"/>
      <c r="S20" s="238">
        <f t="shared" si="0"/>
        <v>265828.75688318501</v>
      </c>
      <c r="T20" s="238"/>
      <c r="U20" s="238">
        <f t="shared" si="0"/>
        <v>275132.76337409648</v>
      </c>
      <c r="V20" s="238"/>
      <c r="W20" s="238">
        <f t="shared" si="0"/>
        <v>284762.41009218985</v>
      </c>
      <c r="X20" s="238"/>
      <c r="Y20" s="238">
        <f t="shared" si="0"/>
        <v>294729.09444541647</v>
      </c>
      <c r="Z20" s="238"/>
      <c r="AA20" s="238">
        <f t="shared" si="0"/>
        <v>305044.61275100603</v>
      </c>
      <c r="AB20" s="238"/>
      <c r="AC20" s="238">
        <f t="shared" si="0"/>
        <v>315721.1741972912</v>
      </c>
      <c r="AD20" s="238"/>
      <c r="AE20" s="238">
        <f t="shared" si="0"/>
        <v>326771.41529419634</v>
      </c>
      <c r="AF20" s="238"/>
      <c r="AG20" s="238">
        <f t="shared" si="0"/>
        <v>338208.41482949321</v>
      </c>
    </row>
    <row r="21" spans="1:33" s="225" customFormat="1" ht="14.25">
      <c r="A21" s="242" t="s">
        <v>979</v>
      </c>
      <c r="B21" s="242"/>
      <c r="C21" s="249"/>
      <c r="E21" s="248">
        <f>Application!W879</f>
        <v>17800</v>
      </c>
      <c r="F21" s="238"/>
      <c r="G21" s="248">
        <f t="shared" si="0"/>
        <v>18423</v>
      </c>
      <c r="H21" s="238"/>
      <c r="I21" s="248">
        <f t="shared" si="0"/>
        <v>19067.805</v>
      </c>
      <c r="J21" s="238"/>
      <c r="K21" s="248">
        <f t="shared" si="0"/>
        <v>19735.178174999997</v>
      </c>
      <c r="L21" s="238"/>
      <c r="M21" s="248">
        <f t="shared" si="0"/>
        <v>20425.909411124994</v>
      </c>
      <c r="N21" s="238"/>
      <c r="O21" s="248">
        <f t="shared" si="0"/>
        <v>21140.816240514367</v>
      </c>
      <c r="P21" s="238"/>
      <c r="Q21" s="248">
        <f t="shared" si="0"/>
        <v>21880.744808932366</v>
      </c>
      <c r="R21" s="238"/>
      <c r="S21" s="248">
        <f t="shared" si="0"/>
        <v>22646.570877244998</v>
      </c>
      <c r="T21" s="238"/>
      <c r="U21" s="248">
        <f t="shared" si="0"/>
        <v>23439.20085794857</v>
      </c>
      <c r="V21" s="238"/>
      <c r="W21" s="248">
        <f t="shared" si="0"/>
        <v>24259.572887976767</v>
      </c>
      <c r="X21" s="238"/>
      <c r="Y21" s="248">
        <f t="shared" si="0"/>
        <v>25108.657939055953</v>
      </c>
      <c r="Z21" s="238"/>
      <c r="AA21" s="248">
        <f t="shared" si="0"/>
        <v>25987.46096692291</v>
      </c>
      <c r="AB21" s="238"/>
      <c r="AC21" s="248">
        <f t="shared" si="0"/>
        <v>26897.022100765211</v>
      </c>
      <c r="AD21" s="238"/>
      <c r="AE21" s="248">
        <f t="shared" si="0"/>
        <v>27838.41787429199</v>
      </c>
      <c r="AF21" s="238"/>
      <c r="AG21" s="248">
        <f t="shared" si="0"/>
        <v>28812.762499892207</v>
      </c>
    </row>
    <row r="22" spans="1:33" s="239" customFormat="1" ht="15">
      <c r="A22" s="239" t="s">
        <v>853</v>
      </c>
      <c r="C22" s="249"/>
      <c r="E22" s="239">
        <f>SUM(E15:E21)</f>
        <v>1036263</v>
      </c>
      <c r="G22" s="239">
        <f>SUM(G15:G21)</f>
        <v>1072532.2049999998</v>
      </c>
      <c r="I22" s="239">
        <f>SUM(I15:I21)</f>
        <v>1110070.8321749999</v>
      </c>
      <c r="K22" s="239">
        <f>SUM(K15:K21)</f>
        <v>1148923.3113011247</v>
      </c>
      <c r="M22" s="239">
        <f>SUM(M15:M21)</f>
        <v>1189135.627196664</v>
      </c>
      <c r="O22" s="239">
        <f>SUM(O15:O21)</f>
        <v>1230755.374148547</v>
      </c>
      <c r="Q22" s="239">
        <f>SUM(Q15:Q21)</f>
        <v>1273831.8122437461</v>
      </c>
      <c r="S22" s="239">
        <f>SUM(S15:S21)</f>
        <v>1318415.9256722771</v>
      </c>
      <c r="U22" s="239">
        <f>SUM(U15:U21)</f>
        <v>1364560.4830708068</v>
      </c>
      <c r="W22" s="239">
        <f>SUM(W15:W21)</f>
        <v>1412320.0999782849</v>
      </c>
      <c r="Y22" s="239">
        <f>SUM(Y15:Y21)</f>
        <v>1461751.3034775248</v>
      </c>
      <c r="AA22" s="239">
        <f>SUM(AA15:AA21)</f>
        <v>1512912.5990992379</v>
      </c>
      <c r="AC22" s="239">
        <f>SUM(AC15:AC21)</f>
        <v>1565864.5400677114</v>
      </c>
      <c r="AE22" s="239">
        <f>SUM(AE15:AE21)</f>
        <v>1620669.7989700809</v>
      </c>
      <c r="AG22" s="239">
        <f>SUM(AG15:AG21)</f>
        <v>1677393.2419340338</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1869</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1262</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855</v>
      </c>
      <c r="C27" s="253">
        <v>1.0349999999999999</v>
      </c>
      <c r="E27" s="238">
        <f>Application!AC888</f>
        <v>75543</v>
      </c>
      <c r="F27" s="238"/>
      <c r="G27" s="238">
        <f>E27*$C$27</f>
        <v>78187.00499999999</v>
      </c>
      <c r="H27" s="238"/>
      <c r="I27" s="238">
        <f>G27*$C$27</f>
        <v>80923.550174999982</v>
      </c>
      <c r="J27" s="238"/>
      <c r="K27" s="238">
        <f>I27*$C$27</f>
        <v>83755.874431124976</v>
      </c>
      <c r="L27" s="238"/>
      <c r="M27" s="238">
        <f>K27*$C$27</f>
        <v>86687.330036214349</v>
      </c>
      <c r="N27" s="238"/>
      <c r="O27" s="238">
        <f>M27*$C$27</f>
        <v>89721.386587481844</v>
      </c>
      <c r="P27" s="238"/>
      <c r="Q27" s="238">
        <f>O27*$C$27</f>
        <v>92861.635118043705</v>
      </c>
      <c r="R27" s="238"/>
      <c r="S27" s="238">
        <f>Q27*$C$27</f>
        <v>96111.792347175229</v>
      </c>
      <c r="T27" s="238"/>
      <c r="U27" s="238">
        <f>S27*$C$27</f>
        <v>99475.705079326348</v>
      </c>
      <c r="V27" s="238"/>
      <c r="W27" s="238">
        <f>U27*$C$27</f>
        <v>102957.35475710276</v>
      </c>
      <c r="X27" s="238"/>
      <c r="Y27" s="238">
        <f>W27*$C$27</f>
        <v>106560.86217360134</v>
      </c>
      <c r="Z27" s="238"/>
      <c r="AA27" s="238">
        <f>Y27*$C$27</f>
        <v>110290.49234967738</v>
      </c>
      <c r="AB27" s="238"/>
      <c r="AC27" s="238">
        <f>AA27*$C$27</f>
        <v>114150.65958191609</v>
      </c>
      <c r="AD27" s="238"/>
      <c r="AE27" s="238">
        <f>AC27*$C$27</f>
        <v>118145.93266728314</v>
      </c>
      <c r="AF27" s="238"/>
      <c r="AG27" s="238">
        <f>AE27*$C$27</f>
        <v>122281.04031063804</v>
      </c>
    </row>
    <row r="28" spans="1:33" s="225" customFormat="1" ht="14.25">
      <c r="A28" s="225" t="s">
        <v>856</v>
      </c>
      <c r="C28" s="253"/>
      <c r="E28" s="238">
        <f>Application!AC889</f>
        <v>62000</v>
      </c>
      <c r="F28" s="238"/>
      <c r="G28" s="238">
        <f>$E$28</f>
        <v>62000</v>
      </c>
      <c r="H28" s="238"/>
      <c r="I28" s="238">
        <f>$E$28</f>
        <v>62000</v>
      </c>
      <c r="J28" s="238"/>
      <c r="K28" s="238">
        <f>$E$28</f>
        <v>62000</v>
      </c>
      <c r="L28" s="238"/>
      <c r="M28" s="238">
        <f>$E$28</f>
        <v>62000</v>
      </c>
      <c r="N28" s="238"/>
      <c r="O28" s="238">
        <f>$E$28</f>
        <v>62000</v>
      </c>
      <c r="P28" s="238"/>
      <c r="Q28" s="238">
        <f>$E$28</f>
        <v>62000</v>
      </c>
      <c r="R28" s="238"/>
      <c r="S28" s="238">
        <f>$E$28</f>
        <v>62000</v>
      </c>
      <c r="T28" s="238"/>
      <c r="U28" s="238">
        <f>$E$28</f>
        <v>62000</v>
      </c>
      <c r="V28" s="238"/>
      <c r="W28" s="238">
        <f>$E$28</f>
        <v>62000</v>
      </c>
      <c r="X28" s="238"/>
      <c r="Y28" s="238">
        <f>$E$28</f>
        <v>62000</v>
      </c>
      <c r="Z28" s="238"/>
      <c r="AA28" s="238">
        <f>$E$28</f>
        <v>62000</v>
      </c>
      <c r="AB28" s="238"/>
      <c r="AC28" s="238">
        <f>$E$28</f>
        <v>62000</v>
      </c>
      <c r="AD28" s="238"/>
      <c r="AE28" s="238">
        <f>$E$28</f>
        <v>62000</v>
      </c>
      <c r="AF28" s="238"/>
      <c r="AG28" s="238">
        <f>$E$28</f>
        <v>62000</v>
      </c>
    </row>
    <row r="29" spans="1:33" s="225" customFormat="1" ht="14.25">
      <c r="A29" s="225" t="s">
        <v>1867</v>
      </c>
      <c r="C29" s="253"/>
      <c r="E29" s="238">
        <f>Application!AC890</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25">
      <c r="A30" s="225" t="s">
        <v>854</v>
      </c>
      <c r="C30" s="253">
        <v>1.02</v>
      </c>
      <c r="E30" s="238">
        <f>Application!AC891</f>
        <v>0</v>
      </c>
      <c r="F30" s="238"/>
      <c r="G30" s="238">
        <f>E30*$C$30</f>
        <v>0</v>
      </c>
      <c r="H30" s="238"/>
      <c r="I30" s="238">
        <f>G30*$C$30</f>
        <v>0</v>
      </c>
      <c r="J30" s="238"/>
      <c r="K30" s="238">
        <f>I30*$C$30</f>
        <v>0</v>
      </c>
      <c r="L30" s="238"/>
      <c r="M30" s="238">
        <f>K30*$C$30</f>
        <v>0</v>
      </c>
      <c r="N30" s="238"/>
      <c r="O30" s="238">
        <f>M30*$C$30</f>
        <v>0</v>
      </c>
      <c r="P30" s="238"/>
      <c r="Q30" s="238">
        <f>O30*$C$30</f>
        <v>0</v>
      </c>
      <c r="R30" s="238"/>
      <c r="S30" s="238">
        <f>Q30*$C$30</f>
        <v>0</v>
      </c>
      <c r="T30" s="238"/>
      <c r="U30" s="238">
        <f>S30*$C$30</f>
        <v>0</v>
      </c>
      <c r="V30" s="238"/>
      <c r="W30" s="238">
        <f>U30*$C$30</f>
        <v>0</v>
      </c>
      <c r="X30" s="238"/>
      <c r="Y30" s="238">
        <f>W30*$C$30</f>
        <v>0</v>
      </c>
      <c r="Z30" s="238"/>
      <c r="AA30" s="238">
        <f>Y30*$C$30</f>
        <v>0</v>
      </c>
      <c r="AB30" s="238"/>
      <c r="AC30" s="238">
        <f>AA30*$C$30</f>
        <v>0</v>
      </c>
      <c r="AD30" s="238"/>
      <c r="AE30" s="238">
        <f>AC30*$C$30</f>
        <v>0</v>
      </c>
      <c r="AF30" s="238"/>
      <c r="AG30" s="238">
        <f>AE30*$C$30</f>
        <v>0</v>
      </c>
    </row>
    <row r="31" spans="1:33" s="225" customFormat="1" ht="14.25">
      <c r="A31" s="225" t="s">
        <v>1868</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Annual Issuer Fees</v>
      </c>
      <c r="C32" s="340">
        <v>1.0349999999999999</v>
      </c>
      <c r="E32" s="238">
        <f>Application!AC893</f>
        <v>11181</v>
      </c>
      <c r="F32" s="238"/>
      <c r="G32" s="238">
        <f>E32*$C$32</f>
        <v>11572.334999999999</v>
      </c>
      <c r="H32" s="238"/>
      <c r="I32" s="238">
        <f>G32*$C$32</f>
        <v>11977.366724999998</v>
      </c>
      <c r="J32" s="238"/>
      <c r="K32" s="238">
        <f>I32*$C$32</f>
        <v>12396.574560374997</v>
      </c>
      <c r="L32" s="238"/>
      <c r="M32" s="238">
        <f>K32*$C$32</f>
        <v>12830.454669988121</v>
      </c>
      <c r="N32" s="238"/>
      <c r="O32" s="238">
        <f>M32*$C$32</f>
        <v>13279.520583437705</v>
      </c>
      <c r="P32" s="238"/>
      <c r="Q32" s="238">
        <f>O32*$C$32</f>
        <v>13744.303803858023</v>
      </c>
      <c r="R32" s="238"/>
      <c r="S32" s="238">
        <f>Q32*$C$32</f>
        <v>14225.354436993053</v>
      </c>
      <c r="T32" s="238"/>
      <c r="U32" s="238">
        <f>S32*$C$32</f>
        <v>14723.241842287809</v>
      </c>
      <c r="V32" s="238"/>
      <c r="W32" s="238">
        <f>U32*$C$32</f>
        <v>15238.555306767881</v>
      </c>
      <c r="X32" s="238"/>
      <c r="Y32" s="238">
        <f>W32*$C$32</f>
        <v>15771.904742504756</v>
      </c>
      <c r="Z32" s="238"/>
      <c r="AA32" s="238">
        <f>Y32*$C$32</f>
        <v>16323.921408492421</v>
      </c>
      <c r="AB32" s="238"/>
      <c r="AC32" s="238">
        <f>AA32*$C$32</f>
        <v>16895.258657789655</v>
      </c>
      <c r="AD32" s="238"/>
      <c r="AE32" s="238">
        <f>AC32*$C$32</f>
        <v>17486.592710812292</v>
      </c>
      <c r="AF32" s="238"/>
      <c r="AG32" s="238">
        <f>AE32*$C$32</f>
        <v>18098.623455690722</v>
      </c>
    </row>
    <row r="33" spans="1:33" s="225" customFormat="1" ht="14.25">
      <c r="A33" s="225">
        <f>Application!C894</f>
        <v>0</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177</v>
      </c>
      <c r="C35" s="240"/>
      <c r="E35" s="239">
        <f>SUM(E22:E33)</f>
        <v>1184987</v>
      </c>
      <c r="G35" s="239">
        <f>SUM(G22:G33)</f>
        <v>1224291.5449999997</v>
      </c>
      <c r="I35" s="239">
        <f>SUM(I22:I33)</f>
        <v>1264971.7490749999</v>
      </c>
      <c r="K35" s="239">
        <f>SUM(K22:K33)</f>
        <v>1307075.7602926246</v>
      </c>
      <c r="M35" s="239">
        <f>SUM(M22:M33)</f>
        <v>1350653.4119028663</v>
      </c>
      <c r="O35" s="239">
        <f>SUM(O22:O33)</f>
        <v>1395756.2813194667</v>
      </c>
      <c r="Q35" s="239">
        <f>SUM(Q22:Q33)</f>
        <v>1442437.751165648</v>
      </c>
      <c r="S35" s="239">
        <f>SUM(S22:S33)</f>
        <v>1490753.0724564455</v>
      </c>
      <c r="U35" s="239">
        <f>SUM(U22:U33)</f>
        <v>1540759.4299924211</v>
      </c>
      <c r="W35" s="239">
        <f>SUM(W22:W33)</f>
        <v>1592516.0100421554</v>
      </c>
      <c r="Y35" s="239">
        <f>SUM(Y22:Y33)</f>
        <v>1646084.0703936308</v>
      </c>
      <c r="AA35" s="239">
        <f>SUM(AA22:AA33)</f>
        <v>1701527.0128574078</v>
      </c>
      <c r="AC35" s="239">
        <f>SUM(AC22:AC33)</f>
        <v>1758910.4583074171</v>
      </c>
      <c r="AE35" s="239">
        <f>SUM(AE22:AE33)</f>
        <v>1818302.3243481764</v>
      </c>
      <c r="AG35" s="239">
        <f>SUM(AG22:AG33)</f>
        <v>1879772.9057003625</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857</v>
      </c>
      <c r="C37" s="240"/>
      <c r="E37" s="239">
        <f>E11-E35</f>
        <v>1949363.2000000002</v>
      </c>
      <c r="G37" s="239">
        <f>G11-G35</f>
        <v>1988417.4100000004</v>
      </c>
      <c r="I37" s="239">
        <f>I11-I35</f>
        <v>2028054.9297999998</v>
      </c>
      <c r="K37" s="239">
        <f>K11-K35</f>
        <v>2068276.5855542501</v>
      </c>
      <c r="M37" s="239">
        <f>M11-M35</f>
        <v>2109082.7425901792</v>
      </c>
      <c r="O37" s="239">
        <f>O11-O35</f>
        <v>2150473.277035905</v>
      </c>
      <c r="Q37" s="239">
        <f>Q11-Q35</f>
        <v>2192447.5461486075</v>
      </c>
      <c r="S37" s="239">
        <f>S11-S35</f>
        <v>2235004.3572906661</v>
      </c>
      <c r="U37" s="239">
        <f>U11-U35</f>
        <v>2278141.935498368</v>
      </c>
      <c r="W37" s="239">
        <f>W11-W35</f>
        <v>2321857.8895859029</v>
      </c>
      <c r="Y37" s="239">
        <f>Y11-Y35</f>
        <v>2366149.1767251287</v>
      </c>
      <c r="AA37" s="239">
        <f>AA11-AA35</f>
        <v>2411012.0654393202</v>
      </c>
      <c r="AC37" s="239">
        <f>AC11-AC35</f>
        <v>2456442.0969467293</v>
      </c>
      <c r="AE37" s="239">
        <f>AE11-AE35</f>
        <v>2502434.0447873226</v>
      </c>
      <c r="AG37" s="239">
        <f>AG11-AG35</f>
        <v>2548981.8726635231</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870</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Chase Tax-Exempt Perm Loan</v>
      </c>
      <c r="B40" s="242"/>
      <c r="C40" s="236"/>
      <c r="E40" s="238">
        <f>Application!AF627</f>
        <v>1599080.3756038491</v>
      </c>
      <c r="F40" s="238"/>
      <c r="G40" s="238">
        <f>$E$40</f>
        <v>1599080.3756038491</v>
      </c>
      <c r="H40" s="238"/>
      <c r="I40" s="238">
        <f>$E$40</f>
        <v>1599080.3756038491</v>
      </c>
      <c r="J40" s="238"/>
      <c r="K40" s="238">
        <f>$E$40</f>
        <v>1599080.3756038491</v>
      </c>
      <c r="L40" s="238"/>
      <c r="M40" s="238">
        <f>$E$40</f>
        <v>1599080.3756038491</v>
      </c>
      <c r="N40" s="238"/>
      <c r="O40" s="238">
        <f>$E$40</f>
        <v>1599080.3756038491</v>
      </c>
      <c r="P40" s="238"/>
      <c r="Q40" s="238">
        <f>$E$40</f>
        <v>1599080.3756038491</v>
      </c>
      <c r="R40" s="238"/>
      <c r="S40" s="238">
        <f>$E$40</f>
        <v>1599080.3756038491</v>
      </c>
      <c r="T40" s="238"/>
      <c r="U40" s="238">
        <f>$E$40</f>
        <v>1599080.3756038491</v>
      </c>
      <c r="V40" s="238"/>
      <c r="W40" s="238">
        <f>$E$40</f>
        <v>1599080.3756038491</v>
      </c>
      <c r="X40" s="238"/>
      <c r="Y40" s="238">
        <f>$E$40</f>
        <v>1599080.3756038491</v>
      </c>
      <c r="Z40" s="238"/>
      <c r="AA40" s="238">
        <f>$E$40</f>
        <v>1599080.3756038491</v>
      </c>
      <c r="AB40" s="238"/>
      <c r="AC40" s="238">
        <f>$E$40</f>
        <v>1599080.3756038491</v>
      </c>
      <c r="AD40" s="238"/>
      <c r="AE40" s="238">
        <f>$E$40</f>
        <v>1599080.3756038491</v>
      </c>
      <c r="AF40" s="238"/>
      <c r="AG40" s="238">
        <f>$E$40</f>
        <v>1599080.3756038491</v>
      </c>
    </row>
    <row r="41" spans="1:33" s="225" customFormat="1" ht="14.25">
      <c r="A41" s="241" t="s">
        <v>2771</v>
      </c>
      <c r="B41" s="242"/>
      <c r="C41" s="236"/>
      <c r="E41" s="238">
        <f>Application!AF628</f>
        <v>94500</v>
      </c>
      <c r="F41" s="238"/>
      <c r="G41" s="238">
        <f>$E$41</f>
        <v>94500</v>
      </c>
      <c r="H41" s="238"/>
      <c r="I41" s="238">
        <f>$E$41</f>
        <v>94500</v>
      </c>
      <c r="J41" s="238"/>
      <c r="K41" s="238">
        <f>$E$41</f>
        <v>94500</v>
      </c>
      <c r="L41" s="238"/>
      <c r="M41" s="238">
        <f>$E$41</f>
        <v>94500</v>
      </c>
      <c r="N41" s="238"/>
      <c r="O41" s="238">
        <f>$E$41</f>
        <v>94500</v>
      </c>
      <c r="P41" s="238"/>
      <c r="Q41" s="238">
        <f>$E$41</f>
        <v>94500</v>
      </c>
      <c r="R41" s="238"/>
      <c r="S41" s="238">
        <f>$E$41</f>
        <v>94500</v>
      </c>
      <c r="T41" s="238"/>
      <c r="U41" s="238">
        <f>$E$41</f>
        <v>94500</v>
      </c>
      <c r="V41" s="238"/>
      <c r="W41" s="238">
        <f>$E$41</f>
        <v>94500</v>
      </c>
      <c r="X41" s="238"/>
      <c r="Y41" s="238">
        <f>$E$41</f>
        <v>94500</v>
      </c>
      <c r="Z41" s="238"/>
      <c r="AA41" s="238">
        <f>$E$41</f>
        <v>94500</v>
      </c>
      <c r="AB41" s="238"/>
      <c r="AC41" s="238">
        <f>$E$41</f>
        <v>94500</v>
      </c>
      <c r="AD41" s="238"/>
      <c r="AE41" s="238">
        <f>$E$41</f>
        <v>94500</v>
      </c>
      <c r="AF41" s="238"/>
      <c r="AG41" s="238">
        <f>$E$41</f>
        <v>94500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858</v>
      </c>
      <c r="C43" s="240"/>
      <c r="E43" s="239">
        <f>SUM(E40:E42)</f>
        <v>1693580.3756038491</v>
      </c>
      <c r="G43" s="239">
        <f>SUM(G40:G42)</f>
        <v>1693580.3756038491</v>
      </c>
      <c r="I43" s="239">
        <f>SUM(I40:I42)</f>
        <v>1693580.3756038491</v>
      </c>
      <c r="K43" s="239">
        <f>SUM(K40:K42)</f>
        <v>1693580.3756038491</v>
      </c>
      <c r="M43" s="239">
        <f>SUM(M40:M42)</f>
        <v>1693580.3756038491</v>
      </c>
      <c r="O43" s="239">
        <f>SUM(O40:O42)</f>
        <v>1693580.3756038491</v>
      </c>
      <c r="Q43" s="239">
        <f>SUM(Q40:Q42)</f>
        <v>1693580.3756038491</v>
      </c>
      <c r="S43" s="239">
        <f>SUM(S40:S42)</f>
        <v>1693580.3756038491</v>
      </c>
      <c r="U43" s="239">
        <f>SUM(U40:U42)</f>
        <v>1693580.3756038491</v>
      </c>
      <c r="W43" s="239">
        <f>SUM(W40:W42)</f>
        <v>1693580.3756038491</v>
      </c>
      <c r="Y43" s="239">
        <f>SUM(Y40:Y42)</f>
        <v>1693580.3756038491</v>
      </c>
      <c r="AA43" s="239">
        <f>SUM(AA40:AA42)</f>
        <v>1693580.3756038491</v>
      </c>
      <c r="AC43" s="239">
        <f>SUM(AC40:AC42)</f>
        <v>1693580.3756038491</v>
      </c>
      <c r="AE43" s="239">
        <f>SUM(AE40:AE42)</f>
        <v>1693580.3756038491</v>
      </c>
      <c r="AG43" s="239">
        <f>SUM(AG40:AG42)</f>
        <v>1693580.3756038491</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859</v>
      </c>
      <c r="C45" s="240"/>
      <c r="E45" s="239">
        <f>E37-E43</f>
        <v>255782.82439615112</v>
      </c>
      <c r="G45" s="239">
        <f>G37-G43</f>
        <v>294837.03439615131</v>
      </c>
      <c r="I45" s="239">
        <f>I37-I43</f>
        <v>334474.55419615074</v>
      </c>
      <c r="K45" s="239">
        <f>K37-K43</f>
        <v>374696.20995040098</v>
      </c>
      <c r="M45" s="239">
        <f>M37-M43</f>
        <v>415502.36698633013</v>
      </c>
      <c r="O45" s="239">
        <f>O37-O43</f>
        <v>456892.90143205598</v>
      </c>
      <c r="Q45" s="239">
        <f>Q37-Q43</f>
        <v>498867.17054475844</v>
      </c>
      <c r="S45" s="239">
        <f>S37-S43</f>
        <v>541423.98168681702</v>
      </c>
      <c r="U45" s="239">
        <f>U37-U43</f>
        <v>584561.55989451893</v>
      </c>
      <c r="W45" s="239">
        <f>W37-W43</f>
        <v>628277.51398205385</v>
      </c>
      <c r="Y45" s="239">
        <f>Y37-Y43</f>
        <v>672568.8011212796</v>
      </c>
      <c r="AA45" s="239">
        <f>AA37-AA43</f>
        <v>717431.6898354711</v>
      </c>
      <c r="AC45" s="239">
        <f>AC37-AC43</f>
        <v>762861.72134288028</v>
      </c>
      <c r="AE45" s="239">
        <f>AE37-AE43</f>
        <v>808853.66918347357</v>
      </c>
      <c r="AG45" s="239">
        <f>AG37-AG43</f>
        <v>855401.497059674</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861</v>
      </c>
      <c r="C47" s="236"/>
      <c r="E47" s="243">
        <f>E45/(E4+E6+E8)</f>
        <v>7.7526015815445118E-2</v>
      </c>
      <c r="G47" s="243">
        <f>G45/(G4+G6+G8)</f>
        <v>8.7183491128390675E-2</v>
      </c>
      <c r="I47" s="243">
        <f>I45/(I4+I6+I8)</f>
        <v>9.6492029209704663E-2</v>
      </c>
      <c r="K47" s="243">
        <f>K45/(K4+K6+K8)</f>
        <v>0.10545903448890767</v>
      </c>
      <c r="M47" s="243">
        <f>M45/(M4+M6+M8)</f>
        <v>0.11409172000714399</v>
      </c>
      <c r="O47" s="243">
        <f>O45/(O4+O6+O8)</f>
        <v>0.12239711197989984</v>
      </c>
      <c r="Q47" s="243">
        <f>Q45/(Q4+Q6+Q8)</f>
        <v>0.13038205424740454</v>
      </c>
      <c r="S47" s="243">
        <f>S45/(S4+S6+S8)</f>
        <v>0.13805321261545153</v>
      </c>
      <c r="U47" s="243">
        <f>U45/(U4+U6+U8)</f>
        <v>0.14541707908929558</v>
      </c>
      <c r="W47" s="243">
        <f>W45/(W4+W6+W8)</f>
        <v>0.15247997600322871</v>
      </c>
      <c r="Y47" s="243">
        <f>Y45/(Y4+Y6+Y8)</f>
        <v>0.1592480600483652</v>
      </c>
      <c r="AA47" s="243">
        <f>AA45/(AA4+AA6+AA8)</f>
        <v>0.16572732620111083</v>
      </c>
      <c r="AC47" s="243">
        <f>AC45/(AC4+AC6+AC8)</f>
        <v>0.17192361155472621</v>
      </c>
      <c r="AE47" s="243">
        <f>AE45/(AE4+AE6+AE8)</f>
        <v>0.17784259905633745</v>
      </c>
      <c r="AG47" s="243">
        <f>AG45/(AG4+AG6+AG8)</f>
        <v>0.18348982115169188</v>
      </c>
    </row>
    <row r="48" spans="1:33" s="243" customFormat="1" ht="14.25">
      <c r="A48" s="243" t="s">
        <v>862</v>
      </c>
      <c r="C48" s="236"/>
      <c r="E48" s="243">
        <f>E45/E43</f>
        <v>0.15103081500041077</v>
      </c>
      <c r="G48" s="243">
        <f>G45/G43</f>
        <v>0.17409096057281997</v>
      </c>
      <c r="I48" s="243">
        <f>I45/I43</f>
        <v>0.19749553018816321</v>
      </c>
      <c r="K48" s="243">
        <f>K45/K43</f>
        <v>0.22124501166164162</v>
      </c>
      <c r="M48" s="243">
        <f>M45/M43</f>
        <v>0.24533962070632875</v>
      </c>
      <c r="O48" s="243">
        <f>O45/O43</f>
        <v>0.26977928418020902</v>
      </c>
      <c r="Q48" s="243">
        <f>Q45/Q43</f>
        <v>0.29456362256611912</v>
      </c>
      <c r="S48" s="243">
        <f>S45/S43</f>
        <v>0.31969193165324161</v>
      </c>
      <c r="U48" s="243">
        <f>U45/U43</f>
        <v>0.34516316338756137</v>
      </c>
      <c r="W48" s="243">
        <f>W45/W43</f>
        <v>0.37097590585745915</v>
      </c>
      <c r="Y48" s="243">
        <f>Y45/Y43</f>
        <v>0.39712836237930188</v>
      </c>
      <c r="AA48" s="243">
        <f>AA45/AA43</f>
        <v>0.42361832964654517</v>
      </c>
      <c r="AC48" s="243">
        <f>AC45/AC43</f>
        <v>0.45044317490445684</v>
      </c>
      <c r="AE48" s="243">
        <f>AE45/AE43</f>
        <v>0.47759981211111718</v>
      </c>
      <c r="AG48" s="243">
        <f>AG45/AG43</f>
        <v>0.50508467704385096</v>
      </c>
    </row>
    <row r="49" spans="1:35" s="244" customFormat="1" ht="14.25">
      <c r="A49" s="244" t="s">
        <v>860</v>
      </c>
      <c r="C49" s="245"/>
      <c r="E49" s="244">
        <f>E37/E43</f>
        <v>1.1510308150004107</v>
      </c>
      <c r="G49" s="244">
        <f>G37/G43</f>
        <v>1.17409096057282</v>
      </c>
      <c r="I49" s="244">
        <f>I37/I43</f>
        <v>1.1974955301881631</v>
      </c>
      <c r="K49" s="244">
        <f>K37/K43</f>
        <v>1.2212450116616416</v>
      </c>
      <c r="M49" s="244">
        <f>M37/M43</f>
        <v>1.2453396207063288</v>
      </c>
      <c r="O49" s="244">
        <f>O37/O43</f>
        <v>1.2697792841802091</v>
      </c>
      <c r="Q49" s="244">
        <f>Q37/Q43</f>
        <v>1.294563622566119</v>
      </c>
      <c r="S49" s="244">
        <f>S37/S43</f>
        <v>1.3196919316532416</v>
      </c>
      <c r="U49" s="244">
        <f>U37/U43</f>
        <v>1.3451631633875614</v>
      </c>
      <c r="W49" s="244">
        <f>W37/W43</f>
        <v>1.3709759058574591</v>
      </c>
      <c r="Y49" s="244">
        <f>Y37/Y43</f>
        <v>1.3971283623793018</v>
      </c>
      <c r="AA49" s="244">
        <f>AA37/AA43</f>
        <v>1.4236183296465452</v>
      </c>
      <c r="AC49" s="244">
        <f>AC37/AC43</f>
        <v>1.4504431749044568</v>
      </c>
      <c r="AE49" s="244">
        <f>AE37/AE43</f>
        <v>1.4775998121111171</v>
      </c>
      <c r="AG49" s="244">
        <f>AG37/AG43</f>
        <v>1.5050846770438511</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872</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90" t="s">
        <v>1288</v>
      </c>
      <c r="B52" s="2690"/>
      <c r="C52" s="2690"/>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864</v>
      </c>
      <c r="C53" s="998">
        <v>1.03</v>
      </c>
      <c r="E53" s="999">
        <v>0</v>
      </c>
      <c r="G53" s="995">
        <f>E53*$C$53</f>
        <v>0</v>
      </c>
      <c r="I53" s="995">
        <f>G53*$C$53</f>
        <v>0</v>
      </c>
      <c r="K53" s="995">
        <f>I53*$C$53</f>
        <v>0</v>
      </c>
      <c r="M53" s="995">
        <f>K53*$C$53</f>
        <v>0</v>
      </c>
      <c r="O53" s="995">
        <f>M53*$C$53</f>
        <v>0</v>
      </c>
      <c r="Q53" s="995">
        <f>O53*$C$53</f>
        <v>0</v>
      </c>
      <c r="S53" s="995">
        <f>Q53*$C$53</f>
        <v>0</v>
      </c>
      <c r="U53" s="995">
        <f>S53*$C$53</f>
        <v>0</v>
      </c>
      <c r="W53" s="995">
        <f>U53*$C$53</f>
        <v>0</v>
      </c>
      <c r="Y53" s="995">
        <f>W53*$C$53</f>
        <v>0</v>
      </c>
      <c r="AA53" s="995">
        <f>Y53*$C$53</f>
        <v>0</v>
      </c>
      <c r="AC53" s="995">
        <f>AA53*$C$53</f>
        <v>0</v>
      </c>
      <c r="AE53" s="995">
        <f>AC53*$C$53</f>
        <v>0</v>
      </c>
      <c r="AG53" s="995">
        <f>AE53*$C$53</f>
        <v>0</v>
      </c>
    </row>
    <row r="54" spans="1:35" s="3" customFormat="1">
      <c r="A54" s="3" t="s">
        <v>865</v>
      </c>
      <c r="C54" s="993"/>
      <c r="E54" s="1000">
        <v>0</v>
      </c>
      <c r="F54" s="995"/>
      <c r="G54" s="995">
        <f t="shared" ref="G54:AG57" si="1">E54*$C$53</f>
        <v>0</v>
      </c>
      <c r="H54" s="995"/>
      <c r="I54" s="995">
        <f t="shared" si="1"/>
        <v>0</v>
      </c>
      <c r="J54" s="995"/>
      <c r="K54" s="995">
        <f t="shared" si="1"/>
        <v>0</v>
      </c>
      <c r="L54" s="995"/>
      <c r="M54" s="995">
        <f t="shared" si="1"/>
        <v>0</v>
      </c>
      <c r="N54" s="995"/>
      <c r="O54" s="995">
        <f t="shared" si="1"/>
        <v>0</v>
      </c>
      <c r="P54" s="995"/>
      <c r="Q54" s="995">
        <f t="shared" si="1"/>
        <v>0</v>
      </c>
      <c r="R54" s="995"/>
      <c r="S54" s="995">
        <f t="shared" si="1"/>
        <v>0</v>
      </c>
      <c r="T54" s="995"/>
      <c r="U54" s="995">
        <f t="shared" si="1"/>
        <v>0</v>
      </c>
      <c r="V54" s="995"/>
      <c r="W54" s="995">
        <f t="shared" si="1"/>
        <v>0</v>
      </c>
      <c r="X54" s="995"/>
      <c r="Y54" s="995">
        <f t="shared" si="1"/>
        <v>0</v>
      </c>
      <c r="Z54" s="995"/>
      <c r="AA54" s="995">
        <f t="shared" si="1"/>
        <v>0</v>
      </c>
      <c r="AB54" s="995"/>
      <c r="AC54" s="995">
        <f t="shared" si="1"/>
        <v>0</v>
      </c>
      <c r="AD54" s="995"/>
      <c r="AE54" s="995">
        <f t="shared" si="1"/>
        <v>0</v>
      </c>
      <c r="AF54" s="995"/>
      <c r="AG54" s="995">
        <f t="shared" si="1"/>
        <v>0</v>
      </c>
      <c r="AH54" s="995"/>
      <c r="AI54" s="995"/>
    </row>
    <row r="55" spans="1:35" s="3" customFormat="1">
      <c r="A55" s="3" t="s">
        <v>866</v>
      </c>
      <c r="C55" s="993"/>
      <c r="E55" s="1000">
        <v>0</v>
      </c>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863</v>
      </c>
      <c r="C58" s="996"/>
      <c r="E58" s="995">
        <f>SUM(E53:E57)</f>
        <v>0</v>
      </c>
      <c r="F58" s="995"/>
      <c r="G58" s="995">
        <f>SUM(G53:G57)</f>
        <v>0</v>
      </c>
      <c r="H58" s="995"/>
      <c r="I58" s="995">
        <f>SUM(I53:I57)</f>
        <v>0</v>
      </c>
      <c r="J58" s="995"/>
      <c r="K58" s="995">
        <f>SUM(K53:K57)</f>
        <v>0</v>
      </c>
      <c r="L58" s="995"/>
      <c r="M58" s="995">
        <f>SUM(M53:M57)</f>
        <v>0</v>
      </c>
      <c r="N58" s="995"/>
      <c r="O58" s="995">
        <f>SUM(O53:O57)</f>
        <v>0</v>
      </c>
      <c r="P58" s="995"/>
      <c r="Q58" s="995">
        <f>SUM(Q53:Q57)</f>
        <v>0</v>
      </c>
      <c r="R58" s="995"/>
      <c r="S58" s="995">
        <f>SUM(S53:S57)</f>
        <v>0</v>
      </c>
      <c r="T58" s="995"/>
      <c r="U58" s="995">
        <f>SUM(U53:U57)</f>
        <v>0</v>
      </c>
      <c r="V58" s="995"/>
      <c r="W58" s="995">
        <f>SUM(W53:W57)</f>
        <v>0</v>
      </c>
      <c r="X58" s="995"/>
      <c r="Y58" s="995">
        <f>SUM(Y53:Y57)</f>
        <v>0</v>
      </c>
      <c r="Z58" s="995"/>
      <c r="AA58" s="995">
        <f>SUM(AA53:AA57)</f>
        <v>0</v>
      </c>
      <c r="AB58" s="995"/>
      <c r="AC58" s="995">
        <f>SUM(AC53:AC57)</f>
        <v>0</v>
      </c>
      <c r="AD58" s="995"/>
      <c r="AE58" s="995">
        <f>SUM(AE53:AE57)</f>
        <v>0</v>
      </c>
      <c r="AF58" s="995"/>
      <c r="AG58" s="995">
        <f>SUM(AG53:AG57)</f>
        <v>0</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868</v>
      </c>
      <c r="C60" s="1004"/>
      <c r="E60" s="997">
        <f>E45-E58</f>
        <v>255782.82439615112</v>
      </c>
      <c r="G60" s="997">
        <f>G45-G58</f>
        <v>294837.03439615131</v>
      </c>
      <c r="I60" s="997">
        <f>I45-I58</f>
        <v>334474.55419615074</v>
      </c>
      <c r="K60" s="997">
        <f>K45-K58</f>
        <v>374696.20995040098</v>
      </c>
      <c r="M60" s="997">
        <f>M45-M58</f>
        <v>415502.36698633013</v>
      </c>
      <c r="O60" s="997">
        <f>O45-O58</f>
        <v>456892.90143205598</v>
      </c>
      <c r="Q60" s="997">
        <f>Q45-Q58</f>
        <v>498867.17054475844</v>
      </c>
      <c r="S60" s="997">
        <f>S45-S58</f>
        <v>541423.98168681702</v>
      </c>
      <c r="U60" s="997">
        <f>U45-U58</f>
        <v>584561.55989451893</v>
      </c>
      <c r="W60" s="997">
        <f>W45-W58</f>
        <v>628277.51398205385</v>
      </c>
      <c r="Y60" s="997">
        <f>Y45-Y58</f>
        <v>672568.8011212796</v>
      </c>
      <c r="AA60" s="997">
        <f>AA45-AA58</f>
        <v>717431.6898354711</v>
      </c>
      <c r="AC60" s="997">
        <f>AC45-AC58</f>
        <v>762861.72134288028</v>
      </c>
      <c r="AE60" s="997">
        <f>AE45-AE58</f>
        <v>808853.66918347357</v>
      </c>
      <c r="AG60" s="997">
        <f>AG45-AG58</f>
        <v>855401.497059674</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867</v>
      </c>
      <c r="C62" s="994">
        <v>0</v>
      </c>
      <c r="E62" s="999">
        <f>E60*$C$62</f>
        <v>0</v>
      </c>
      <c r="G62" s="997">
        <f>G60*$C$62</f>
        <v>0</v>
      </c>
      <c r="I62" s="997">
        <f>I60*$C$62</f>
        <v>0</v>
      </c>
      <c r="K62" s="997">
        <f>K60*$C$62</f>
        <v>0</v>
      </c>
      <c r="M62" s="997">
        <f>M60*$C$62</f>
        <v>0</v>
      </c>
      <c r="O62" s="997">
        <f>O60*$C$62</f>
        <v>0</v>
      </c>
      <c r="Q62" s="997">
        <f>Q60*$C$62</f>
        <v>0</v>
      </c>
      <c r="S62" s="997">
        <f>S60*$C$62</f>
        <v>0</v>
      </c>
      <c r="U62" s="997">
        <f>U60*$C$62</f>
        <v>0</v>
      </c>
      <c r="W62" s="997">
        <f>W60*$C$62</f>
        <v>0</v>
      </c>
      <c r="Y62" s="997">
        <f>Y60*$C$62</f>
        <v>0</v>
      </c>
      <c r="AA62" s="997">
        <f>AA60*$C$62</f>
        <v>0</v>
      </c>
      <c r="AC62" s="997">
        <f>AC60*$C$62</f>
        <v>0</v>
      </c>
      <c r="AE62" s="997">
        <f>AE60*$C$62</f>
        <v>0</v>
      </c>
      <c r="AG62" s="997">
        <f>AG60*$C$62</f>
        <v>0</v>
      </c>
    </row>
    <row r="63" spans="1:35" s="997" customFormat="1">
      <c r="A63" s="2690" t="s">
        <v>1288</v>
      </c>
      <c r="B63" s="2690"/>
      <c r="C63" s="2690"/>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871</v>
      </c>
      <c r="C65" s="994">
        <v>0</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c r="C66" s="998"/>
      <c r="E66" s="999">
        <f>$E60*$C$65</f>
        <v>0</v>
      </c>
      <c r="G66" s="995">
        <f>G60*$C$65</f>
        <v>0</v>
      </c>
      <c r="I66" s="995">
        <f>I60*$C$65</f>
        <v>0</v>
      </c>
      <c r="K66" s="995">
        <f>K60*$C$65</f>
        <v>0</v>
      </c>
      <c r="M66" s="995">
        <f>M60*$C$65</f>
        <v>0</v>
      </c>
      <c r="O66" s="995">
        <f>O60*$C$65</f>
        <v>0</v>
      </c>
      <c r="Q66" s="995">
        <f>Q60*$C$65</f>
        <v>0</v>
      </c>
      <c r="S66" s="995">
        <f>S60*$C$65</f>
        <v>0</v>
      </c>
      <c r="U66" s="995">
        <f>U60*$C$65</f>
        <v>0</v>
      </c>
      <c r="W66" s="995">
        <f>W60*$C$65</f>
        <v>0</v>
      </c>
      <c r="Y66" s="995">
        <f>Y60*$C$65</f>
        <v>0</v>
      </c>
      <c r="AA66" s="995">
        <f>AA60*$C$65</f>
        <v>0</v>
      </c>
      <c r="AC66" s="995">
        <f>AC60*$C$65</f>
        <v>0</v>
      </c>
      <c r="AE66" s="995">
        <f>AE60*$C$65</f>
        <v>0</v>
      </c>
      <c r="AG66" s="995">
        <f>AG60*$C$65</f>
        <v>0</v>
      </c>
    </row>
    <row r="67" spans="1:35" s="995" customFormat="1">
      <c r="A67" s="1000"/>
      <c r="B67" s="1000"/>
      <c r="C67" s="1005"/>
      <c r="E67" s="999">
        <f>$E60*$C$65</f>
        <v>0</v>
      </c>
      <c r="G67" s="995">
        <f>G60*$C$65</f>
        <v>0</v>
      </c>
      <c r="I67" s="995">
        <f>I60*$C$65</f>
        <v>0</v>
      </c>
      <c r="K67" s="995">
        <f>K60*$C$65</f>
        <v>0</v>
      </c>
      <c r="M67" s="995">
        <f>M60*$C$65</f>
        <v>0</v>
      </c>
      <c r="O67" s="995">
        <f>O60*$C$65</f>
        <v>0</v>
      </c>
      <c r="Q67" s="995">
        <f>Q60*$C$65</f>
        <v>0</v>
      </c>
      <c r="S67" s="995">
        <f>S60*$C$65</f>
        <v>0</v>
      </c>
      <c r="U67" s="995">
        <f>U60*$C$65</f>
        <v>0</v>
      </c>
      <c r="W67" s="995">
        <f>W60*$C$65</f>
        <v>0</v>
      </c>
      <c r="Y67" s="995">
        <f>Y60*$C$65</f>
        <v>0</v>
      </c>
      <c r="AA67" s="995">
        <f>AA60*$C$65</f>
        <v>0</v>
      </c>
      <c r="AC67" s="995">
        <f>AC60*$C$65</f>
        <v>0</v>
      </c>
      <c r="AE67" s="995">
        <f>AE60*$C$65</f>
        <v>0</v>
      </c>
      <c r="AG67" s="995">
        <f>AG60*$C$65</f>
        <v>0</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863</v>
      </c>
      <c r="C70" s="1005"/>
      <c r="E70" s="995">
        <f>SUM(E66:E69)</f>
        <v>0</v>
      </c>
      <c r="G70" s="995">
        <f>SUM(G66:G69)</f>
        <v>0</v>
      </c>
      <c r="I70" s="995">
        <f>SUM(I66:I69)</f>
        <v>0</v>
      </c>
      <c r="K70" s="995">
        <f>SUM(K66:K69)</f>
        <v>0</v>
      </c>
      <c r="M70" s="995">
        <f>SUM(M66:M69)</f>
        <v>0</v>
      </c>
      <c r="O70" s="995">
        <f>SUM(O66:O69)</f>
        <v>0</v>
      </c>
      <c r="Q70" s="995">
        <f>SUM(Q66:Q69)</f>
        <v>0</v>
      </c>
      <c r="S70" s="995">
        <f>SUM(S66:S69)</f>
        <v>0</v>
      </c>
      <c r="U70" s="995">
        <f>SUM(U66:U69)</f>
        <v>0</v>
      </c>
      <c r="W70" s="995">
        <f>SUM(W66:W69)</f>
        <v>0</v>
      </c>
      <c r="Y70" s="995">
        <f>SUM(Y66:Y69)</f>
        <v>0</v>
      </c>
      <c r="AA70" s="995">
        <f>SUM(AA66:AA69)</f>
        <v>0</v>
      </c>
      <c r="AC70" s="995">
        <f>SUM(AC66:AC69)</f>
        <v>0</v>
      </c>
      <c r="AE70" s="995">
        <f>SUM(AE66:AE69)</f>
        <v>0</v>
      </c>
      <c r="AG70" s="995">
        <f>SUM(AG66:AG69)</f>
        <v>0</v>
      </c>
    </row>
    <row r="71" spans="1:35" s="995" customFormat="1">
      <c r="A71" s="997"/>
      <c r="C71" s="1005"/>
    </row>
    <row r="72" spans="1:35" s="995" customFormat="1">
      <c r="A72" s="997" t="s">
        <v>1911</v>
      </c>
      <c r="C72" s="1005"/>
      <c r="E72" s="997">
        <f>E60-E62-E70</f>
        <v>255782.82439615112</v>
      </c>
      <c r="G72" s="997">
        <f>G60-G62-G70</f>
        <v>294837.03439615131</v>
      </c>
      <c r="I72" s="997">
        <f>I60-I62-I70</f>
        <v>334474.55419615074</v>
      </c>
      <c r="K72" s="997">
        <f>K60-K62-K70</f>
        <v>374696.20995040098</v>
      </c>
      <c r="M72" s="997">
        <f>M60-M62-M70</f>
        <v>415502.36698633013</v>
      </c>
      <c r="O72" s="997">
        <f>O60-O62-O70</f>
        <v>456892.90143205598</v>
      </c>
      <c r="Q72" s="997">
        <f>Q60-Q62-Q70</f>
        <v>498867.17054475844</v>
      </c>
      <c r="S72" s="997">
        <f>S60-S62-S70</f>
        <v>541423.98168681702</v>
      </c>
      <c r="U72" s="997">
        <f>U60-U62-U70</f>
        <v>584561.55989451893</v>
      </c>
      <c r="W72" s="997">
        <f>W60-W62-W70</f>
        <v>628277.51398205385</v>
      </c>
      <c r="Y72" s="997">
        <f>Y60-Y62-Y70</f>
        <v>672568.8011212796</v>
      </c>
      <c r="AA72" s="997">
        <f>AA60-AA62-AA70</f>
        <v>717431.6898354711</v>
      </c>
      <c r="AC72" s="997">
        <f>AC60-AC62-AC70</f>
        <v>762861.72134288028</v>
      </c>
      <c r="AE72" s="997">
        <f>AE60-AE62-AE70</f>
        <v>808853.66918347357</v>
      </c>
      <c r="AG72" s="997">
        <f>AG60-AG62-AG70</f>
        <v>855401.497059674</v>
      </c>
    </row>
    <row r="73" spans="1:35" s="995" customFormat="1">
      <c r="A73" s="563"/>
      <c r="C73" s="1005"/>
    </row>
    <row r="74" spans="1:35" s="233" customFormat="1">
      <c r="A74" s="563"/>
      <c r="C74" s="192"/>
    </row>
    <row r="75" spans="1:35" s="233" customFormat="1">
      <c r="A75" s="995" t="s">
        <v>1910</v>
      </c>
      <c r="C75" s="192"/>
    </row>
    <row r="76" spans="1:35" s="233" customFormat="1">
      <c r="C76" s="192"/>
    </row>
    <row r="77" spans="1:35" s="250" customFormat="1" ht="30" customHeight="1">
      <c r="A77" s="2688" t="s">
        <v>1909</v>
      </c>
      <c r="B77" s="2689"/>
      <c r="C77" s="2689"/>
      <c r="D77" s="2689"/>
      <c r="E77" s="2689"/>
      <c r="F77" s="2689"/>
      <c r="G77" s="2689"/>
      <c r="H77" s="2689"/>
      <c r="I77" s="2689"/>
      <c r="J77" s="2689"/>
      <c r="K77" s="2689"/>
      <c r="L77" s="2689"/>
      <c r="M77" s="2689"/>
      <c r="N77" s="2689"/>
      <c r="O77" s="2689"/>
      <c r="P77" s="2689"/>
      <c r="Q77" s="2689"/>
      <c r="R77" s="2689"/>
      <c r="S77" s="2689"/>
      <c r="T77" s="2689"/>
      <c r="U77" s="2689"/>
      <c r="V77" s="2689"/>
      <c r="W77" s="2689"/>
      <c r="X77" s="2689"/>
      <c r="Y77" s="2689"/>
      <c r="Z77" s="2689"/>
      <c r="AA77" s="2689"/>
      <c r="AB77" s="2689"/>
      <c r="AC77" s="2689"/>
      <c r="AD77" s="2689"/>
      <c r="AE77" s="2689"/>
      <c r="AF77" s="2689"/>
      <c r="AG77" s="2689"/>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988</v>
      </c>
    </row>
    <row r="2" spans="1:1" ht="15.75">
      <c r="A2" s="338"/>
    </row>
    <row r="3" spans="1:1" ht="15.75">
      <c r="A3" s="339" t="s">
        <v>983</v>
      </c>
    </row>
    <row r="4" spans="1:1" ht="15.75">
      <c r="A4" s="339" t="s">
        <v>984</v>
      </c>
    </row>
    <row r="5" spans="1:1" ht="15.75">
      <c r="A5" s="339" t="s">
        <v>985</v>
      </c>
    </row>
    <row r="6" spans="1:1" ht="15.75">
      <c r="A6" s="339" t="s">
        <v>987</v>
      </c>
    </row>
    <row r="7" spans="1:1" ht="15.75">
      <c r="A7" s="339" t="s">
        <v>986</v>
      </c>
    </row>
    <row r="8" spans="1:1" ht="15.75">
      <c r="A8" s="374" t="s">
        <v>1046</v>
      </c>
    </row>
    <row r="9" spans="1:1" ht="15.75">
      <c r="A9" s="339" t="s">
        <v>1047</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1321</v>
      </c>
      <c r="D1" s="301"/>
    </row>
    <row r="2" spans="1:7" s="296" customFormat="1">
      <c r="A2" s="279" t="s">
        <v>902</v>
      </c>
      <c r="B2" s="281"/>
      <c r="C2" s="281"/>
      <c r="D2" s="278"/>
      <c r="E2" s="282"/>
      <c r="F2" s="281"/>
    </row>
    <row r="3" spans="1:7" s="379" customFormat="1" ht="80.25" customHeight="1">
      <c r="A3" s="298"/>
      <c r="B3" s="283" t="s">
        <v>903</v>
      </c>
      <c r="C3" s="283" t="s">
        <v>904</v>
      </c>
      <c r="D3" s="283" t="s">
        <v>905</v>
      </c>
      <c r="E3" s="280" t="s">
        <v>906</v>
      </c>
      <c r="F3" s="280"/>
      <c r="G3" s="382"/>
    </row>
    <row r="4" spans="1:7" s="380" customFormat="1">
      <c r="A4" s="284" t="s">
        <v>26</v>
      </c>
      <c r="B4" s="284"/>
      <c r="C4" s="284"/>
      <c r="D4" s="284"/>
      <c r="E4" s="303"/>
      <c r="F4" s="284"/>
      <c r="G4" s="383"/>
    </row>
    <row r="5" spans="1:7" s="380" customFormat="1">
      <c r="A5" s="395" t="s">
        <v>27</v>
      </c>
      <c r="B5" s="286">
        <f>'Sources and Uses Budget'!$C4</f>
        <v>55</v>
      </c>
      <c r="C5" s="286">
        <f>'Sources and Uses Budget'!$C4</f>
        <v>55</v>
      </c>
      <c r="D5" s="290">
        <f>C5-B5</f>
        <v>0</v>
      </c>
      <c r="E5" s="288"/>
      <c r="F5" s="287"/>
      <c r="G5" s="383"/>
    </row>
    <row r="6" spans="1:7" s="380" customFormat="1">
      <c r="A6" s="395" t="s">
        <v>28</v>
      </c>
      <c r="B6" s="286">
        <f>'Sources and Uses Budget'!$C5</f>
        <v>1080000</v>
      </c>
      <c r="C6" s="286">
        <f>'Sources and Uses Budget'!$C5</f>
        <v>1080000</v>
      </c>
      <c r="D6" s="290">
        <f t="shared" ref="D6:D77" si="0">C6-B6</f>
        <v>0</v>
      </c>
      <c r="E6" s="288"/>
      <c r="F6" s="287"/>
      <c r="G6" s="383"/>
    </row>
    <row r="7" spans="1:7" s="380" customFormat="1">
      <c r="A7" s="395" t="s">
        <v>29</v>
      </c>
      <c r="B7" s="286">
        <f>'Sources and Uses Budget'!$C6</f>
        <v>50000</v>
      </c>
      <c r="C7" s="286">
        <f>'Sources and Uses Budget'!$C6</f>
        <v>50000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600</v>
      </c>
      <c r="B9" s="290">
        <f>SUM(B5:B8)</f>
        <v>1130055</v>
      </c>
      <c r="C9" s="290">
        <f>SUM(C5:C8)</f>
        <v>1130055</v>
      </c>
      <c r="D9" s="290">
        <f t="shared" si="0"/>
        <v>0</v>
      </c>
      <c r="E9" s="288"/>
      <c r="F9" s="287"/>
      <c r="G9" s="383"/>
    </row>
    <row r="10" spans="1:7" s="380" customFormat="1">
      <c r="A10" s="395" t="s">
        <v>601</v>
      </c>
      <c r="B10" s="286">
        <f>'Sources and Uses Budget'!$C9</f>
        <v>0</v>
      </c>
      <c r="C10" s="286">
        <f>'Sources and Uses Budget'!$C9</f>
        <v>0</v>
      </c>
      <c r="D10" s="290">
        <f t="shared" si="0"/>
        <v>0</v>
      </c>
      <c r="E10" s="288"/>
      <c r="F10" s="287"/>
      <c r="G10" s="383"/>
    </row>
    <row r="11" spans="1:7" s="380" customFormat="1">
      <c r="A11" s="395" t="s">
        <v>602</v>
      </c>
      <c r="B11" s="286">
        <f>'Sources and Uses Budget'!$C10</f>
        <v>1336000</v>
      </c>
      <c r="C11" s="286">
        <f>'Sources and Uses Budget'!$C10</f>
        <v>1336000</v>
      </c>
      <c r="D11" s="290">
        <f t="shared" si="0"/>
        <v>0</v>
      </c>
      <c r="E11" s="288"/>
      <c r="F11" s="287"/>
      <c r="G11" s="383"/>
    </row>
    <row r="12" spans="1:7" s="380" customFormat="1">
      <c r="A12" s="396" t="s">
        <v>603</v>
      </c>
      <c r="B12" s="290">
        <f>SUM(B10:B11)</f>
        <v>1336000</v>
      </c>
      <c r="C12" s="290">
        <f>SUM(C10:C11)</f>
        <v>1336000</v>
      </c>
      <c r="D12" s="290">
        <f t="shared" si="0"/>
        <v>0</v>
      </c>
      <c r="E12" s="288"/>
      <c r="F12" s="287"/>
      <c r="G12" s="383"/>
    </row>
    <row r="13" spans="1:7" s="380" customFormat="1">
      <c r="A13" s="396" t="s">
        <v>84</v>
      </c>
      <c r="B13" s="290">
        <f>SUM(B9+B12)</f>
        <v>2466055</v>
      </c>
      <c r="C13" s="290">
        <f>SUM(C9+C12)</f>
        <v>2466055</v>
      </c>
      <c r="D13" s="290">
        <f t="shared" si="0"/>
        <v>0</v>
      </c>
      <c r="E13" s="288"/>
      <c r="F13" s="287"/>
      <c r="G13" s="383"/>
    </row>
    <row r="14" spans="1:7" s="380" customFormat="1">
      <c r="A14" s="397" t="s">
        <v>916</v>
      </c>
      <c r="B14" s="286">
        <f>'Sources and Uses Budget'!$C13</f>
        <v>110639</v>
      </c>
      <c r="C14" s="286">
        <f>'Sources and Uses Budget'!$C13</f>
        <v>110639</v>
      </c>
      <c r="D14" s="290">
        <f t="shared" si="0"/>
        <v>0</v>
      </c>
      <c r="E14" s="288"/>
      <c r="F14" s="287"/>
      <c r="G14" s="383"/>
    </row>
    <row r="15" spans="1:7" s="380" customFormat="1" ht="24">
      <c r="A15" s="395" t="s">
        <v>917</v>
      </c>
      <c r="B15" s="286">
        <f>'Sources and Uses Budget'!$C14</f>
        <v>0</v>
      </c>
      <c r="C15" s="286">
        <f>'Sources and Uses Budget'!$C14</f>
        <v>0</v>
      </c>
      <c r="D15" s="290">
        <f t="shared" si="0"/>
        <v>0</v>
      </c>
      <c r="E15" s="288"/>
      <c r="F15" s="287"/>
      <c r="G15" s="383"/>
    </row>
    <row r="16" spans="1:7" s="380" customFormat="1">
      <c r="A16" s="395" t="s">
        <v>1264</v>
      </c>
      <c r="B16" s="286">
        <f>'Sources and Uses Budget'!$C15</f>
        <v>0</v>
      </c>
      <c r="C16" s="286">
        <f>'Sources and Uses Budget'!$C15</f>
        <v>0</v>
      </c>
      <c r="D16" s="290">
        <f t="shared" si="0"/>
        <v>0</v>
      </c>
      <c r="E16" s="288"/>
      <c r="F16" s="287"/>
      <c r="G16" s="383"/>
    </row>
    <row r="17" spans="1:7" s="380" customFormat="1">
      <c r="A17" s="284" t="s">
        <v>604</v>
      </c>
      <c r="B17" s="284"/>
      <c r="C17" s="284"/>
      <c r="D17" s="284"/>
      <c r="E17" s="303"/>
      <c r="F17" s="284"/>
      <c r="G17" s="383"/>
    </row>
    <row r="18" spans="1:7" s="380" customFormat="1">
      <c r="A18" s="145" t="s">
        <v>605</v>
      </c>
      <c r="B18" s="286">
        <f>'Sources and Uses Budget'!$C17</f>
        <v>0</v>
      </c>
      <c r="C18" s="286">
        <f>'Sources and Uses Budget'!$C17</f>
        <v>0</v>
      </c>
      <c r="D18" s="290">
        <f t="shared" si="0"/>
        <v>0</v>
      </c>
      <c r="E18" s="288"/>
      <c r="F18" s="287"/>
      <c r="G18" s="383"/>
    </row>
    <row r="19" spans="1:7" s="380" customFormat="1">
      <c r="A19" s="145" t="s">
        <v>606</v>
      </c>
      <c r="B19" s="286">
        <f>'Sources and Uses Budget'!$C18</f>
        <v>0</v>
      </c>
      <c r="C19" s="286">
        <f>'Sources and Uses Budget'!$C18</f>
        <v>0</v>
      </c>
      <c r="D19" s="290">
        <f t="shared" si="0"/>
        <v>0</v>
      </c>
      <c r="E19" s="288"/>
      <c r="F19" s="287"/>
      <c r="G19" s="383"/>
    </row>
    <row r="20" spans="1:7" s="380" customFormat="1">
      <c r="A20" s="145" t="s">
        <v>607</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1751</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605</v>
      </c>
      <c r="B30" s="286">
        <f>'Sources and Uses Budget'!$C29</f>
        <v>2121922</v>
      </c>
      <c r="C30" s="286">
        <f>'Sources and Uses Budget'!$C29</f>
        <v>2121922</v>
      </c>
      <c r="D30" s="290">
        <f t="shared" si="0"/>
        <v>0</v>
      </c>
      <c r="E30" s="288"/>
      <c r="F30" s="287"/>
      <c r="G30" s="383"/>
    </row>
    <row r="31" spans="1:7" s="380" customFormat="1">
      <c r="A31" s="145" t="s">
        <v>606</v>
      </c>
      <c r="B31" s="286">
        <f>'Sources and Uses Budget'!$C30</f>
        <v>41480312</v>
      </c>
      <c r="C31" s="286">
        <f>'Sources and Uses Budget'!$C30</f>
        <v>41480312</v>
      </c>
      <c r="D31" s="290">
        <f t="shared" si="0"/>
        <v>0</v>
      </c>
      <c r="E31" s="288"/>
      <c r="F31" s="287"/>
      <c r="G31" s="383"/>
    </row>
    <row r="32" spans="1:7" s="380" customFormat="1">
      <c r="A32" s="145" t="s">
        <v>607</v>
      </c>
      <c r="B32" s="286">
        <f>'Sources and Uses Budget'!$C31</f>
        <v>1635174</v>
      </c>
      <c r="C32" s="286">
        <f>'Sources and Uses Budget'!$C31</f>
        <v>1635174</v>
      </c>
      <c r="D32" s="290">
        <f t="shared" si="0"/>
        <v>0</v>
      </c>
      <c r="E32" s="288"/>
      <c r="F32" s="287"/>
      <c r="G32" s="383"/>
    </row>
    <row r="33" spans="1:7" s="380" customFormat="1">
      <c r="A33" s="145" t="s">
        <v>137</v>
      </c>
      <c r="B33" s="286">
        <f>'Sources and Uses Budget'!$C32</f>
        <v>2019779.5</v>
      </c>
      <c r="C33" s="286">
        <f>'Sources and Uses Budget'!$C32</f>
        <v>2019779.5</v>
      </c>
      <c r="D33" s="290">
        <f t="shared" si="0"/>
        <v>0</v>
      </c>
      <c r="E33" s="288"/>
      <c r="F33" s="287"/>
      <c r="G33" s="383"/>
    </row>
    <row r="34" spans="1:7" s="380" customFormat="1">
      <c r="A34" s="145" t="s">
        <v>138</v>
      </c>
      <c r="B34" s="286">
        <f>'Sources and Uses Budget'!$C33</f>
        <v>2019779.5</v>
      </c>
      <c r="C34" s="286">
        <f>'Sources and Uses Budget'!$C33</f>
        <v>2019779.5</v>
      </c>
      <c r="D34" s="290">
        <f t="shared" si="0"/>
        <v>0</v>
      </c>
      <c r="E34" s="288"/>
      <c r="F34" s="287"/>
      <c r="G34" s="383"/>
    </row>
    <row r="35" spans="1:7" s="380" customFormat="1">
      <c r="A35" s="145" t="s">
        <v>139</v>
      </c>
      <c r="B35" s="286">
        <f>'Sources and Uses Budget'!$C34</f>
        <v>13826771</v>
      </c>
      <c r="C35" s="286">
        <f>'Sources and Uses Budget'!$C34</f>
        <v>13826771</v>
      </c>
      <c r="D35" s="290">
        <f t="shared" si="0"/>
        <v>0</v>
      </c>
      <c r="E35" s="288"/>
      <c r="F35" s="287"/>
      <c r="G35" s="383"/>
    </row>
    <row r="36" spans="1:7" s="380" customFormat="1">
      <c r="A36" s="145" t="s">
        <v>140</v>
      </c>
      <c r="B36" s="286">
        <f>'Sources and Uses Budget'!$C35</f>
        <v>702532</v>
      </c>
      <c r="C36" s="286">
        <f>'Sources and Uses Budget'!$C35</f>
        <v>702532</v>
      </c>
      <c r="D36" s="290">
        <f t="shared" si="0"/>
        <v>0</v>
      </c>
      <c r="E36" s="288"/>
      <c r="F36" s="287"/>
      <c r="G36" s="383"/>
    </row>
    <row r="37" spans="1:7" s="380" customFormat="1">
      <c r="A37" s="304" t="s">
        <v>1751</v>
      </c>
      <c r="B37" s="286">
        <f>'Sources and Uses Budget'!$C36</f>
        <v>300000</v>
      </c>
      <c r="C37" s="286">
        <f>'Sources and Uses Budget'!$C36</f>
        <v>300000</v>
      </c>
      <c r="D37" s="290"/>
      <c r="E37" s="288"/>
      <c r="F37" s="287"/>
      <c r="G37" s="383"/>
    </row>
    <row r="38" spans="1:7" s="380" customFormat="1" ht="24">
      <c r="A38" s="155" t="str">
        <f>'Sources and Uses Budget'!A37</f>
        <v>Bond Premium, PV System, Environmental Remediation</v>
      </c>
      <c r="B38" s="286">
        <f>'Sources and Uses Budget'!$C37</f>
        <v>2555665</v>
      </c>
      <c r="C38" s="286">
        <f>'Sources and Uses Budget'!$C37</f>
        <v>2555665</v>
      </c>
      <c r="D38" s="290">
        <f t="shared" si="0"/>
        <v>0</v>
      </c>
      <c r="E38" s="288"/>
      <c r="F38" s="287"/>
      <c r="G38" s="383"/>
    </row>
    <row r="39" spans="1:7" s="380" customFormat="1">
      <c r="A39" s="291" t="s">
        <v>143</v>
      </c>
      <c r="B39" s="290">
        <f>SUM(B30:B38)</f>
        <v>66661935</v>
      </c>
      <c r="C39" s="290">
        <f>SUM(C30:C38)</f>
        <v>66661935</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1548000</v>
      </c>
      <c r="C41" s="286">
        <f>'Sources and Uses Budget'!$C40</f>
        <v>1548000</v>
      </c>
      <c r="D41" s="290">
        <f t="shared" si="0"/>
        <v>0</v>
      </c>
      <c r="E41" s="288"/>
      <c r="F41" s="287"/>
      <c r="G41" s="383"/>
    </row>
    <row r="42" spans="1:7" s="380" customFormat="1">
      <c r="A42" s="289" t="s">
        <v>146</v>
      </c>
      <c r="B42" s="286">
        <f>'Sources and Uses Budget'!$C41</f>
        <v>0</v>
      </c>
      <c r="C42" s="286">
        <f>'Sources and Uses Budget'!$C41</f>
        <v>0</v>
      </c>
      <c r="D42" s="290">
        <f t="shared" si="0"/>
        <v>0</v>
      </c>
      <c r="E42" s="288"/>
      <c r="F42" s="287"/>
      <c r="G42" s="383"/>
    </row>
    <row r="43" spans="1:7" s="380" customFormat="1">
      <c r="A43" s="291" t="s">
        <v>147</v>
      </c>
      <c r="B43" s="290">
        <f>SUM(B41:B42)</f>
        <v>1548000</v>
      </c>
      <c r="C43" s="290">
        <f>SUM(C41:C42)</f>
        <v>1548000</v>
      </c>
      <c r="D43" s="290">
        <f t="shared" si="0"/>
        <v>0</v>
      </c>
      <c r="E43" s="288"/>
      <c r="F43" s="287"/>
      <c r="G43" s="383"/>
    </row>
    <row r="44" spans="1:7" s="380" customFormat="1">
      <c r="A44" s="291" t="s">
        <v>148</v>
      </c>
      <c r="B44" s="286">
        <f>'Sources and Uses Budget'!$C43</f>
        <v>672000</v>
      </c>
      <c r="C44" s="286">
        <f>'Sources and Uses Budget'!$C43</f>
        <v>672000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12400188.5</v>
      </c>
      <c r="C46" s="286">
        <f>'Sources and Uses Budget'!$C45</f>
        <v>12400188.5</v>
      </c>
      <c r="D46" s="290">
        <f t="shared" si="0"/>
        <v>0</v>
      </c>
      <c r="E46" s="288"/>
      <c r="F46" s="287"/>
      <c r="G46" s="383"/>
    </row>
    <row r="47" spans="1:7" s="380" customFormat="1">
      <c r="A47" s="145" t="s">
        <v>151</v>
      </c>
      <c r="B47" s="286">
        <f>'Sources and Uses Budget'!$C46</f>
        <v>435540.8</v>
      </c>
      <c r="C47" s="286">
        <f>'Sources and Uses Budget'!$C46</f>
        <v>435540.8</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358556</v>
      </c>
      <c r="C50" s="286">
        <f>'Sources and Uses Budget'!$C49</f>
        <v>358556</v>
      </c>
      <c r="D50" s="290">
        <f t="shared" si="0"/>
        <v>0</v>
      </c>
      <c r="E50" s="288"/>
      <c r="F50" s="287"/>
      <c r="G50" s="383"/>
    </row>
    <row r="51" spans="1:7" s="380" customFormat="1">
      <c r="A51" s="145" t="s">
        <v>156</v>
      </c>
      <c r="B51" s="286">
        <f>'Sources and Uses Budget'!$C50</f>
        <v>65000</v>
      </c>
      <c r="C51" s="286">
        <f>'Sources and Uses Budget'!$C50</f>
        <v>65000</v>
      </c>
      <c r="D51" s="290">
        <f t="shared" si="0"/>
        <v>0</v>
      </c>
      <c r="E51" s="288"/>
      <c r="F51" s="287"/>
      <c r="G51" s="383"/>
    </row>
    <row r="52" spans="1:7" s="380" customFormat="1">
      <c r="A52" s="304" t="s">
        <v>154</v>
      </c>
      <c r="B52" s="286">
        <f>'Sources and Uses Budget'!$C51</f>
        <v>307726</v>
      </c>
      <c r="C52" s="286">
        <f>'Sources and Uses Budget'!$C51</f>
        <v>307726</v>
      </c>
      <c r="D52" s="290">
        <f t="shared" si="0"/>
        <v>0</v>
      </c>
      <c r="E52" s="288"/>
      <c r="F52" s="287"/>
      <c r="G52" s="383"/>
    </row>
    <row r="53" spans="1:7" s="380" customFormat="1">
      <c r="A53" s="145" t="s">
        <v>155</v>
      </c>
      <c r="B53" s="286">
        <f>'Sources and Uses Budget'!$C52</f>
        <v>1948010</v>
      </c>
      <c r="C53" s="286">
        <f>'Sources and Uses Budget'!$C52</f>
        <v>1948010</v>
      </c>
      <c r="D53" s="290">
        <f t="shared" si="0"/>
        <v>0</v>
      </c>
      <c r="E53" s="288"/>
      <c r="F53" s="287"/>
      <c r="G53" s="383"/>
    </row>
    <row r="54" spans="1:7" s="380" customFormat="1" ht="24">
      <c r="A54" s="155" t="str">
        <f>'Sources and Uses Budget'!A53</f>
        <v>Constr Lender Expenses, Inspections, and Counsel</v>
      </c>
      <c r="B54" s="286">
        <f>'Sources and Uses Budget'!$C53</f>
        <v>139800</v>
      </c>
      <c r="C54" s="286">
        <f>'Sources and Uses Budget'!$C53</f>
        <v>139800</v>
      </c>
      <c r="D54" s="290">
        <f t="shared" si="0"/>
        <v>0</v>
      </c>
      <c r="E54" s="288"/>
      <c r="F54" s="287"/>
      <c r="G54" s="383"/>
    </row>
    <row r="55" spans="1:7" s="381" customFormat="1">
      <c r="A55" s="291" t="s">
        <v>157</v>
      </c>
      <c r="B55" s="293">
        <f>SUM(B46:B54)</f>
        <v>15654821.300000001</v>
      </c>
      <c r="C55" s="293">
        <f>SUM(C46:C54)</f>
        <v>15654821.300000001</v>
      </c>
      <c r="D55" s="290">
        <f t="shared" si="0"/>
        <v>0</v>
      </c>
      <c r="E55" s="288"/>
      <c r="F55" s="287"/>
      <c r="G55" s="384"/>
    </row>
    <row r="56" spans="1:7" s="380" customFormat="1">
      <c r="A56" s="284" t="s">
        <v>418</v>
      </c>
      <c r="B56" s="284"/>
      <c r="C56" s="284"/>
      <c r="D56" s="284"/>
      <c r="E56" s="303"/>
      <c r="F56" s="284"/>
      <c r="G56" s="383"/>
    </row>
    <row r="57" spans="1:7" s="380" customFormat="1">
      <c r="A57" s="289" t="s">
        <v>158</v>
      </c>
      <c r="B57" s="286">
        <f>'Sources and Uses Budget'!$C56</f>
        <v>167708</v>
      </c>
      <c r="C57" s="286">
        <f>'Sources and Uses Budget'!$C56</f>
        <v>167708</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55000</v>
      </c>
      <c r="C59" s="286">
        <f>'Sources and Uses Budget'!$C58</f>
        <v>55000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Perm Lender Expenses and Counsel</v>
      </c>
      <c r="B62" s="286">
        <f>'Sources and Uses Budget'!$C61</f>
        <v>70000</v>
      </c>
      <c r="C62" s="286">
        <f>'Sources and Uses Budget'!$C61</f>
        <v>70000</v>
      </c>
      <c r="D62" s="290">
        <f t="shared" si="0"/>
        <v>0</v>
      </c>
      <c r="E62" s="288"/>
      <c r="F62" s="287"/>
      <c r="G62" s="383"/>
    </row>
    <row r="63" spans="1:7" s="380" customFormat="1" ht="13.7" customHeight="1">
      <c r="A63" s="291" t="s">
        <v>301</v>
      </c>
      <c r="B63" s="290">
        <f>SUM(B57:B62)</f>
        <v>292708</v>
      </c>
      <c r="C63" s="290">
        <f>SUM(C57:C62)</f>
        <v>292708</v>
      </c>
      <c r="D63" s="290">
        <f t="shared" si="0"/>
        <v>0</v>
      </c>
      <c r="E63" s="288"/>
      <c r="F63" s="287"/>
      <c r="G63" s="383"/>
    </row>
    <row r="64" spans="1:7" s="380" customFormat="1">
      <c r="A64" s="294" t="s">
        <v>302</v>
      </c>
      <c r="B64" s="290">
        <f>SUM(B9+B12+B14+B15+B17+B26+B28+B39+B43+B44+B55+B63)</f>
        <v>87406158.299999997</v>
      </c>
      <c r="C64" s="290">
        <f>SUM(C9+C12+C14+C15+C17+C26+C28+C39+C43+C44+C55+C63)</f>
        <v>87406158.299999997</v>
      </c>
      <c r="D64" s="290">
        <f t="shared" si="0"/>
        <v>0</v>
      </c>
      <c r="E64" s="288"/>
      <c r="F64" s="287"/>
      <c r="G64" s="383"/>
    </row>
    <row r="65" spans="1:7" s="380" customFormat="1" ht="24">
      <c r="A65" s="141" t="s">
        <v>1755</v>
      </c>
      <c r="B65" s="284"/>
      <c r="C65" s="284"/>
      <c r="D65" s="284"/>
      <c r="E65" s="303"/>
      <c r="F65" s="284"/>
      <c r="G65" s="383"/>
    </row>
    <row r="66" spans="1:7" s="380" customFormat="1">
      <c r="A66" s="145" t="s">
        <v>170</v>
      </c>
      <c r="B66" s="286">
        <f>'Sources and Uses Budget'!$C65</f>
        <v>190000</v>
      </c>
      <c r="C66" s="286">
        <f>'Sources and Uses Budget'!$C65</f>
        <v>190000</v>
      </c>
      <c r="D66" s="290">
        <f t="shared" si="0"/>
        <v>0</v>
      </c>
      <c r="E66" s="288"/>
      <c r="F66" s="287"/>
      <c r="G66" s="383"/>
    </row>
    <row r="67" spans="1:7" s="380" customFormat="1" ht="24">
      <c r="A67" s="304" t="s">
        <v>1752</v>
      </c>
      <c r="B67" s="286">
        <f>'Sources and Uses Budget'!$C66</f>
        <v>0</v>
      </c>
      <c r="C67" s="286">
        <f>'Sources and Uses Budget'!$C66</f>
        <v>0</v>
      </c>
      <c r="D67" s="290"/>
      <c r="E67" s="288"/>
      <c r="F67" s="287"/>
      <c r="G67" s="383"/>
    </row>
    <row r="68" spans="1:7" s="380" customFormat="1" ht="24">
      <c r="A68" s="304" t="s">
        <v>1753</v>
      </c>
      <c r="B68" s="286">
        <f>'Sources and Uses Budget'!$C67</f>
        <v>0</v>
      </c>
      <c r="C68" s="286">
        <f>'Sources and Uses Budget'!$C67</f>
        <v>0</v>
      </c>
      <c r="D68" s="290"/>
      <c r="E68" s="288"/>
      <c r="F68" s="287"/>
      <c r="G68" s="383"/>
    </row>
    <row r="69" spans="1:7" s="380" customFormat="1">
      <c r="A69" s="304" t="s">
        <v>1759</v>
      </c>
      <c r="B69" s="286">
        <f>'Sources and Uses Budget'!$C68</f>
        <v>0</v>
      </c>
      <c r="C69" s="286">
        <f>'Sources and Uses Budget'!$C68</f>
        <v>0</v>
      </c>
      <c r="D69" s="290"/>
      <c r="E69" s="288"/>
      <c r="F69" s="287"/>
      <c r="G69" s="383"/>
    </row>
    <row r="70" spans="1:7" s="380" customFormat="1">
      <c r="A70" s="155" t="str">
        <f>'Sources and Uses Budget'!A69</f>
        <v>Other: (Specify)</v>
      </c>
      <c r="B70" s="286">
        <f>'Sources and Uses Budget'!$C69</f>
        <v>0</v>
      </c>
      <c r="C70" s="286">
        <f>'Sources and Uses Budget'!$C69</f>
        <v>0</v>
      </c>
      <c r="D70" s="290">
        <f t="shared" si="0"/>
        <v>0</v>
      </c>
      <c r="E70" s="288"/>
      <c r="F70" s="287"/>
      <c r="G70" s="383"/>
    </row>
    <row r="71" spans="1:7" s="380" customFormat="1">
      <c r="A71" s="149" t="s">
        <v>1756</v>
      </c>
      <c r="B71" s="290">
        <f>SUM(B66:B70)</f>
        <v>190000</v>
      </c>
      <c r="C71" s="290">
        <f>SUM(C66:C70)</f>
        <v>190000</v>
      </c>
      <c r="D71" s="290">
        <f t="shared" si="0"/>
        <v>0</v>
      </c>
      <c r="E71" s="288"/>
      <c r="F71" s="287"/>
      <c r="G71" s="383"/>
    </row>
    <row r="72" spans="1:7" s="380" customFormat="1">
      <c r="A72" s="284" t="s">
        <v>609</v>
      </c>
      <c r="B72" s="284"/>
      <c r="C72" s="284"/>
      <c r="D72" s="284"/>
      <c r="E72" s="303"/>
      <c r="F72" s="284"/>
      <c r="G72" s="383"/>
    </row>
    <row r="73" spans="1:7" s="380" customFormat="1">
      <c r="A73" s="289" t="s">
        <v>610</v>
      </c>
      <c r="B73" s="286">
        <f>'Sources and Uses Budget'!$C72</f>
        <v>0</v>
      </c>
      <c r="C73" s="286">
        <f>'Sources and Uses Budget'!$C72</f>
        <v>0</v>
      </c>
      <c r="D73" s="290">
        <f t="shared" si="0"/>
        <v>0</v>
      </c>
      <c r="E73" s="288"/>
      <c r="F73" s="287"/>
      <c r="G73" s="383"/>
    </row>
    <row r="74" spans="1:7" s="380" customFormat="1">
      <c r="A74" s="289" t="s">
        <v>611</v>
      </c>
      <c r="B74" s="286">
        <f>'Sources and Uses Budget'!$C73</f>
        <v>0</v>
      </c>
      <c r="C74" s="286">
        <f>'Sources and Uses Budget'!$C73</f>
        <v>0</v>
      </c>
      <c r="D74" s="290">
        <f t="shared" si="0"/>
        <v>0</v>
      </c>
      <c r="E74" s="288"/>
      <c r="F74" s="287"/>
      <c r="G74" s="383"/>
    </row>
    <row r="75" spans="1:7" s="380" customFormat="1">
      <c r="A75" s="309" t="s">
        <v>1005</v>
      </c>
      <c r="B75" s="286">
        <f>'Sources and Uses Budget'!$C74</f>
        <v>198162</v>
      </c>
      <c r="C75" s="286">
        <f>'Sources and Uses Budget'!$C74</f>
        <v>198162</v>
      </c>
      <c r="D75" s="290">
        <f t="shared" si="0"/>
        <v>0</v>
      </c>
      <c r="E75" s="288"/>
      <c r="F75" s="287"/>
      <c r="G75" s="383"/>
    </row>
    <row r="76" spans="1:7" s="380" customFormat="1">
      <c r="A76" s="289" t="s">
        <v>612</v>
      </c>
      <c r="B76" s="286">
        <f>'Sources and Uses Budget'!$C75</f>
        <v>719641</v>
      </c>
      <c r="C76" s="286">
        <f>'Sources and Uses Budget'!$C75</f>
        <v>719641</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c r="A78" s="291" t="s">
        <v>613</v>
      </c>
      <c r="B78" s="290">
        <f>SUM(B73:B77)</f>
        <v>917803</v>
      </c>
      <c r="C78" s="290">
        <f>SUM(C73:C77)</f>
        <v>917803</v>
      </c>
      <c r="D78" s="290">
        <f t="shared" ref="D78:D106" si="1">C78-B78</f>
        <v>0</v>
      </c>
      <c r="E78" s="288"/>
      <c r="F78" s="287"/>
      <c r="G78" s="383"/>
    </row>
    <row r="79" spans="1:7" s="380" customFormat="1">
      <c r="A79" s="284" t="s">
        <v>1314</v>
      </c>
      <c r="B79" s="284"/>
      <c r="C79" s="284"/>
      <c r="D79" s="284"/>
      <c r="E79" s="303"/>
      <c r="F79" s="284"/>
      <c r="G79" s="383"/>
    </row>
    <row r="80" spans="1:7" s="380" customFormat="1">
      <c r="A80" s="544" t="s">
        <v>1316</v>
      </c>
      <c r="B80" s="286">
        <f>'Sources and Uses Budget'!$C79</f>
        <v>3388896.7</v>
      </c>
      <c r="C80" s="286">
        <f>'Sources and Uses Budget'!$C79</f>
        <v>3388896.7</v>
      </c>
      <c r="D80" s="290">
        <f t="shared" si="1"/>
        <v>0</v>
      </c>
      <c r="E80" s="288"/>
      <c r="F80" s="287"/>
      <c r="G80" s="383"/>
    </row>
    <row r="81" spans="1:7" s="380" customFormat="1">
      <c r="A81" s="544" t="s">
        <v>58</v>
      </c>
      <c r="B81" s="286">
        <f>'Sources and Uses Budget'!$C80</f>
        <v>509409</v>
      </c>
      <c r="C81" s="286">
        <f>'Sources and Uses Budget'!$C80</f>
        <v>509409</v>
      </c>
      <c r="D81" s="290">
        <f>C81-B81</f>
        <v>0</v>
      </c>
      <c r="E81" s="288"/>
      <c r="F81" s="287"/>
      <c r="G81" s="383"/>
    </row>
    <row r="82" spans="1:7" s="380" customFormat="1">
      <c r="A82" s="291" t="s">
        <v>1313</v>
      </c>
      <c r="B82" s="290">
        <f>SUM(B80:B81)</f>
        <v>3898305.7</v>
      </c>
      <c r="C82" s="290">
        <f>SUM(C80:C81)</f>
        <v>3898305.7</v>
      </c>
      <c r="D82" s="290">
        <f t="shared" si="1"/>
        <v>0</v>
      </c>
      <c r="E82" s="288"/>
      <c r="F82" s="287"/>
      <c r="G82" s="383"/>
    </row>
    <row r="83" spans="1:7" s="380" customFormat="1">
      <c r="A83" s="284" t="s">
        <v>773</v>
      </c>
      <c r="B83" s="284"/>
      <c r="C83" s="284"/>
      <c r="D83" s="284"/>
      <c r="E83" s="303"/>
      <c r="F83" s="284"/>
      <c r="G83" s="383"/>
    </row>
    <row r="84" spans="1:7" s="380" customFormat="1" ht="13.7" customHeight="1">
      <c r="A84" s="289" t="s">
        <v>774</v>
      </c>
      <c r="B84" s="286">
        <f>'Sources and Uses Budget'!$C83</f>
        <v>139108</v>
      </c>
      <c r="C84" s="286">
        <f>'Sources and Uses Budget'!$C83</f>
        <v>139108</v>
      </c>
      <c r="D84" s="290">
        <f t="shared" si="1"/>
        <v>0</v>
      </c>
      <c r="E84" s="288"/>
      <c r="F84" s="287"/>
      <c r="G84" s="383"/>
    </row>
    <row r="85" spans="1:7" s="380" customFormat="1">
      <c r="A85" s="289" t="s">
        <v>775</v>
      </c>
      <c r="B85" s="286">
        <f>'Sources and Uses Budget'!$C84</f>
        <v>0</v>
      </c>
      <c r="C85" s="286">
        <f>'Sources and Uses Budget'!$C84</f>
        <v>0</v>
      </c>
      <c r="D85" s="290">
        <f t="shared" si="1"/>
        <v>0</v>
      </c>
      <c r="E85" s="288"/>
      <c r="F85" s="287"/>
      <c r="G85" s="383"/>
    </row>
    <row r="86" spans="1:7" s="380" customFormat="1">
      <c r="A86" s="289" t="s">
        <v>776</v>
      </c>
      <c r="B86" s="286">
        <f>'Sources and Uses Budget'!$C85</f>
        <v>2380393</v>
      </c>
      <c r="C86" s="286">
        <f>'Sources and Uses Budget'!$C85</f>
        <v>2380393</v>
      </c>
      <c r="D86" s="290">
        <f t="shared" si="1"/>
        <v>0</v>
      </c>
      <c r="E86" s="288"/>
      <c r="F86" s="287"/>
      <c r="G86" s="383"/>
    </row>
    <row r="87" spans="1:7" s="380" customFormat="1">
      <c r="A87" s="289" t="s">
        <v>777</v>
      </c>
      <c r="B87" s="286">
        <f>'Sources and Uses Budget'!$C86</f>
        <v>1240000</v>
      </c>
      <c r="C87" s="286">
        <f>'Sources and Uses Budget'!$C86</f>
        <v>1240000</v>
      </c>
      <c r="D87" s="290">
        <f t="shared" si="1"/>
        <v>0</v>
      </c>
      <c r="E87" s="288"/>
      <c r="F87" s="287"/>
      <c r="G87" s="383"/>
    </row>
    <row r="88" spans="1:7" s="380" customFormat="1">
      <c r="A88" s="289" t="s">
        <v>778</v>
      </c>
      <c r="B88" s="286">
        <f>'Sources and Uses Budget'!$C87</f>
        <v>0</v>
      </c>
      <c r="C88" s="286">
        <f>'Sources and Uses Budget'!$C87</f>
        <v>0</v>
      </c>
      <c r="D88" s="290">
        <f t="shared" si="1"/>
        <v>0</v>
      </c>
      <c r="E88" s="288"/>
      <c r="F88" s="287"/>
      <c r="G88" s="383"/>
    </row>
    <row r="89" spans="1:7" s="380" customFormat="1">
      <c r="A89" s="289" t="s">
        <v>779</v>
      </c>
      <c r="B89" s="286">
        <f>'Sources and Uses Budget'!$C88</f>
        <v>387000</v>
      </c>
      <c r="C89" s="286">
        <f>'Sources and Uses Budget'!$C88</f>
        <v>387000</v>
      </c>
      <c r="D89" s="290">
        <f t="shared" si="1"/>
        <v>0</v>
      </c>
      <c r="E89" s="288"/>
      <c r="F89" s="287"/>
      <c r="G89" s="383"/>
    </row>
    <row r="90" spans="1:7" s="380" customFormat="1">
      <c r="A90" s="289" t="s">
        <v>780</v>
      </c>
      <c r="B90" s="286">
        <f>'Sources and Uses Budget'!$C89</f>
        <v>400000</v>
      </c>
      <c r="C90" s="286">
        <f>'Sources and Uses Budget'!$C89</f>
        <v>400000</v>
      </c>
      <c r="D90" s="290">
        <f t="shared" si="1"/>
        <v>0</v>
      </c>
      <c r="E90" s="288"/>
      <c r="F90" s="287"/>
      <c r="G90" s="383"/>
    </row>
    <row r="91" spans="1:7" s="380" customFormat="1">
      <c r="A91" s="289" t="s">
        <v>781</v>
      </c>
      <c r="B91" s="286">
        <f>'Sources and Uses Budget'!$C90</f>
        <v>13000</v>
      </c>
      <c r="C91" s="286">
        <f>'Sources and Uses Budget'!$C90</f>
        <v>13000</v>
      </c>
      <c r="D91" s="290">
        <f t="shared" si="1"/>
        <v>0</v>
      </c>
      <c r="E91" s="288"/>
      <c r="F91" s="287"/>
      <c r="G91" s="383"/>
    </row>
    <row r="92" spans="1:7" s="380" customFormat="1">
      <c r="A92" s="289" t="s">
        <v>372</v>
      </c>
      <c r="B92" s="286">
        <f>'Sources and Uses Budget'!$C91</f>
        <v>0</v>
      </c>
      <c r="C92" s="286">
        <f>'Sources and Uses Budget'!$C91</f>
        <v>0</v>
      </c>
      <c r="D92" s="290">
        <f t="shared" si="1"/>
        <v>0</v>
      </c>
      <c r="E92" s="288"/>
      <c r="F92" s="287"/>
      <c r="G92" s="383"/>
    </row>
    <row r="93" spans="1:7" s="380" customFormat="1">
      <c r="A93" s="544" t="s">
        <v>1315</v>
      </c>
      <c r="B93" s="286">
        <f>'Sources and Uses Budget'!$C92</f>
        <v>35000</v>
      </c>
      <c r="C93" s="286">
        <f>'Sources and Uses Budget'!$C92</f>
        <v>35000</v>
      </c>
      <c r="D93" s="290">
        <f t="shared" si="1"/>
        <v>0</v>
      </c>
      <c r="E93" s="288"/>
      <c r="F93" s="287"/>
      <c r="G93" s="383"/>
    </row>
    <row r="94" spans="1:7" s="380" customFormat="1">
      <c r="A94" s="292" t="s">
        <v>34</v>
      </c>
      <c r="B94" s="286">
        <f>'Sources and Uses Budget'!$C93</f>
        <v>275000</v>
      </c>
      <c r="C94" s="286">
        <f>'Sources and Uses Budget'!$C93</f>
        <v>275000</v>
      </c>
      <c r="D94" s="290">
        <f t="shared" si="1"/>
        <v>0</v>
      </c>
      <c r="E94" s="288"/>
      <c r="F94" s="287"/>
      <c r="G94" s="383"/>
    </row>
    <row r="95" spans="1:7" s="380" customFormat="1">
      <c r="A95" s="292" t="s">
        <v>34</v>
      </c>
      <c r="B95" s="286">
        <f>'Sources and Uses Budget'!$C94</f>
        <v>85000</v>
      </c>
      <c r="C95" s="286">
        <f>'Sources and Uses Budget'!$C94</f>
        <v>85000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782</v>
      </c>
      <c r="B97" s="290">
        <f>SUM(B84:B96)</f>
        <v>4954501</v>
      </c>
      <c r="C97" s="290">
        <f>SUM(C84:C96)</f>
        <v>4954501</v>
      </c>
      <c r="D97" s="290">
        <f t="shared" si="1"/>
        <v>0</v>
      </c>
      <c r="E97" s="288"/>
      <c r="F97" s="287"/>
      <c r="G97" s="383"/>
    </row>
    <row r="98" spans="1:7" s="380" customFormat="1">
      <c r="A98" s="291" t="s">
        <v>783</v>
      </c>
      <c r="B98" s="290">
        <f>SUM(B64+B71+B78+B82+B97)</f>
        <v>97366768</v>
      </c>
      <c r="C98" s="290">
        <f>SUM(C64+C71+C78+C82+C97)</f>
        <v>97366768</v>
      </c>
      <c r="D98" s="290">
        <f t="shared" si="1"/>
        <v>0</v>
      </c>
      <c r="E98" s="288"/>
      <c r="F98" s="287"/>
      <c r="G98" s="383"/>
    </row>
    <row r="99" spans="1:7" s="380" customFormat="1">
      <c r="A99" s="284" t="s">
        <v>784</v>
      </c>
      <c r="B99" s="284"/>
      <c r="C99" s="284"/>
      <c r="D99" s="284"/>
      <c r="E99" s="303"/>
      <c r="F99" s="284"/>
      <c r="G99" s="383"/>
    </row>
    <row r="100" spans="1:7" s="380" customFormat="1">
      <c r="A100" s="145" t="s">
        <v>785</v>
      </c>
      <c r="B100" s="286">
        <f>'Sources and Uses Budget'!$C99</f>
        <v>12744374</v>
      </c>
      <c r="C100" s="286">
        <f>'Sources and Uses Budget'!$C99</f>
        <v>12744374</v>
      </c>
      <c r="D100" s="290">
        <f t="shared" si="1"/>
        <v>0</v>
      </c>
      <c r="E100" s="288"/>
      <c r="F100" s="287"/>
      <c r="G100" s="383"/>
    </row>
    <row r="101" spans="1:7" s="380" customFormat="1">
      <c r="A101" s="304" t="s">
        <v>1757</v>
      </c>
      <c r="B101" s="286">
        <f>'Sources and Uses Budget'!$C100</f>
        <v>0</v>
      </c>
      <c r="C101" s="286">
        <f>'Sources and Uses Budget'!$C100</f>
        <v>0</v>
      </c>
      <c r="D101" s="290">
        <f t="shared" si="1"/>
        <v>0</v>
      </c>
      <c r="E101" s="288"/>
      <c r="F101" s="287"/>
      <c r="G101" s="383"/>
    </row>
    <row r="102" spans="1:7" s="380" customFormat="1">
      <c r="A102" s="145" t="s">
        <v>786</v>
      </c>
      <c r="B102" s="286">
        <f>'Sources and Uses Budget'!$C101</f>
        <v>0</v>
      </c>
      <c r="C102" s="286">
        <f>'Sources and Uses Budget'!$C101</f>
        <v>0</v>
      </c>
      <c r="D102" s="290">
        <f t="shared" si="1"/>
        <v>0</v>
      </c>
      <c r="E102" s="288"/>
      <c r="F102" s="287"/>
      <c r="G102" s="383"/>
    </row>
    <row r="103" spans="1:7" s="380" customFormat="1" ht="12" customHeight="1">
      <c r="A103" s="304" t="s">
        <v>1758</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787</v>
      </c>
      <c r="B105" s="290">
        <f>SUM(B100:B104)</f>
        <v>12744374</v>
      </c>
      <c r="C105" s="290">
        <f>SUM(C100:C104)</f>
        <v>12744374</v>
      </c>
      <c r="D105" s="290">
        <f t="shared" si="1"/>
        <v>0</v>
      </c>
      <c r="E105" s="288"/>
      <c r="F105" s="287"/>
      <c r="G105" s="383"/>
    </row>
    <row r="106" spans="1:7" s="380" customFormat="1">
      <c r="A106" s="291" t="s">
        <v>788</v>
      </c>
      <c r="B106" s="293">
        <f>SUM(B98+B105)</f>
        <v>110111142</v>
      </c>
      <c r="C106" s="293">
        <f>SUM(C98+C105)</f>
        <v>110111142</v>
      </c>
      <c r="D106" s="290">
        <f t="shared" si="1"/>
        <v>0</v>
      </c>
      <c r="E106" s="288"/>
      <c r="F106" s="287"/>
      <c r="G106" s="383"/>
    </row>
    <row r="107" spans="1:7" s="380" customFormat="1">
      <c r="A107" s="298" t="s">
        <v>789</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2" t="s">
        <v>1066</v>
      </c>
      <c r="B2" s="1302"/>
      <c r="C2" s="1276"/>
      <c r="D2" s="1276"/>
      <c r="E2" s="1276"/>
      <c r="F2" s="1276"/>
      <c r="G2" s="1276"/>
    </row>
    <row r="3" spans="1:9" s="173" customFormat="1">
      <c r="A3" s="1302" t="s">
        <v>1007</v>
      </c>
      <c r="B3" s="1302"/>
      <c r="C3" s="1276"/>
      <c r="D3" s="1276"/>
      <c r="E3" s="1276"/>
      <c r="F3" s="1276"/>
      <c r="G3" s="1276"/>
      <c r="I3" t="s">
        <v>307</v>
      </c>
    </row>
    <row r="4" spans="1:9">
      <c r="I4" s="3" t="s">
        <v>1067</v>
      </c>
    </row>
    <row r="5" spans="1:9">
      <c r="A5" s="1304" t="s">
        <v>1008</v>
      </c>
      <c r="B5" s="1304"/>
      <c r="C5" s="1276"/>
      <c r="D5" s="1276"/>
      <c r="E5" s="1276"/>
      <c r="F5" s="1276"/>
      <c r="G5" s="1276"/>
      <c r="I5" s="3" t="s">
        <v>1068</v>
      </c>
    </row>
    <row r="6" spans="1:9">
      <c r="A6" s="1304" t="s">
        <v>827</v>
      </c>
      <c r="B6" s="1304"/>
      <c r="C6" s="1276"/>
      <c r="D6" s="1276"/>
      <c r="E6" s="1276"/>
      <c r="F6" s="1276"/>
      <c r="G6" s="1276"/>
      <c r="I6" t="s">
        <v>598</v>
      </c>
    </row>
    <row r="7" spans="1:9" ht="11.85" customHeight="1"/>
    <row r="8" spans="1:9">
      <c r="A8" s="1302" t="s">
        <v>1163</v>
      </c>
      <c r="B8" s="1302"/>
      <c r="C8" s="1303"/>
      <c r="D8" s="1303"/>
      <c r="E8" s="1303"/>
      <c r="F8" s="1303"/>
      <c r="G8" s="1303"/>
    </row>
    <row r="9" spans="1:9">
      <c r="A9" s="1302" t="s">
        <v>1164</v>
      </c>
      <c r="B9" s="1302"/>
      <c r="C9" s="1303"/>
      <c r="D9" s="1303"/>
      <c r="E9" s="1303"/>
      <c r="F9" s="1303"/>
      <c r="G9" s="1303"/>
    </row>
    <row r="10" spans="1:9">
      <c r="A10" s="174"/>
      <c r="B10" s="174"/>
      <c r="C10" s="172"/>
      <c r="D10" s="172"/>
      <c r="E10" s="172"/>
      <c r="F10" s="172"/>
    </row>
    <row r="11" spans="1:9">
      <c r="A11" s="1283" t="s">
        <v>1166</v>
      </c>
      <c r="B11" s="1283"/>
      <c r="C11" s="1283"/>
      <c r="D11" s="1283"/>
      <c r="E11" s="1283"/>
      <c r="F11" s="1283"/>
      <c r="G11" s="1283"/>
    </row>
    <row r="12" spans="1:9">
      <c r="A12" s="172"/>
      <c r="B12" s="172"/>
      <c r="E12" s="2"/>
    </row>
    <row r="13" spans="1:9" ht="13.35" customHeight="1">
      <c r="C13" s="172"/>
      <c r="D13" s="1316" t="s">
        <v>1165</v>
      </c>
      <c r="E13" s="1316"/>
      <c r="F13" s="1316"/>
    </row>
    <row r="14" spans="1:9">
      <c r="C14" s="172"/>
      <c r="D14" s="1316"/>
      <c r="E14" s="1316"/>
      <c r="F14" s="1316"/>
    </row>
    <row r="15" spans="1:9">
      <c r="A15" s="175"/>
      <c r="B15" s="175"/>
      <c r="C15" s="175"/>
      <c r="D15" s="1279" t="s">
        <v>1148</v>
      </c>
      <c r="E15" s="1279"/>
      <c r="F15" s="1279"/>
    </row>
    <row r="16" spans="1:9">
      <c r="A16" s="175"/>
      <c r="B16" s="175"/>
      <c r="C16" s="175"/>
      <c r="D16" s="218"/>
    </row>
    <row r="17" spans="1:6" ht="14.25">
      <c r="A17" s="176"/>
      <c r="B17" s="468" t="s">
        <v>307</v>
      </c>
      <c r="C17" s="175"/>
      <c r="D17" s="1268" t="s">
        <v>1149</v>
      </c>
      <c r="E17" s="1268"/>
      <c r="F17" s="1268"/>
    </row>
    <row r="18" spans="1:6">
      <c r="A18" s="175"/>
      <c r="B18" s="175"/>
      <c r="C18" s="175"/>
      <c r="D18" s="1268"/>
      <c r="E18" s="1268"/>
      <c r="F18" s="1268"/>
    </row>
    <row r="19" spans="1:6">
      <c r="A19" s="175"/>
      <c r="B19" s="175"/>
      <c r="C19" s="175"/>
      <c r="D19" s="1268"/>
      <c r="E19" s="1268"/>
      <c r="F19" s="1268"/>
    </row>
    <row r="20" spans="1:6">
      <c r="A20" s="175"/>
      <c r="B20" s="175"/>
      <c r="C20" s="175"/>
    </row>
    <row r="21" spans="1:6" ht="14.25">
      <c r="A21" s="176"/>
      <c r="B21" s="468" t="s">
        <v>307</v>
      </c>
      <c r="D21" s="1311" t="s">
        <v>1150</v>
      </c>
      <c r="E21" s="1311"/>
      <c r="F21" s="1311"/>
    </row>
    <row r="22" spans="1:6" ht="14.25">
      <c r="A22" s="176"/>
      <c r="B22" s="176"/>
      <c r="D22" s="35"/>
    </row>
    <row r="23" spans="1:6" ht="14.25">
      <c r="A23" s="176"/>
      <c r="B23" s="468" t="s">
        <v>307</v>
      </c>
      <c r="D23" s="1268" t="s">
        <v>1151</v>
      </c>
      <c r="E23" s="1268"/>
      <c r="F23" s="1268"/>
    </row>
    <row r="24" spans="1:6" ht="14.25">
      <c r="A24" s="176"/>
      <c r="B24" s="176"/>
      <c r="D24" s="1268"/>
      <c r="E24" s="1268"/>
      <c r="F24" s="1268"/>
    </row>
    <row r="25" spans="1:6"/>
    <row r="26" spans="1:6" ht="14.25">
      <c r="A26" s="176"/>
      <c r="B26" s="468" t="s">
        <v>307</v>
      </c>
      <c r="D26" s="1268" t="s">
        <v>1152</v>
      </c>
      <c r="E26" s="1268"/>
      <c r="F26" s="1268"/>
    </row>
    <row r="27" spans="1:6">
      <c r="D27" s="1268"/>
      <c r="E27" s="1268"/>
      <c r="F27" s="1268"/>
    </row>
    <row r="28" spans="1:6">
      <c r="D28" s="1268"/>
      <c r="E28" s="1268"/>
      <c r="F28" s="1268"/>
    </row>
    <row r="29" spans="1:6">
      <c r="D29" s="1268"/>
      <c r="E29" s="1268"/>
      <c r="F29" s="1268"/>
    </row>
    <row r="30" spans="1:6">
      <c r="D30" s="1268"/>
      <c r="E30" s="1268"/>
      <c r="F30" s="1268"/>
    </row>
    <row r="31" spans="1:6">
      <c r="D31" s="220"/>
    </row>
    <row r="32" spans="1:6">
      <c r="B32" s="468" t="s">
        <v>307</v>
      </c>
      <c r="D32" s="1268" t="s">
        <v>1153</v>
      </c>
      <c r="E32" s="1268"/>
      <c r="F32" s="1268"/>
    </row>
    <row r="33" spans="1:6">
      <c r="D33" s="1268"/>
      <c r="E33" s="1268"/>
      <c r="F33" s="1268"/>
    </row>
    <row r="34" spans="1:6" ht="14.25">
      <c r="A34" s="176"/>
      <c r="B34" s="176"/>
      <c r="D34" s="220"/>
    </row>
    <row r="35" spans="1:6" ht="14.45" customHeight="1">
      <c r="A35" s="176"/>
      <c r="B35" s="468" t="s">
        <v>307</v>
      </c>
      <c r="D35" s="1268" t="s">
        <v>1154</v>
      </c>
      <c r="E35" s="1268"/>
      <c r="F35" s="1268"/>
    </row>
    <row r="36" spans="1:6" ht="14.25">
      <c r="A36" s="176"/>
      <c r="B36" s="176"/>
      <c r="D36" s="1268"/>
      <c r="E36" s="1268"/>
      <c r="F36" s="1268"/>
    </row>
    <row r="37" spans="1:6" ht="14.25">
      <c r="A37" s="176"/>
      <c r="B37" s="176"/>
      <c r="D37" s="1268"/>
      <c r="E37" s="1268"/>
      <c r="F37" s="1268"/>
    </row>
    <row r="38" spans="1:6" ht="14.25">
      <c r="A38" s="176"/>
      <c r="B38" s="176"/>
      <c r="D38"/>
    </row>
    <row r="39" spans="1:6" ht="14.25">
      <c r="A39" s="176"/>
      <c r="B39" s="468" t="s">
        <v>307</v>
      </c>
      <c r="D39" s="1268" t="s">
        <v>1155</v>
      </c>
      <c r="E39" s="1268"/>
      <c r="F39" s="1268"/>
    </row>
    <row r="40" spans="1:6" ht="14.25">
      <c r="A40" s="176"/>
      <c r="B40" s="176"/>
      <c r="D40" s="1268"/>
      <c r="E40" s="1268"/>
      <c r="F40" s="1268"/>
    </row>
    <row r="41" spans="1:6" ht="14.25">
      <c r="A41" s="176"/>
      <c r="B41" s="176"/>
      <c r="D41" s="1268"/>
      <c r="E41" s="1268"/>
      <c r="F41" s="1268"/>
    </row>
    <row r="42" spans="1:6" ht="14.25">
      <c r="A42" s="176"/>
      <c r="B42" s="176"/>
      <c r="D42" s="1268"/>
      <c r="E42" s="1268"/>
      <c r="F42" s="1268"/>
    </row>
    <row r="43" spans="1:6" ht="14.25">
      <c r="A43" s="176"/>
      <c r="B43" s="176"/>
      <c r="D43" s="1268"/>
      <c r="E43" s="1268"/>
      <c r="F43" s="1268"/>
    </row>
    <row r="44" spans="1:6" ht="14.25">
      <c r="A44" s="176"/>
      <c r="B44" s="176"/>
      <c r="D44" s="474"/>
      <c r="E44" s="474"/>
      <c r="F44" s="474"/>
    </row>
    <row r="45" spans="1:6" ht="14.25">
      <c r="A45" s="176"/>
      <c r="B45" s="468" t="s">
        <v>307</v>
      </c>
      <c r="D45" s="1268" t="s">
        <v>1156</v>
      </c>
      <c r="E45" s="1268"/>
      <c r="F45" s="1268"/>
    </row>
    <row r="46" spans="1:6" ht="14.25">
      <c r="A46" s="176"/>
      <c r="B46" s="176"/>
      <c r="D46" s="1268"/>
      <c r="E46" s="1268"/>
      <c r="F46" s="1268"/>
    </row>
    <row r="47" spans="1:6" ht="14.25">
      <c r="A47" s="176"/>
      <c r="B47" s="176"/>
      <c r="D47" s="1268"/>
      <c r="E47" s="1268"/>
      <c r="F47" s="1268"/>
    </row>
    <row r="48" spans="1:6" ht="23.25" customHeight="1">
      <c r="A48" s="176"/>
      <c r="B48" s="176"/>
      <c r="D48" s="1268"/>
      <c r="E48" s="1268"/>
      <c r="F48" s="1268"/>
    </row>
    <row r="49" spans="1:7" ht="14.25">
      <c r="A49" s="176"/>
      <c r="B49" s="176"/>
      <c r="D49" s="35"/>
    </row>
    <row r="50" spans="1:7" ht="14.45" customHeight="1">
      <c r="A50" s="176"/>
      <c r="B50" s="468" t="s">
        <v>307</v>
      </c>
      <c r="D50" s="1268" t="s">
        <v>1157</v>
      </c>
      <c r="E50" s="1268"/>
      <c r="F50" s="1268"/>
    </row>
    <row r="51" spans="1:7" ht="14.25">
      <c r="A51" s="176"/>
      <c r="B51" s="176"/>
      <c r="D51" s="1268"/>
      <c r="E51" s="1268"/>
      <c r="F51" s="1268"/>
    </row>
    <row r="52" spans="1:7" ht="14.25">
      <c r="A52" s="176"/>
      <c r="B52" s="176"/>
      <c r="D52" s="1268"/>
      <c r="E52" s="1268"/>
      <c r="F52" s="1268"/>
    </row>
    <row r="53" spans="1:7" ht="14.25">
      <c r="A53" s="176"/>
      <c r="B53" s="176"/>
      <c r="C53" s="385"/>
      <c r="D53" s="3"/>
      <c r="E53" s="3"/>
      <c r="F53" s="3"/>
      <c r="G53" s="3"/>
    </row>
    <row r="54" spans="1:7" ht="14.25">
      <c r="A54" s="176"/>
      <c r="B54" s="468" t="s">
        <v>307</v>
      </c>
      <c r="C54" s="385"/>
      <c r="D54" s="1268" t="s">
        <v>1158</v>
      </c>
      <c r="E54" s="1268"/>
      <c r="F54" s="1268"/>
      <c r="G54" s="3"/>
    </row>
    <row r="55" spans="1:7" ht="14.25">
      <c r="A55" s="176"/>
      <c r="B55" s="176"/>
      <c r="C55" s="385"/>
      <c r="D55" s="1268"/>
      <c r="E55" s="1268"/>
      <c r="F55" s="1268"/>
      <c r="G55" s="3"/>
    </row>
    <row r="56" spans="1:7">
      <c r="D56" s="220"/>
    </row>
    <row r="57" spans="1:7" ht="14.25">
      <c r="A57" s="176"/>
      <c r="B57" s="468" t="s">
        <v>307</v>
      </c>
      <c r="D57" s="1268" t="s">
        <v>1159</v>
      </c>
      <c r="E57" s="1268"/>
      <c r="F57" s="1268"/>
    </row>
    <row r="58" spans="1:7">
      <c r="D58" s="1268"/>
      <c r="E58" s="1268"/>
      <c r="F58" s="1268"/>
    </row>
    <row r="59" spans="1:7">
      <c r="D59" s="1268"/>
      <c r="E59" s="1268"/>
      <c r="F59" s="1268"/>
    </row>
    <row r="60" spans="1:7">
      <c r="D60" s="3"/>
    </row>
    <row r="61" spans="1:7" ht="14.25">
      <c r="A61" s="176"/>
      <c r="B61" s="468" t="s">
        <v>307</v>
      </c>
      <c r="D61" s="1268" t="s">
        <v>1160</v>
      </c>
      <c r="E61" s="1268"/>
      <c r="F61" s="1268"/>
    </row>
    <row r="62" spans="1:7">
      <c r="D62" s="1268"/>
      <c r="E62" s="1268"/>
      <c r="F62" s="1268"/>
    </row>
    <row r="63" spans="1:7"/>
    <row r="64" spans="1:7" ht="14.25">
      <c r="A64" s="176"/>
      <c r="B64" s="468" t="s">
        <v>307</v>
      </c>
      <c r="D64" s="1268" t="s">
        <v>1161</v>
      </c>
      <c r="E64" s="1268"/>
      <c r="F64" s="1268"/>
    </row>
    <row r="65" spans="1:7">
      <c r="D65" s="1268"/>
      <c r="E65" s="1268"/>
      <c r="F65" s="1268"/>
    </row>
    <row r="66" spans="1:7">
      <c r="D66" s="1268"/>
      <c r="E66" s="1268"/>
      <c r="F66" s="1268"/>
    </row>
    <row r="67" spans="1:7">
      <c r="D67"/>
    </row>
    <row r="68" spans="1:7" ht="14.25">
      <c r="A68" s="176"/>
      <c r="B68" s="468" t="s">
        <v>307</v>
      </c>
      <c r="D68" s="1268" t="s">
        <v>1162</v>
      </c>
      <c r="E68" s="1268"/>
      <c r="F68" s="1268"/>
    </row>
    <row r="69" spans="1:7">
      <c r="D69" s="1268"/>
      <c r="E69" s="1268"/>
      <c r="F69" s="1268"/>
    </row>
    <row r="70" spans="1:7" ht="14.25">
      <c r="A70" s="176"/>
      <c r="B70" s="176"/>
      <c r="D70" s="35"/>
    </row>
    <row r="71" spans="1:7">
      <c r="A71" s="1283" t="s">
        <v>1069</v>
      </c>
      <c r="B71" s="1283"/>
      <c r="C71" s="1283"/>
      <c r="D71" s="1283"/>
      <c r="E71" s="1283"/>
      <c r="F71" s="1283"/>
      <c r="G71" s="1283"/>
    </row>
    <row r="72" spans="1:7"/>
    <row r="73" spans="1:7">
      <c r="C73" s="177"/>
      <c r="D73" s="1301" t="s">
        <v>1167</v>
      </c>
      <c r="E73" s="1301"/>
      <c r="F73" s="1301"/>
    </row>
    <row r="74" spans="1:7">
      <c r="A74" s="35"/>
      <c r="B74" s="35"/>
      <c r="D74" s="1268" t="s">
        <v>1194</v>
      </c>
      <c r="E74" s="1268"/>
      <c r="F74" s="1268"/>
    </row>
    <row r="75" spans="1:7">
      <c r="A75" s="35"/>
      <c r="B75" s="35"/>
    </row>
    <row r="76" spans="1:7" ht="14.25">
      <c r="A76" s="176"/>
      <c r="B76" s="468" t="s">
        <v>307</v>
      </c>
      <c r="D76" s="1268" t="s">
        <v>1168</v>
      </c>
      <c r="E76" s="1268"/>
      <c r="F76" s="1268"/>
    </row>
    <row r="77" spans="1:7" ht="14.25">
      <c r="A77" s="176"/>
      <c r="B77" s="176"/>
      <c r="D77" s="1268"/>
      <c r="E77" s="1268"/>
      <c r="F77" s="1268"/>
    </row>
    <row r="78" spans="1:7" ht="14.25">
      <c r="A78" s="176"/>
      <c r="B78" s="176"/>
      <c r="D78" s="1268"/>
      <c r="E78" s="1268"/>
      <c r="F78" s="1268"/>
    </row>
    <row r="79" spans="1:7" ht="14.25">
      <c r="A79" s="176"/>
      <c r="B79" s="176"/>
      <c r="D79" s="1268"/>
      <c r="E79" s="1268"/>
      <c r="F79" s="1268"/>
    </row>
    <row r="80" spans="1:7" ht="14.25">
      <c r="A80" s="176"/>
      <c r="B80" s="176"/>
      <c r="D80" s="1268"/>
      <c r="E80" s="1268"/>
      <c r="F80" s="1268"/>
    </row>
    <row r="81" spans="1:6" ht="14.25">
      <c r="A81" s="176"/>
      <c r="B81" s="176"/>
      <c r="D81" s="1268"/>
      <c r="E81" s="1268"/>
      <c r="F81" s="1268"/>
    </row>
    <row r="82" spans="1:6" ht="14.25">
      <c r="A82" s="176"/>
      <c r="B82" s="176"/>
      <c r="D82" s="474"/>
      <c r="E82" s="474"/>
      <c r="F82" s="474"/>
    </row>
    <row r="83" spans="1:6" ht="14.45" customHeight="1">
      <c r="A83" s="176"/>
      <c r="B83" s="468" t="s">
        <v>307</v>
      </c>
      <c r="D83" s="1277" t="s">
        <v>1267</v>
      </c>
      <c r="E83" s="1277"/>
      <c r="F83" s="1277"/>
    </row>
    <row r="84" spans="1:6" ht="14.25">
      <c r="A84" s="176"/>
      <c r="B84" s="176"/>
      <c r="D84" s="1277"/>
      <c r="E84" s="1277"/>
      <c r="F84" s="1277"/>
    </row>
    <row r="85" spans="1:6" ht="14.25">
      <c r="A85" s="176"/>
      <c r="B85" s="176"/>
      <c r="D85" s="1277"/>
      <c r="E85" s="1277"/>
      <c r="F85" s="1277"/>
    </row>
    <row r="86" spans="1:6" ht="14.25">
      <c r="A86" s="176"/>
      <c r="B86" s="176"/>
      <c r="D86" s="1277"/>
      <c r="E86" s="1277"/>
      <c r="F86" s="1277"/>
    </row>
    <row r="87" spans="1:6" ht="14.25">
      <c r="A87" s="176"/>
      <c r="B87" s="176"/>
      <c r="D87" s="1277"/>
      <c r="E87" s="1277"/>
      <c r="F87" s="1277"/>
    </row>
    <row r="88" spans="1:6" ht="14.25">
      <c r="A88" s="176"/>
      <c r="B88" s="176"/>
      <c r="D88" s="1277"/>
      <c r="E88" s="1277"/>
      <c r="F88" s="1277"/>
    </row>
    <row r="89" spans="1:6" ht="14.25">
      <c r="A89" s="176"/>
      <c r="B89" s="176"/>
      <c r="D89" s="1277"/>
      <c r="E89" s="1277"/>
      <c r="F89" s="1277"/>
    </row>
    <row r="90" spans="1:6" ht="14.25">
      <c r="A90" s="176"/>
      <c r="B90" s="176"/>
      <c r="D90" s="1277"/>
      <c r="E90" s="1277"/>
      <c r="F90" s="1277"/>
    </row>
    <row r="91" spans="1:6" ht="14.25">
      <c r="A91" s="176"/>
      <c r="B91" s="176"/>
      <c r="D91" s="1277"/>
      <c r="E91" s="1277"/>
      <c r="F91" s="1277"/>
    </row>
    <row r="92" spans="1:6" ht="14.25">
      <c r="A92" s="176"/>
      <c r="B92" s="176"/>
      <c r="D92" s="1277"/>
      <c r="E92" s="1277"/>
      <c r="F92" s="1277"/>
    </row>
    <row r="93" spans="1:6" ht="14.25">
      <c r="A93" s="176"/>
      <c r="B93" s="176"/>
      <c r="D93" s="1277"/>
      <c r="E93" s="1277"/>
      <c r="F93" s="1277"/>
    </row>
    <row r="94" spans="1:6" ht="14.25">
      <c r="A94" s="176"/>
      <c r="B94" s="176"/>
      <c r="D94" s="1277"/>
      <c r="E94" s="1277"/>
      <c r="F94" s="1277"/>
    </row>
    <row r="95" spans="1:6" ht="14.25">
      <c r="A95" s="176"/>
      <c r="B95" s="176"/>
      <c r="D95" s="1277"/>
      <c r="E95" s="1277"/>
      <c r="F95" s="1277"/>
    </row>
    <row r="96" spans="1:6" ht="14.25">
      <c r="A96" s="176"/>
      <c r="B96" s="176"/>
      <c r="D96" s="1277"/>
      <c r="E96" s="1277"/>
      <c r="F96" s="1277"/>
    </row>
    <row r="97" spans="1:11" ht="14.25">
      <c r="A97" s="176"/>
      <c r="B97" s="468" t="s">
        <v>307</v>
      </c>
      <c r="D97" s="1268" t="s">
        <v>1169</v>
      </c>
      <c r="E97" s="1268"/>
      <c r="F97" s="1268"/>
    </row>
    <row r="98" spans="1:11" ht="14.25">
      <c r="A98" s="176"/>
      <c r="B98" s="176"/>
      <c r="D98" s="1268"/>
      <c r="E98" s="1268"/>
      <c r="F98" s="1268"/>
    </row>
    <row r="99" spans="1:11" ht="14.25">
      <c r="A99" s="176"/>
      <c r="B99" s="176"/>
      <c r="D99" s="1268"/>
      <c r="E99" s="1268"/>
      <c r="F99" s="1268"/>
    </row>
    <row r="100" spans="1:11" ht="14.25">
      <c r="A100" s="176"/>
      <c r="B100" s="176"/>
      <c r="D100" s="1268"/>
      <c r="E100" s="1268"/>
      <c r="F100" s="1268"/>
    </row>
    <row r="101" spans="1:11" ht="14.25">
      <c r="A101" s="176"/>
      <c r="B101" s="176"/>
      <c r="D101" s="1268"/>
      <c r="E101" s="1268"/>
      <c r="F101" s="1268"/>
    </row>
    <row r="102" spans="1:11" ht="14.25">
      <c r="A102" s="176"/>
      <c r="B102" s="176"/>
      <c r="D102" s="1268"/>
      <c r="E102" s="1268"/>
      <c r="F102" s="1268"/>
    </row>
    <row r="103" spans="1:11" ht="14.25">
      <c r="A103" s="176"/>
      <c r="B103" s="176"/>
      <c r="D103" s="1268"/>
      <c r="E103" s="1268"/>
      <c r="F103" s="1268"/>
    </row>
    <row r="104" spans="1:11" ht="14.25">
      <c r="A104" s="176"/>
      <c r="B104" s="176"/>
      <c r="D104" s="1268"/>
      <c r="E104" s="1268"/>
      <c r="F104" s="1268"/>
    </row>
    <row r="105" spans="1:11" ht="14.25">
      <c r="A105" s="176"/>
      <c r="B105" s="176"/>
      <c r="D105" s="474"/>
      <c r="E105" s="474"/>
      <c r="F105" s="474"/>
    </row>
    <row r="106" spans="1:11" ht="14.25">
      <c r="A106" s="176"/>
      <c r="B106" s="468" t="s">
        <v>307</v>
      </c>
      <c r="C106" s="179"/>
      <c r="D106" s="1305" t="s">
        <v>1170</v>
      </c>
      <c r="E106" s="1305"/>
      <c r="F106" s="1305"/>
      <c r="G106" s="183"/>
      <c r="H106" s="181"/>
      <c r="I106" s="181"/>
      <c r="J106" s="181"/>
      <c r="K106" s="181"/>
    </row>
    <row r="107" spans="1:11" ht="14.25">
      <c r="A107" s="176"/>
      <c r="B107" s="176"/>
      <c r="C107" s="179"/>
      <c r="D107" s="1305"/>
      <c r="E107" s="1305"/>
      <c r="F107" s="1305"/>
      <c r="G107" s="183"/>
      <c r="H107" s="181"/>
      <c r="I107" s="181"/>
      <c r="J107" s="181"/>
      <c r="K107" s="181"/>
    </row>
    <row r="108" spans="1:11" ht="14.25">
      <c r="A108" s="176"/>
      <c r="B108" s="176"/>
      <c r="C108" s="179"/>
      <c r="D108" s="1305"/>
      <c r="E108" s="1305"/>
      <c r="F108" s="1305"/>
      <c r="G108" s="183"/>
      <c r="H108" s="181"/>
      <c r="I108" s="181"/>
      <c r="J108" s="181"/>
      <c r="K108" s="181"/>
    </row>
    <row r="109" spans="1:11" ht="14.25">
      <c r="A109" s="176"/>
      <c r="B109" s="176"/>
      <c r="C109" s="179"/>
      <c r="D109" s="1305"/>
      <c r="E109" s="1305"/>
      <c r="F109" s="1305"/>
      <c r="G109" s="183"/>
      <c r="H109" s="181"/>
      <c r="I109" s="181"/>
      <c r="J109" s="181"/>
      <c r="K109" s="181"/>
    </row>
    <row r="110" spans="1:11" ht="14.25">
      <c r="A110" s="176"/>
      <c r="B110" s="176"/>
      <c r="C110" s="179"/>
      <c r="D110" s="1305"/>
      <c r="E110" s="1305"/>
      <c r="F110" s="1305"/>
      <c r="G110" s="183"/>
      <c r="H110" s="181"/>
      <c r="I110" s="181"/>
      <c r="J110" s="181"/>
      <c r="K110" s="181"/>
    </row>
    <row r="111" spans="1:11">
      <c r="C111"/>
      <c r="D111" s="1305"/>
      <c r="E111" s="1305"/>
      <c r="F111" s="1305"/>
      <c r="G111"/>
    </row>
    <row r="112" spans="1:11">
      <c r="C112"/>
      <c r="D112" s="1305"/>
      <c r="E112" s="1305"/>
      <c r="F112" s="1305"/>
      <c r="G112"/>
    </row>
    <row r="113" spans="1:7">
      <c r="C113"/>
      <c r="D113" s="330"/>
      <c r="E113"/>
      <c r="F113"/>
      <c r="G113"/>
    </row>
    <row r="114" spans="1:7" ht="14.25">
      <c r="A114" s="176"/>
      <c r="B114" s="468" t="s">
        <v>307</v>
      </c>
      <c r="C114"/>
      <c r="D114" s="1306" t="s">
        <v>1171</v>
      </c>
      <c r="E114" s="1306"/>
      <c r="F114" s="1306"/>
      <c r="G114"/>
    </row>
    <row r="115" spans="1:7" ht="14.25">
      <c r="A115" s="176"/>
      <c r="B115" s="176"/>
      <c r="C115"/>
      <c r="D115" s="1306"/>
      <c r="E115" s="1306"/>
      <c r="F115" s="1306"/>
      <c r="G115"/>
    </row>
    <row r="116" spans="1:7"/>
    <row r="117" spans="1:7" ht="14.25">
      <c r="A117" s="176"/>
      <c r="B117" s="468" t="s">
        <v>307</v>
      </c>
      <c r="D117" s="1268" t="s">
        <v>1172</v>
      </c>
      <c r="E117" s="1268"/>
      <c r="F117" s="1268"/>
    </row>
    <row r="118" spans="1:7">
      <c r="D118" s="1268"/>
      <c r="E118" s="1268"/>
      <c r="F118" s="1268"/>
    </row>
    <row r="119" spans="1:7">
      <c r="D119" s="1268"/>
      <c r="E119" s="1268"/>
      <c r="F119" s="1268"/>
    </row>
    <row r="120" spans="1:7">
      <c r="D120" s="1268"/>
      <c r="E120" s="1268"/>
      <c r="F120" s="1268"/>
    </row>
    <row r="121" spans="1:7">
      <c r="D121" s="1268"/>
      <c r="E121" s="1268"/>
      <c r="F121" s="1268"/>
    </row>
    <row r="122" spans="1:7"/>
    <row r="123" spans="1:7" ht="14.25">
      <c r="A123" s="176"/>
      <c r="B123" s="468" t="s">
        <v>307</v>
      </c>
      <c r="D123" s="1268" t="s">
        <v>1173</v>
      </c>
      <c r="E123" s="1268"/>
      <c r="F123" s="1268"/>
    </row>
    <row r="124" spans="1:7" s="197" customFormat="1" ht="13.7" customHeight="1">
      <c r="A124" s="195"/>
      <c r="B124" s="195"/>
      <c r="C124" s="195"/>
      <c r="D124" s="1268"/>
      <c r="E124" s="1268"/>
      <c r="F124" s="1268"/>
      <c r="G124" s="196"/>
    </row>
    <row r="125" spans="1:7" ht="13.7" customHeight="1">
      <c r="D125" s="1268"/>
      <c r="E125" s="1268"/>
      <c r="F125" s="1268"/>
    </row>
    <row r="126" spans="1:7" ht="13.7" customHeight="1">
      <c r="D126" s="1268"/>
      <c r="E126" s="1268"/>
      <c r="F126" s="1268"/>
    </row>
    <row r="127" spans="1:7" ht="13.7" customHeight="1">
      <c r="D127" s="1268"/>
      <c r="E127" s="1268"/>
      <c r="F127" s="1268"/>
    </row>
    <row r="128" spans="1:7" ht="13.7" customHeight="1">
      <c r="A128" s="256"/>
      <c r="B128" s="256"/>
      <c r="D128" s="1268"/>
      <c r="E128" s="1268"/>
      <c r="F128" s="1268"/>
    </row>
    <row r="129" spans="2:6" ht="13.7" customHeight="1">
      <c r="D129" s="1268"/>
      <c r="E129" s="1268"/>
      <c r="F129" s="1268"/>
    </row>
    <row r="130" spans="2:6" ht="13.7" customHeight="1">
      <c r="D130" s="1268"/>
      <c r="E130" s="1268"/>
      <c r="F130" s="1268"/>
    </row>
    <row r="131" spans="2:6" ht="13.7" customHeight="1">
      <c r="D131" s="1268"/>
      <c r="E131" s="1268"/>
      <c r="F131" s="1268"/>
    </row>
    <row r="132" spans="2:6" ht="13.7" customHeight="1">
      <c r="D132" s="1268"/>
      <c r="E132" s="1268"/>
      <c r="F132" s="1268"/>
    </row>
    <row r="133" spans="2:6" ht="13.7" customHeight="1">
      <c r="D133" s="1268"/>
      <c r="E133" s="1268"/>
      <c r="F133" s="1268"/>
    </row>
    <row r="134" spans="2:6" ht="13.7" customHeight="1">
      <c r="D134" s="1268"/>
      <c r="E134" s="1268"/>
      <c r="F134" s="1268"/>
    </row>
    <row r="135" spans="2:6" ht="13.7" customHeight="1">
      <c r="D135" s="218"/>
      <c r="E135" s="35"/>
      <c r="F135" s="35"/>
    </row>
    <row r="136" spans="2:6" ht="13.7" customHeight="1">
      <c r="B136" s="468" t="s">
        <v>307</v>
      </c>
      <c r="D136" s="1268" t="s">
        <v>1281</v>
      </c>
      <c r="E136" s="1268"/>
      <c r="F136" s="1268"/>
    </row>
    <row r="137" spans="2:6" ht="13.7" customHeight="1">
      <c r="D137" s="1268"/>
      <c r="E137" s="1268"/>
      <c r="F137" s="1268"/>
    </row>
    <row r="138" spans="2:6" ht="13.7" customHeight="1">
      <c r="D138" s="1268"/>
      <c r="E138" s="1268"/>
      <c r="F138" s="1268"/>
    </row>
    <row r="139" spans="2:6" ht="13.7" customHeight="1">
      <c r="D139" s="1268"/>
      <c r="E139" s="1268"/>
      <c r="F139" s="1268"/>
    </row>
    <row r="140" spans="2:6" ht="13.7" customHeight="1">
      <c r="D140" s="1268"/>
      <c r="E140" s="1268"/>
      <c r="F140" s="1268"/>
    </row>
    <row r="141" spans="2:6" ht="13.7" customHeight="1">
      <c r="D141" s="1268"/>
      <c r="E141" s="1268"/>
      <c r="F141" s="1268"/>
    </row>
    <row r="142" spans="2:6" ht="13.7" customHeight="1">
      <c r="D142" s="1268"/>
      <c r="E142" s="1268"/>
      <c r="F142" s="1268"/>
    </row>
    <row r="143" spans="2:6" ht="13.7" customHeight="1">
      <c r="D143" s="1268"/>
      <c r="E143" s="1268"/>
      <c r="F143" s="1268"/>
    </row>
    <row r="144" spans="2:6" ht="13.7" customHeight="1">
      <c r="D144" s="1268"/>
      <c r="E144" s="1268"/>
      <c r="F144" s="1268"/>
    </row>
    <row r="145" spans="1:7" ht="13.7" customHeight="1">
      <c r="D145" s="1268"/>
      <c r="E145" s="1268"/>
      <c r="F145" s="1268"/>
    </row>
    <row r="146" spans="1:7" ht="13.7" customHeight="1">
      <c r="D146" s="1268"/>
      <c r="E146" s="1268"/>
      <c r="F146" s="1268"/>
    </row>
    <row r="147" spans="1:7" ht="13.7" customHeight="1">
      <c r="D147" s="1268"/>
      <c r="E147" s="1268"/>
      <c r="F147" s="1268"/>
    </row>
    <row r="148" spans="1:7" ht="13.7" customHeight="1">
      <c r="D148" s="1268"/>
      <c r="E148" s="1268"/>
      <c r="F148" s="1268"/>
    </row>
    <row r="149" spans="1:7" ht="13.7" customHeight="1">
      <c r="D149" s="1268"/>
      <c r="E149" s="1268"/>
      <c r="F149" s="1268"/>
    </row>
    <row r="150" spans="1:7" ht="13.7" customHeight="1">
      <c r="D150" s="1268"/>
      <c r="E150" s="1268"/>
      <c r="F150" s="1268"/>
    </row>
    <row r="151" spans="1:7" ht="13.7" customHeight="1">
      <c r="D151" s="1268"/>
      <c r="E151" s="1268"/>
      <c r="F151" s="1268"/>
    </row>
    <row r="152" spans="1:7" ht="13.7" customHeight="1">
      <c r="D152" s="1268"/>
      <c r="E152" s="1268"/>
      <c r="F152" s="1268"/>
    </row>
    <row r="153" spans="1:7" ht="13.7" customHeight="1">
      <c r="D153" s="1268"/>
      <c r="E153" s="1268"/>
      <c r="F153" s="1268"/>
    </row>
    <row r="154" spans="1:7" ht="13.7" customHeight="1">
      <c r="D154" s="1268"/>
      <c r="E154" s="1268"/>
      <c r="F154" s="1268"/>
    </row>
    <row r="155" spans="1:7" ht="13.7" customHeight="1">
      <c r="D155" s="218"/>
      <c r="E155" s="35"/>
      <c r="F155" s="35"/>
    </row>
    <row r="156" spans="1:7" ht="13.7" customHeight="1">
      <c r="A156" s="256"/>
      <c r="B156" s="468" t="s">
        <v>307</v>
      </c>
      <c r="C156" s="218"/>
      <c r="D156" s="1277" t="s">
        <v>1174</v>
      </c>
      <c r="E156" s="1277"/>
      <c r="F156" s="1277"/>
      <c r="G156" s="218"/>
    </row>
    <row r="157" spans="1:7" ht="13.7" customHeight="1">
      <c r="A157" s="256"/>
      <c r="B157" s="256"/>
      <c r="C157" s="218"/>
      <c r="D157" s="1277"/>
      <c r="E157" s="1277"/>
      <c r="F157" s="1277"/>
      <c r="G157" s="218"/>
    </row>
    <row r="158" spans="1:7" ht="13.7" customHeight="1">
      <c r="A158" s="256"/>
      <c r="B158" s="256"/>
      <c r="C158" s="218"/>
      <c r="D158" s="218"/>
      <c r="E158" s="218"/>
      <c r="F158" s="218"/>
      <c r="G158" s="218"/>
    </row>
    <row r="159" spans="1:7" ht="13.7" customHeight="1">
      <c r="A159" s="256"/>
      <c r="B159" s="468" t="s">
        <v>307</v>
      </c>
      <c r="C159" s="218"/>
      <c r="D159" s="1277" t="s">
        <v>1175</v>
      </c>
      <c r="E159" s="1277"/>
      <c r="F159" s="1277"/>
      <c r="G159" s="218"/>
    </row>
    <row r="160" spans="1:7" ht="13.7" customHeight="1">
      <c r="A160" s="256"/>
      <c r="B160" s="256"/>
      <c r="C160" s="218"/>
      <c r="D160" s="1277"/>
      <c r="E160" s="1277"/>
      <c r="F160" s="1277"/>
      <c r="G160" s="218"/>
    </row>
    <row r="161" spans="1:7" ht="13.7" customHeight="1">
      <c r="A161" s="256"/>
      <c r="B161" s="256"/>
      <c r="C161" s="218"/>
      <c r="D161" s="1277"/>
      <c r="E161" s="1277"/>
      <c r="F161" s="1277"/>
      <c r="G161" s="218"/>
    </row>
    <row r="162" spans="1:7" ht="13.7" customHeight="1">
      <c r="A162" s="256"/>
      <c r="B162" s="256"/>
      <c r="C162" s="218"/>
      <c r="D162" s="1277"/>
      <c r="E162" s="1277"/>
      <c r="F162" s="1277"/>
      <c r="G162" s="218"/>
    </row>
    <row r="163" spans="1:7" ht="13.7" customHeight="1">
      <c r="D163" s="35"/>
      <c r="E163" s="35"/>
      <c r="F163" s="35"/>
    </row>
    <row r="164" spans="1:7" ht="13.7" customHeight="1">
      <c r="B164" s="468" t="s">
        <v>307</v>
      </c>
      <c r="D164" s="1282" t="s">
        <v>1176</v>
      </c>
      <c r="E164" s="1282"/>
      <c r="F164" s="1282"/>
    </row>
    <row r="165" spans="1:7" ht="13.7" customHeight="1">
      <c r="D165" s="1282"/>
      <c r="E165" s="1282"/>
      <c r="F165" s="1282"/>
    </row>
    <row r="166" spans="1:7" ht="13.7" customHeight="1">
      <c r="D166" s="1282"/>
      <c r="E166" s="1282"/>
      <c r="F166" s="1282"/>
    </row>
    <row r="167" spans="1:7" ht="13.7" customHeight="1">
      <c r="A167" s="13"/>
      <c r="B167" s="13"/>
      <c r="E167" s="35"/>
      <c r="F167" s="35"/>
    </row>
    <row r="168" spans="1:7">
      <c r="A168" s="1283" t="s">
        <v>1070</v>
      </c>
      <c r="B168" s="1283"/>
      <c r="C168" s="1283"/>
      <c r="D168" s="1283"/>
      <c r="E168" s="1283"/>
      <c r="F168" s="1283"/>
      <c r="G168" s="1283"/>
    </row>
    <row r="169" spans="1:7" ht="12" customHeight="1">
      <c r="D169" s="35"/>
      <c r="E169" s="35"/>
      <c r="F169" s="35"/>
    </row>
    <row r="170" spans="1:7">
      <c r="B170" s="1300" t="s">
        <v>447</v>
      </c>
      <c r="C170" s="1300"/>
      <c r="D170" s="1300"/>
      <c r="E170" s="1300"/>
      <c r="F170" s="1300"/>
    </row>
    <row r="171" spans="1:7" ht="12" customHeight="1">
      <c r="A171" s="172"/>
      <c r="B171" s="172"/>
      <c r="C171" s="172"/>
    </row>
    <row r="172" spans="1:7">
      <c r="A172" s="1283" t="s">
        <v>1071</v>
      </c>
      <c r="B172" s="1283"/>
      <c r="C172" s="1283"/>
      <c r="D172" s="1283"/>
      <c r="E172" s="1283"/>
      <c r="F172" s="1283"/>
      <c r="G172" s="1283"/>
    </row>
    <row r="173" spans="1:7" ht="12" customHeight="1">
      <c r="A173" s="2"/>
      <c r="B173" s="2"/>
      <c r="E173" s="2"/>
    </row>
    <row r="174" spans="1:7" ht="13.35" customHeight="1">
      <c r="A174" s="2"/>
      <c r="B174" s="2"/>
      <c r="D174" s="1297" t="s">
        <v>1179</v>
      </c>
      <c r="E174" s="1297"/>
      <c r="F174" s="1297"/>
    </row>
    <row r="175" spans="1:7">
      <c r="A175" s="2"/>
      <c r="B175" s="2"/>
      <c r="D175" s="1297"/>
      <c r="E175" s="1297"/>
      <c r="F175" s="1297"/>
    </row>
    <row r="176" spans="1:7">
      <c r="A176" s="2"/>
      <c r="B176" s="2"/>
      <c r="D176" s="1298" t="s">
        <v>1180</v>
      </c>
      <c r="E176" s="1298"/>
      <c r="F176" s="1298"/>
    </row>
    <row r="177" spans="1:7" ht="12" customHeight="1">
      <c r="A177" s="2"/>
      <c r="B177" s="2"/>
      <c r="E177" s="2"/>
    </row>
    <row r="178" spans="1:7" ht="14.25">
      <c r="A178" s="176"/>
      <c r="B178" s="468" t="s">
        <v>307</v>
      </c>
      <c r="D178" s="1295" t="s">
        <v>1178</v>
      </c>
      <c r="E178" s="1295"/>
      <c r="F178" s="1295"/>
    </row>
    <row r="179" spans="1:7" ht="14.25">
      <c r="A179" s="176"/>
      <c r="B179" s="176"/>
      <c r="D179" s="1295"/>
      <c r="E179" s="1295"/>
      <c r="F179" s="1295"/>
    </row>
    <row r="180" spans="1:7" ht="14.25">
      <c r="A180" s="176"/>
      <c r="B180" s="176"/>
      <c r="D180" s="1295"/>
      <c r="E180" s="1295"/>
      <c r="F180" s="1295"/>
    </row>
    <row r="181" spans="1:7">
      <c r="D181" s="1295"/>
      <c r="E181" s="1295"/>
      <c r="F181" s="1295"/>
    </row>
    <row r="182" spans="1:7">
      <c r="D182" s="220"/>
    </row>
    <row r="183" spans="1:7">
      <c r="D183" s="1299" t="s">
        <v>1087</v>
      </c>
      <c r="E183" s="1299"/>
      <c r="F183" s="1299"/>
    </row>
    <row r="184" spans="1:7">
      <c r="D184" s="1299"/>
      <c r="E184" s="1299"/>
      <c r="F184" s="1299"/>
    </row>
    <row r="185" spans="1:7">
      <c r="D185" s="475"/>
      <c r="E185" s="475"/>
      <c r="F185" s="475"/>
    </row>
    <row r="186" spans="1:7" ht="14.25">
      <c r="A186" s="176"/>
      <c r="B186" s="468" t="s">
        <v>307</v>
      </c>
      <c r="C186" s="385"/>
      <c r="D186" s="1268" t="s">
        <v>1177</v>
      </c>
      <c r="E186" s="1268"/>
      <c r="F186" s="1268"/>
      <c r="G186" s="3"/>
    </row>
    <row r="187" spans="1:7" ht="14.45" customHeight="1">
      <c r="A187" s="176"/>
      <c r="B187"/>
      <c r="C187" s="385"/>
      <c r="D187" s="1268"/>
      <c r="E187" s="1268"/>
      <c r="F187" s="1268"/>
      <c r="G187" s="3"/>
    </row>
    <row r="188" spans="1:7" ht="14.25">
      <c r="A188" s="176"/>
      <c r="B188" s="385"/>
      <c r="C188" s="385"/>
      <c r="D188" s="1268"/>
      <c r="E188" s="1268"/>
      <c r="F188" s="1268"/>
      <c r="G188" s="3"/>
    </row>
    <row r="189" spans="1:7" ht="14.25">
      <c r="A189" s="176"/>
      <c r="B189" s="385"/>
      <c r="C189" s="385"/>
      <c r="D189" s="1268"/>
      <c r="E189" s="1268"/>
      <c r="F189" s="1268"/>
      <c r="G189" s="3"/>
    </row>
    <row r="190" spans="1:7">
      <c r="D190" s="475"/>
      <c r="E190" s="475"/>
      <c r="F190" s="475"/>
    </row>
    <row r="191" spans="1:7">
      <c r="A191" s="1283" t="s">
        <v>1072</v>
      </c>
      <c r="B191" s="1283"/>
      <c r="C191" s="1283"/>
      <c r="D191" s="1283"/>
      <c r="E191" s="1283"/>
      <c r="F191" s="1283"/>
      <c r="G191" s="1283"/>
    </row>
    <row r="192" spans="1:7" ht="12" customHeight="1">
      <c r="D192" s="35"/>
      <c r="E192" s="35"/>
      <c r="F192" s="35"/>
    </row>
    <row r="193" spans="1:6">
      <c r="C193" s="177"/>
      <c r="D193" s="1284" t="s">
        <v>208</v>
      </c>
      <c r="E193" s="1284"/>
      <c r="F193" s="1284"/>
    </row>
    <row r="194" spans="1:6">
      <c r="A194" s="172"/>
      <c r="B194" s="172"/>
      <c r="C194" s="172"/>
      <c r="D194" s="1279" t="s">
        <v>1201</v>
      </c>
      <c r="E194" s="1287"/>
      <c r="F194" s="1287"/>
    </row>
    <row r="195" spans="1:6" ht="12" customHeight="1">
      <c r="A195" s="13"/>
      <c r="B195" s="13"/>
      <c r="C195" s="13"/>
    </row>
    <row r="196" spans="1:6" ht="13.35" customHeight="1">
      <c r="A196" s="13"/>
      <c r="C196" s="13"/>
      <c r="D196" s="1284" t="s">
        <v>553</v>
      </c>
      <c r="E196" s="1284"/>
      <c r="F196" s="1284"/>
    </row>
    <row r="197" spans="1:6" ht="14.25">
      <c r="A197" s="176"/>
      <c r="B197" s="468" t="s">
        <v>307</v>
      </c>
      <c r="D197" s="1268" t="s">
        <v>1195</v>
      </c>
      <c r="E197" s="1268"/>
      <c r="F197" s="1268"/>
    </row>
    <row r="198" spans="1:6" ht="14.25">
      <c r="A198" s="176"/>
      <c r="B198" s="176"/>
      <c r="D198" s="1268"/>
      <c r="E198" s="1268"/>
      <c r="F198" s="1268"/>
    </row>
    <row r="199" spans="1:6"/>
    <row r="200" spans="1:6" ht="14.25">
      <c r="A200" s="176"/>
      <c r="B200" s="468" t="s">
        <v>307</v>
      </c>
      <c r="D200" s="1268" t="s">
        <v>1196</v>
      </c>
      <c r="E200" s="1268"/>
      <c r="F200" s="1268"/>
    </row>
    <row r="201" spans="1:6" ht="14.25">
      <c r="A201" s="176"/>
      <c r="B201" s="176"/>
      <c r="D201" s="1268"/>
      <c r="E201" s="1268"/>
      <c r="F201" s="1268"/>
    </row>
    <row r="202" spans="1:6" ht="14.25">
      <c r="A202" s="176"/>
      <c r="B202" s="176"/>
      <c r="D202" s="1268"/>
      <c r="E202" s="1268"/>
      <c r="F202" s="1268"/>
    </row>
    <row r="203" spans="1:6" ht="5.0999999999999996" customHeight="1">
      <c r="A203" s="176"/>
      <c r="B203" s="176"/>
      <c r="D203" s="35"/>
      <c r="E203" s="35"/>
      <c r="F203" s="35"/>
    </row>
    <row r="204" spans="1:6" ht="14.25">
      <c r="A204" s="176"/>
      <c r="B204" s="176"/>
      <c r="D204" s="1268" t="s">
        <v>1197</v>
      </c>
      <c r="E204" s="1268"/>
      <c r="F204" s="1268"/>
    </row>
    <row r="205" spans="1:6" ht="14.25">
      <c r="A205" s="176"/>
      <c r="B205" s="176"/>
      <c r="D205" s="1268"/>
      <c r="E205" s="1268"/>
      <c r="F205" s="1268"/>
    </row>
    <row r="206" spans="1:6" ht="14.25">
      <c r="A206" s="176"/>
      <c r="B206" s="176"/>
      <c r="D206" s="1268"/>
      <c r="E206" s="1268"/>
      <c r="F206" s="1268"/>
    </row>
    <row r="207" spans="1:6" ht="14.25">
      <c r="A207" s="176"/>
      <c r="B207" s="176"/>
      <c r="D207" s="1268"/>
      <c r="E207" s="1268"/>
      <c r="F207" s="1268"/>
    </row>
    <row r="208" spans="1:6" ht="14.25">
      <c r="A208" s="176"/>
      <c r="B208" s="176"/>
      <c r="D208" s="1268"/>
      <c r="E208" s="1268"/>
      <c r="F208" s="1268"/>
    </row>
    <row r="209" spans="1:7" ht="14.25">
      <c r="A209" s="176"/>
      <c r="B209" s="176"/>
      <c r="D209" s="35"/>
      <c r="E209" s="35"/>
      <c r="F209" s="35"/>
    </row>
    <row r="210" spans="1:7" ht="14.25">
      <c r="A210" s="176"/>
      <c r="B210" s="468" t="s">
        <v>307</v>
      </c>
      <c r="D210" s="1268" t="s">
        <v>1198</v>
      </c>
      <c r="E210" s="1268"/>
      <c r="F210" s="1268"/>
    </row>
    <row r="211" spans="1:7" ht="14.25">
      <c r="A211" s="176"/>
      <c r="B211" s="176"/>
      <c r="D211" s="1268"/>
      <c r="E211" s="1268"/>
      <c r="F211" s="1268"/>
    </row>
    <row r="212" spans="1:7" ht="14.25">
      <c r="A212" s="176"/>
      <c r="B212" s="176"/>
      <c r="D212" s="1300" t="s">
        <v>908</v>
      </c>
      <c r="E212" s="1300"/>
      <c r="F212" s="1300"/>
    </row>
    <row r="213" spans="1:7" ht="14.25">
      <c r="A213" s="176"/>
      <c r="B213" s="176"/>
      <c r="D213" s="35"/>
      <c r="E213" s="35"/>
      <c r="F213" s="35"/>
    </row>
    <row r="214" spans="1:7" ht="14.45" customHeight="1">
      <c r="A214" s="176"/>
      <c r="B214" s="468" t="s">
        <v>307</v>
      </c>
      <c r="D214" s="1268" t="s">
        <v>1200</v>
      </c>
      <c r="E214" s="1268"/>
      <c r="F214" s="1268"/>
    </row>
    <row r="215" spans="1:7" ht="14.25">
      <c r="A215" s="176"/>
      <c r="B215" s="176"/>
      <c r="D215" s="1268"/>
      <c r="E215" s="1268"/>
      <c r="F215" s="1268"/>
    </row>
    <row r="216" spans="1:7" ht="14.25">
      <c r="A216" s="176"/>
      <c r="B216" s="176"/>
      <c r="D216" s="1268"/>
      <c r="E216" s="1268"/>
      <c r="F216" s="1268"/>
    </row>
    <row r="217" spans="1:7" ht="14.25">
      <c r="A217" s="176"/>
      <c r="B217" s="176"/>
      <c r="D217" s="1268"/>
      <c r="E217" s="1268"/>
      <c r="F217" s="1268"/>
    </row>
    <row r="218" spans="1:7" ht="14.25">
      <c r="A218" s="176"/>
      <c r="B218" s="176"/>
      <c r="D218" s="1268"/>
      <c r="E218" s="1268"/>
      <c r="F218" s="1268"/>
    </row>
    <row r="219" spans="1:7">
      <c r="D219" s="35"/>
      <c r="E219" s="35"/>
      <c r="F219" s="35"/>
    </row>
    <row r="220" spans="1:7" ht="14.25">
      <c r="A220" s="176"/>
      <c r="B220" s="468" t="s">
        <v>307</v>
      </c>
      <c r="D220" s="1268" t="s">
        <v>1199</v>
      </c>
      <c r="E220" s="1268"/>
      <c r="F220" s="1268"/>
    </row>
    <row r="221" spans="1:7" ht="14.25">
      <c r="A221" s="176"/>
      <c r="B221" s="176"/>
      <c r="D221" s="1268"/>
      <c r="E221" s="1268"/>
      <c r="F221" s="1268"/>
    </row>
    <row r="222" spans="1:7">
      <c r="D222" s="19"/>
    </row>
    <row r="223" spans="1:7">
      <c r="A223" s="1283" t="s">
        <v>1073</v>
      </c>
      <c r="B223" s="1283"/>
      <c r="C223" s="1283"/>
      <c r="D223" s="1283"/>
      <c r="E223" s="1283"/>
      <c r="F223" s="1283"/>
      <c r="G223" s="1283"/>
    </row>
    <row r="224" spans="1:7">
      <c r="D224" s="19"/>
    </row>
    <row r="225" spans="1:6">
      <c r="C225" s="177"/>
      <c r="D225" s="1284" t="s">
        <v>1202</v>
      </c>
      <c r="E225" s="1284"/>
      <c r="F225" s="1284"/>
    </row>
    <row r="226" spans="1:6">
      <c r="A226" s="172"/>
      <c r="B226" s="172"/>
      <c r="C226" s="172"/>
      <c r="D226" s="35"/>
      <c r="E226" s="35"/>
      <c r="F226" s="35"/>
    </row>
    <row r="227" spans="1:6">
      <c r="A227" s="175"/>
      <c r="B227" s="175"/>
      <c r="C227" s="175"/>
      <c r="D227" s="1284" t="s">
        <v>269</v>
      </c>
      <c r="E227" s="1284"/>
      <c r="F227" s="1284"/>
    </row>
    <row r="228" spans="1:6" ht="14.25">
      <c r="A228" s="176"/>
      <c r="B228" s="468" t="s">
        <v>307</v>
      </c>
      <c r="D228" s="1286" t="s">
        <v>1203</v>
      </c>
      <c r="E228" s="1286"/>
      <c r="F228" s="1286"/>
    </row>
    <row r="229" spans="1:6" ht="14.25">
      <c r="A229" s="176"/>
      <c r="B229" s="176"/>
      <c r="D229" s="1286"/>
      <c r="E229" s="1286"/>
      <c r="F229" s="1286"/>
    </row>
    <row r="230" spans="1:6">
      <c r="D230" s="35"/>
      <c r="E230" s="35"/>
      <c r="F230" s="35"/>
    </row>
    <row r="231" spans="1:6" ht="14.45" customHeight="1">
      <c r="A231" s="176"/>
      <c r="B231" s="468" t="s">
        <v>307</v>
      </c>
      <c r="D231" s="1268" t="s">
        <v>1204</v>
      </c>
      <c r="E231" s="1268"/>
      <c r="F231" s="1268"/>
    </row>
    <row r="232" spans="1:6">
      <c r="D232" s="1268"/>
      <c r="E232" s="1268"/>
      <c r="F232" s="1268"/>
    </row>
    <row r="233" spans="1:6">
      <c r="D233" s="1287" t="s">
        <v>900</v>
      </c>
      <c r="E233" s="1287"/>
      <c r="F233" s="1287"/>
    </row>
    <row r="234" spans="1:6">
      <c r="D234" s="35"/>
      <c r="E234" s="35"/>
      <c r="F234" s="35"/>
    </row>
    <row r="235" spans="1:6" ht="14.45" customHeight="1">
      <c r="A235" s="176"/>
      <c r="B235" s="468" t="s">
        <v>307</v>
      </c>
      <c r="D235" s="1268" t="s">
        <v>1206</v>
      </c>
      <c r="E235" s="1268"/>
      <c r="F235" s="1268"/>
    </row>
    <row r="236" spans="1:6">
      <c r="D236" s="1268"/>
      <c r="E236" s="1268"/>
      <c r="F236" s="1268"/>
    </row>
    <row r="237" spans="1:6">
      <c r="D237" s="1268"/>
      <c r="E237" s="1268"/>
      <c r="F237" s="1268"/>
    </row>
    <row r="238" spans="1:6">
      <c r="D238" s="1268"/>
      <c r="E238" s="1268"/>
      <c r="F238" s="1268"/>
    </row>
    <row r="239" spans="1:6">
      <c r="D239" s="1268"/>
      <c r="E239" s="1268"/>
      <c r="F239" s="1268"/>
    </row>
    <row r="240" spans="1:6">
      <c r="D240" s="35"/>
      <c r="E240" s="35"/>
      <c r="F240" s="35"/>
    </row>
    <row r="241" spans="1:7" ht="14.25">
      <c r="A241" s="176"/>
      <c r="B241" s="468" t="s">
        <v>307</v>
      </c>
      <c r="D241" s="1268" t="s">
        <v>1205</v>
      </c>
      <c r="E241" s="1268"/>
      <c r="F241" s="1268"/>
    </row>
    <row r="242" spans="1:7">
      <c r="D242" s="1268"/>
      <c r="E242" s="1268"/>
      <c r="F242" s="1268"/>
    </row>
    <row r="243" spans="1:7">
      <c r="D243" s="1268"/>
      <c r="E243" s="1268"/>
      <c r="F243" s="1268"/>
    </row>
    <row r="244" spans="1:7">
      <c r="D244" s="178"/>
      <c r="E244" s="35"/>
      <c r="F244" s="35"/>
    </row>
    <row r="245" spans="1:7">
      <c r="A245" s="1283" t="s">
        <v>1074</v>
      </c>
      <c r="B245" s="1283"/>
      <c r="C245" s="1283"/>
      <c r="D245" s="1283"/>
      <c r="E245" s="1283"/>
      <c r="F245" s="1283"/>
      <c r="G245" s="1283"/>
    </row>
    <row r="246" spans="1:7">
      <c r="D246" s="178"/>
      <c r="E246" s="35"/>
      <c r="F246" s="35"/>
    </row>
    <row r="247" spans="1:7">
      <c r="C247" s="172"/>
      <c r="D247" s="1301" t="s">
        <v>1207</v>
      </c>
      <c r="E247" s="1301"/>
      <c r="F247" s="1301"/>
    </row>
    <row r="248" spans="1:7">
      <c r="C248" s="172"/>
      <c r="D248" s="1301"/>
      <c r="E248" s="1301"/>
      <c r="F248" s="1301"/>
    </row>
    <row r="249" spans="1:7">
      <c r="A249" s="175"/>
      <c r="B249" s="175"/>
      <c r="C249" s="175"/>
      <c r="D249" s="2"/>
      <c r="E249" s="3"/>
      <c r="F249" s="3"/>
    </row>
    <row r="250" spans="1:7">
      <c r="C250" s="175"/>
      <c r="D250" s="1284" t="s">
        <v>209</v>
      </c>
      <c r="E250" s="1284"/>
      <c r="F250" s="1284"/>
    </row>
    <row r="251" spans="1:7" ht="15.75" customHeight="1">
      <c r="A251" s="176"/>
      <c r="B251" s="176"/>
      <c r="D251" s="1290" t="s">
        <v>1208</v>
      </c>
      <c r="E251" s="1290"/>
      <c r="F251" s="1290"/>
    </row>
    <row r="252" spans="1:7">
      <c r="E252" s="35"/>
      <c r="F252" s="35"/>
    </row>
    <row r="253" spans="1:7" ht="14.25">
      <c r="A253" s="176"/>
      <c r="B253" s="468" t="s">
        <v>307</v>
      </c>
      <c r="D253" s="1268" t="s">
        <v>1209</v>
      </c>
      <c r="E253" s="1268"/>
      <c r="F253" s="1268"/>
    </row>
    <row r="254" spans="1:7" ht="14.25">
      <c r="A254" s="176"/>
      <c r="B254" s="176"/>
      <c r="D254" s="1268"/>
      <c r="E254" s="1268"/>
      <c r="F254" s="1268"/>
    </row>
    <row r="255" spans="1:7">
      <c r="D255" s="35"/>
      <c r="E255" s="35"/>
      <c r="F255" s="35"/>
    </row>
    <row r="256" spans="1:7" ht="14.25">
      <c r="A256" s="176"/>
      <c r="B256" s="468" t="s">
        <v>307</v>
      </c>
      <c r="D256" s="1268" t="s">
        <v>1210</v>
      </c>
      <c r="E256" s="1268"/>
      <c r="F256" s="1268"/>
    </row>
    <row r="257" spans="1:7" ht="14.25">
      <c r="A257" s="176"/>
      <c r="B257" s="176"/>
      <c r="D257" s="1268"/>
      <c r="E257" s="1268"/>
      <c r="F257" s="1268"/>
    </row>
    <row r="258" spans="1:7" ht="14.25">
      <c r="A258" s="176"/>
      <c r="B258" s="176"/>
      <c r="D258" s="1268"/>
      <c r="E258" s="1268"/>
      <c r="F258" s="1268"/>
    </row>
    <row r="259" spans="1:7">
      <c r="D259" s="35"/>
      <c r="E259" s="35"/>
      <c r="F259" s="35"/>
    </row>
    <row r="260" spans="1:7" ht="14.25">
      <c r="A260" s="176"/>
      <c r="B260" s="468" t="s">
        <v>307</v>
      </c>
      <c r="D260" s="1268" t="s">
        <v>1211</v>
      </c>
      <c r="E260" s="1268"/>
      <c r="F260" s="1268"/>
    </row>
    <row r="261" spans="1:7" ht="14.25">
      <c r="A261" s="176"/>
      <c r="B261" s="176"/>
      <c r="D261" s="1268"/>
      <c r="E261" s="1268"/>
      <c r="F261" s="1268"/>
    </row>
    <row r="262" spans="1:7">
      <c r="A262" s="13"/>
      <c r="B262" s="13"/>
      <c r="E262" s="35"/>
      <c r="F262" s="35"/>
    </row>
    <row r="263" spans="1:7">
      <c r="A263" s="1283" t="s">
        <v>1075</v>
      </c>
      <c r="B263" s="1283"/>
      <c r="C263" s="1283"/>
      <c r="D263" s="1283"/>
      <c r="E263" s="1283"/>
      <c r="F263" s="1283"/>
      <c r="G263" s="1283"/>
    </row>
    <row r="264" spans="1:7">
      <c r="A264" s="13"/>
      <c r="B264" s="13"/>
      <c r="D264" s="35"/>
      <c r="E264" s="35"/>
      <c r="F264" s="35"/>
    </row>
    <row r="265" spans="1:7">
      <c r="C265" s="13"/>
      <c r="D265" s="1284" t="s">
        <v>689</v>
      </c>
      <c r="E265" s="1284"/>
      <c r="F265" s="1284"/>
    </row>
    <row r="266" spans="1:7">
      <c r="C266" s="13"/>
      <c r="D266" s="1279" t="s">
        <v>1212</v>
      </c>
      <c r="E266" s="1279"/>
      <c r="F266" s="1279"/>
    </row>
    <row r="267" spans="1:7">
      <c r="C267" s="13"/>
      <c r="D267" s="173"/>
    </row>
    <row r="268" spans="1:7">
      <c r="B268" s="468" t="s">
        <v>307</v>
      </c>
      <c r="D268" s="1279" t="s">
        <v>1213</v>
      </c>
      <c r="E268" s="1279"/>
      <c r="F268" s="1279"/>
    </row>
    <row r="269" spans="1:7" ht="14.25">
      <c r="A269" s="176"/>
      <c r="B269" s="176"/>
      <c r="D269" s="341"/>
      <c r="E269" s="342"/>
      <c r="F269" s="342"/>
    </row>
    <row r="270" spans="1:7" ht="13.35" customHeight="1">
      <c r="B270" s="468" t="s">
        <v>307</v>
      </c>
      <c r="D270" s="1288" t="s">
        <v>1214</v>
      </c>
      <c r="E270" s="1288"/>
      <c r="F270" s="1288"/>
    </row>
    <row r="271" spans="1:7" ht="14.25">
      <c r="A271" s="176"/>
      <c r="B271" s="176"/>
      <c r="D271" s="1288"/>
      <c r="E271" s="1288"/>
      <c r="F271" s="1288"/>
    </row>
    <row r="272" spans="1:7" ht="14.25">
      <c r="A272" s="176"/>
      <c r="B272" s="176"/>
      <c r="D272" s="1288"/>
      <c r="E272" s="1288"/>
      <c r="F272" s="1288"/>
    </row>
    <row r="273" spans="1:6" ht="14.25">
      <c r="A273" s="176"/>
      <c r="B273" s="176"/>
      <c r="D273" s="1288"/>
      <c r="E273" s="1288"/>
      <c r="F273" s="1288"/>
    </row>
    <row r="274" spans="1:6" ht="14.25">
      <c r="A274" s="176"/>
      <c r="B274" s="176"/>
      <c r="D274" s="1288"/>
      <c r="E274" s="1288"/>
      <c r="F274" s="1288"/>
    </row>
    <row r="275" spans="1:6" ht="14.25">
      <c r="A275" s="176"/>
      <c r="B275" s="176"/>
      <c r="D275" s="341"/>
      <c r="E275" s="342"/>
      <c r="F275" s="342"/>
    </row>
    <row r="276" spans="1:6" ht="13.35" customHeight="1">
      <c r="B276" s="468" t="s">
        <v>307</v>
      </c>
      <c r="D276" s="1288" t="s">
        <v>1215</v>
      </c>
      <c r="E276" s="1288"/>
      <c r="F276" s="1288"/>
    </row>
    <row r="277" spans="1:6">
      <c r="D277" s="1288"/>
      <c r="E277" s="1288"/>
      <c r="F277" s="1288"/>
    </row>
    <row r="278" spans="1:6" ht="14.25">
      <c r="A278" s="176"/>
      <c r="B278" s="176"/>
      <c r="D278" s="341"/>
      <c r="E278" s="342"/>
      <c r="F278" s="342"/>
    </row>
    <row r="279" spans="1:6">
      <c r="B279" s="468" t="s">
        <v>307</v>
      </c>
      <c r="D279" s="1279" t="s">
        <v>1216</v>
      </c>
      <c r="E279" s="1279"/>
      <c r="F279" s="1279"/>
    </row>
    <row r="280" spans="1:6">
      <c r="E280" s="35"/>
      <c r="F280" s="35"/>
    </row>
    <row r="281" spans="1:6" ht="14.25">
      <c r="A281" s="176"/>
      <c r="B281" s="468" t="s">
        <v>307</v>
      </c>
      <c r="D281" s="1268" t="s">
        <v>1217</v>
      </c>
      <c r="E281" s="1268"/>
      <c r="F281" s="1268"/>
    </row>
    <row r="282" spans="1:6" ht="14.25">
      <c r="A282" s="176"/>
      <c r="B282" s="176"/>
      <c r="D282" s="1268"/>
      <c r="E282" s="1268"/>
      <c r="F282" s="1268"/>
    </row>
    <row r="283" spans="1:6" ht="14.25">
      <c r="A283" s="176"/>
      <c r="B283" s="176"/>
      <c r="D283" s="1268"/>
      <c r="E283" s="1268"/>
      <c r="F283" s="1268"/>
    </row>
    <row r="284" spans="1:6" ht="14.25">
      <c r="A284" s="176"/>
      <c r="B284" s="176"/>
      <c r="D284" s="1268"/>
      <c r="E284" s="1268"/>
      <c r="F284" s="1268"/>
    </row>
    <row r="285" spans="1:6" ht="14.25">
      <c r="A285" s="176"/>
      <c r="B285" s="176"/>
      <c r="D285" s="1268"/>
      <c r="E285" s="1268"/>
      <c r="F285" s="1268"/>
    </row>
    <row r="286" spans="1:6" ht="14.25">
      <c r="A286" s="176"/>
      <c r="B286" s="176"/>
      <c r="D286" s="1268"/>
      <c r="E286" s="1268"/>
      <c r="F286" s="1268"/>
    </row>
    <row r="287" spans="1:6" ht="14.25">
      <c r="A287" s="176"/>
      <c r="B287" s="176"/>
      <c r="D287" s="1268"/>
      <c r="E287" s="1268"/>
      <c r="F287" s="1268"/>
    </row>
    <row r="288" spans="1:6" ht="14.25">
      <c r="A288" s="176"/>
      <c r="B288" s="176"/>
      <c r="D288" s="1268"/>
      <c r="E288" s="1268"/>
      <c r="F288" s="1268"/>
    </row>
    <row r="289" spans="1:6" ht="14.25">
      <c r="A289" s="176"/>
      <c r="B289" s="176"/>
      <c r="D289" s="1268"/>
      <c r="E289" s="1268"/>
      <c r="F289" s="1268"/>
    </row>
    <row r="290" spans="1:6" ht="14.25">
      <c r="A290" s="176"/>
      <c r="B290" s="176"/>
      <c r="D290" s="1268"/>
      <c r="E290" s="1268"/>
      <c r="F290" s="1268"/>
    </row>
    <row r="291" spans="1:6" ht="14.25">
      <c r="A291" s="176"/>
      <c r="B291" s="176"/>
      <c r="D291" s="1268"/>
      <c r="E291" s="1268"/>
      <c r="F291" s="1268"/>
    </row>
    <row r="292" spans="1:6" ht="14.25">
      <c r="A292" s="176"/>
      <c r="B292" s="176"/>
      <c r="D292" s="1268"/>
      <c r="E292" s="1268"/>
      <c r="F292" s="1268"/>
    </row>
    <row r="293" spans="1:6" ht="14.25">
      <c r="A293" s="176"/>
      <c r="B293" s="176"/>
      <c r="D293" s="1268"/>
      <c r="E293" s="1268"/>
      <c r="F293" s="1268"/>
    </row>
    <row r="294" spans="1:6" ht="14.25">
      <c r="A294" s="176"/>
      <c r="B294" s="176"/>
      <c r="D294" s="1268"/>
      <c r="E294" s="1268"/>
      <c r="F294" s="1268"/>
    </row>
    <row r="295" spans="1:6" ht="14.25">
      <c r="A295" s="176"/>
      <c r="B295" s="176"/>
      <c r="D295" s="1268"/>
      <c r="E295" s="1268"/>
      <c r="F295" s="1268"/>
    </row>
    <row r="296" spans="1:6">
      <c r="D296" s="35"/>
      <c r="E296" s="35"/>
      <c r="F296" s="35"/>
    </row>
    <row r="297" spans="1:6" ht="14.25">
      <c r="A297" s="176"/>
      <c r="B297" s="468" t="s">
        <v>307</v>
      </c>
      <c r="D297" s="1268" t="s">
        <v>1218</v>
      </c>
      <c r="E297" s="1268"/>
      <c r="F297" s="1268"/>
    </row>
    <row r="298" spans="1:6">
      <c r="D298" s="1268"/>
      <c r="E298" s="1268"/>
      <c r="F298" s="1268"/>
    </row>
    <row r="299" spans="1:6">
      <c r="D299" s="1268"/>
      <c r="E299" s="1268"/>
      <c r="F299" s="1268"/>
    </row>
    <row r="300" spans="1:6">
      <c r="D300" s="1268"/>
      <c r="E300" s="1268"/>
      <c r="F300" s="1268"/>
    </row>
    <row r="301" spans="1:6">
      <c r="D301" s="1268"/>
      <c r="E301" s="1268"/>
      <c r="F301" s="1268"/>
    </row>
    <row r="302" spans="1:6">
      <c r="D302" s="1268"/>
      <c r="E302" s="1268"/>
      <c r="F302" s="1268"/>
    </row>
    <row r="303" spans="1:6">
      <c r="D303" s="1268"/>
      <c r="E303" s="1268"/>
      <c r="F303" s="1268"/>
    </row>
    <row r="304" spans="1:6">
      <c r="D304" s="1268"/>
      <c r="E304" s="1268"/>
      <c r="F304" s="1268"/>
    </row>
    <row r="305" spans="1:7">
      <c r="D305" s="1268"/>
      <c r="E305" s="1268"/>
      <c r="F305" s="1268"/>
    </row>
    <row r="306" spans="1:7">
      <c r="D306" s="35"/>
      <c r="E306" s="35"/>
      <c r="F306" s="35"/>
    </row>
    <row r="307" spans="1:7" ht="14.25">
      <c r="A307" s="176"/>
      <c r="B307" s="468" t="s">
        <v>307</v>
      </c>
      <c r="D307" s="1268" t="s">
        <v>1219</v>
      </c>
      <c r="E307" s="1268"/>
      <c r="F307" s="1268"/>
    </row>
    <row r="308" spans="1:7">
      <c r="D308" s="1268"/>
      <c r="E308" s="1268"/>
      <c r="F308" s="1268"/>
      <c r="G308"/>
    </row>
    <row r="309" spans="1:7">
      <c r="D309" s="1268"/>
      <c r="E309" s="1268"/>
      <c r="F309" s="1268"/>
      <c r="G309"/>
    </row>
    <row r="310" spans="1:7">
      <c r="D310" s="1268"/>
      <c r="E310" s="1268"/>
      <c r="F310" s="1268"/>
      <c r="G310"/>
    </row>
    <row r="311" spans="1:7">
      <c r="D311" s="1268"/>
      <c r="E311" s="1268"/>
      <c r="F311" s="1268"/>
      <c r="G311"/>
    </row>
    <row r="312" spans="1:7">
      <c r="D312" s="1268"/>
      <c r="E312" s="1268"/>
      <c r="F312" s="1268"/>
      <c r="G312"/>
    </row>
    <row r="313" spans="1:7">
      <c r="D313" s="474"/>
      <c r="E313" s="474"/>
      <c r="F313" s="474"/>
      <c r="G313"/>
    </row>
    <row r="314" spans="1:7" ht="13.5" thickBot="1">
      <c r="D314" s="1291" t="s">
        <v>996</v>
      </c>
      <c r="E314" s="1291"/>
      <c r="F314" s="1291"/>
      <c r="G314"/>
    </row>
    <row r="315" spans="1:7" ht="13.5" thickTop="1">
      <c r="D315" s="1292" t="s">
        <v>1220</v>
      </c>
      <c r="E315" s="1292"/>
      <c r="F315" s="1292"/>
      <c r="G315"/>
    </row>
    <row r="316" spans="1:7">
      <c r="A316" s="218"/>
      <c r="B316" s="218"/>
      <c r="C316" s="218"/>
      <c r="D316" s="220"/>
      <c r="E316" s="220"/>
      <c r="F316" s="35"/>
      <c r="G316"/>
    </row>
    <row r="317" spans="1:7" ht="14.25">
      <c r="A317" s="176"/>
      <c r="B317" s="468" t="s">
        <v>307</v>
      </c>
      <c r="C317" s="218"/>
      <c r="D317" s="1281" t="s">
        <v>1221</v>
      </c>
      <c r="E317" s="1281"/>
      <c r="F317" s="1281"/>
      <c r="G317"/>
    </row>
    <row r="318" spans="1:7">
      <c r="A318" s="218"/>
      <c r="B318" s="218"/>
      <c r="C318" s="218"/>
      <c r="D318" s="220"/>
      <c r="E318" s="220"/>
      <c r="F318" s="35"/>
      <c r="G318"/>
    </row>
    <row r="319" spans="1:7">
      <c r="A319" s="218"/>
      <c r="B319" s="468" t="s">
        <v>307</v>
      </c>
      <c r="C319" s="218"/>
      <c r="D319" s="1277" t="s">
        <v>1222</v>
      </c>
      <c r="E319" s="1277"/>
      <c r="F319" s="1277"/>
      <c r="G319"/>
    </row>
    <row r="320" spans="1:7">
      <c r="A320" s="218"/>
      <c r="B320" s="218"/>
      <c r="C320" s="218"/>
      <c r="D320" s="1277"/>
      <c r="E320" s="1277"/>
      <c r="F320" s="1277"/>
      <c r="G320"/>
    </row>
    <row r="321" spans="1:7">
      <c r="A321" s="218"/>
      <c r="B321" s="218"/>
      <c r="C321" s="218"/>
      <c r="D321" s="1277"/>
      <c r="E321" s="1277"/>
      <c r="F321" s="1277"/>
      <c r="G321"/>
    </row>
    <row r="322" spans="1:7">
      <c r="A322" s="218"/>
      <c r="B322" s="218"/>
      <c r="C322" s="218"/>
      <c r="D322" s="1277"/>
      <c r="E322" s="1277"/>
      <c r="F322" s="1277"/>
      <c r="G322"/>
    </row>
    <row r="323" spans="1:7">
      <c r="A323" s="218"/>
      <c r="B323" s="218"/>
      <c r="C323" s="218"/>
      <c r="D323" s="1277"/>
      <c r="E323" s="1277"/>
      <c r="F323" s="1277"/>
      <c r="G323"/>
    </row>
    <row r="324" spans="1:7">
      <c r="A324" s="218"/>
      <c r="B324" s="218"/>
      <c r="C324" s="218"/>
      <c r="D324" s="1277"/>
      <c r="E324" s="1277"/>
      <c r="F324" s="1277"/>
      <c r="G324"/>
    </row>
    <row r="325" spans="1:7">
      <c r="A325" s="218"/>
      <c r="B325" s="218"/>
      <c r="C325" s="218"/>
      <c r="D325" s="1277"/>
      <c r="E325" s="1277"/>
      <c r="F325" s="1277"/>
      <c r="G325"/>
    </row>
    <row r="326" spans="1:7">
      <c r="A326" s="218"/>
      <c r="B326" s="218"/>
      <c r="C326" s="218"/>
      <c r="D326" s="1277"/>
      <c r="E326" s="1277"/>
      <c r="F326" s="1277"/>
      <c r="G326"/>
    </row>
    <row r="327" spans="1:7">
      <c r="A327" s="218"/>
      <c r="B327" s="218"/>
      <c r="C327" s="218"/>
      <c r="D327" s="1277"/>
      <c r="E327" s="1277"/>
      <c r="F327" s="1277"/>
      <c r="G327"/>
    </row>
    <row r="328" spans="1:7">
      <c r="A328" s="218"/>
      <c r="B328" s="218"/>
      <c r="C328" s="218"/>
      <c r="D328" s="1277"/>
      <c r="E328" s="1277"/>
      <c r="F328" s="1277"/>
      <c r="G328"/>
    </row>
    <row r="329" spans="1:7">
      <c r="A329" s="218"/>
      <c r="B329" s="218"/>
      <c r="C329" s="218"/>
      <c r="D329" s="1277"/>
      <c r="E329" s="1277"/>
      <c r="F329" s="1277"/>
      <c r="G329"/>
    </row>
    <row r="330" spans="1:7">
      <c r="A330" s="218"/>
      <c r="B330" s="218"/>
      <c r="C330" s="218"/>
      <c r="D330"/>
      <c r="E330" s="220"/>
      <c r="F330" s="35"/>
      <c r="G330"/>
    </row>
    <row r="331" spans="1:7" ht="14.25">
      <c r="A331" s="176"/>
      <c r="B331" s="468" t="s">
        <v>307</v>
      </c>
      <c r="C331" s="218"/>
      <c r="D331" s="1277" t="s">
        <v>1223</v>
      </c>
      <c r="E331" s="1277"/>
      <c r="F331" s="1277"/>
      <c r="G331"/>
    </row>
    <row r="332" spans="1:7">
      <c r="A332" s="218"/>
      <c r="B332" s="218"/>
      <c r="C332" s="218"/>
      <c r="D332" s="1277"/>
      <c r="E332" s="1277"/>
      <c r="F332" s="1277"/>
      <c r="G332"/>
    </row>
    <row r="333" spans="1:7">
      <c r="A333" s="218"/>
      <c r="B333" s="218"/>
      <c r="C333" s="218"/>
      <c r="D333" s="1277"/>
      <c r="E333" s="1277"/>
      <c r="F333" s="1277"/>
      <c r="G333"/>
    </row>
    <row r="334" spans="1:7">
      <c r="A334" s="218"/>
      <c r="B334" s="218"/>
      <c r="C334" s="218"/>
      <c r="D334" s="1277"/>
      <c r="E334" s="1277"/>
      <c r="F334" s="1277"/>
      <c r="G334"/>
    </row>
    <row r="335" spans="1:7">
      <c r="A335" s="218"/>
      <c r="B335" s="218"/>
      <c r="C335" s="218"/>
      <c r="D335" s="220"/>
      <c r="E335" s="220"/>
      <c r="F335" s="35"/>
      <c r="G335"/>
    </row>
    <row r="336" spans="1:7">
      <c r="A336" s="218"/>
      <c r="B336" s="218"/>
      <c r="C336" s="218"/>
      <c r="D336" s="1277" t="s">
        <v>1224</v>
      </c>
      <c r="E336" s="1277"/>
      <c r="F336" s="1277"/>
      <c r="G336"/>
    </row>
    <row r="337" spans="1:7">
      <c r="A337" s="218"/>
      <c r="B337" s="218"/>
      <c r="C337" s="218"/>
      <c r="D337" s="1277"/>
      <c r="E337" s="1277"/>
      <c r="F337" s="1277"/>
      <c r="G337"/>
    </row>
    <row r="338" spans="1:7">
      <c r="A338" s="218"/>
      <c r="B338" s="218"/>
      <c r="C338" s="218"/>
      <c r="D338" s="1277"/>
      <c r="E338" s="1277"/>
      <c r="F338" s="1277"/>
      <c r="G338"/>
    </row>
    <row r="339" spans="1:7">
      <c r="A339" s="218"/>
      <c r="B339" s="218"/>
      <c r="C339" s="218"/>
      <c r="D339" s="1277"/>
      <c r="E339" s="1277"/>
      <c r="F339" s="1277"/>
      <c r="G339"/>
    </row>
    <row r="340" spans="1:7" ht="18" customHeight="1">
      <c r="A340" s="218"/>
      <c r="B340" s="218"/>
      <c r="C340" s="218"/>
      <c r="D340" s="1277"/>
      <c r="E340" s="1277"/>
      <c r="F340" s="1277"/>
      <c r="G340"/>
    </row>
    <row r="341" spans="1:7">
      <c r="A341" s="218"/>
      <c r="B341" s="218"/>
      <c r="C341" s="218"/>
      <c r="D341" s="1277"/>
      <c r="E341" s="1277"/>
      <c r="F341" s="1277"/>
      <c r="G341"/>
    </row>
    <row r="342" spans="1:7">
      <c r="A342" s="218"/>
      <c r="B342" s="218"/>
      <c r="C342" s="218"/>
      <c r="D342" s="1277"/>
      <c r="E342" s="1277"/>
      <c r="F342" s="1277"/>
      <c r="G342"/>
    </row>
    <row r="343" spans="1:7">
      <c r="A343" s="218"/>
      <c r="B343" s="218"/>
      <c r="C343" s="218"/>
      <c r="D343" s="1277"/>
      <c r="E343" s="1277"/>
      <c r="F343" s="1277"/>
      <c r="G343"/>
    </row>
    <row r="344" spans="1:7" ht="8.25" customHeight="1">
      <c r="A344" s="218"/>
      <c r="B344" s="218"/>
      <c r="C344" s="218"/>
      <c r="D344" s="1277"/>
      <c r="E344" s="1277"/>
      <c r="F344" s="1277"/>
      <c r="G344"/>
    </row>
    <row r="345" spans="1:7" ht="13.35" customHeight="1">
      <c r="A345" s="218"/>
      <c r="B345" s="218"/>
      <c r="C345" s="218"/>
      <c r="D345" s="1277" t="s">
        <v>1225</v>
      </c>
      <c r="E345" s="1277"/>
      <c r="F345" s="1277"/>
      <c r="G345"/>
    </row>
    <row r="346" spans="1:7">
      <c r="A346" s="218"/>
      <c r="B346" s="218"/>
      <c r="C346" s="218"/>
      <c r="D346" s="1277"/>
      <c r="E346" s="1277"/>
      <c r="F346" s="1277"/>
      <c r="G346"/>
    </row>
    <row r="347" spans="1:7">
      <c r="A347" s="218"/>
      <c r="B347" s="218"/>
      <c r="C347" s="218"/>
      <c r="D347" s="1277"/>
      <c r="E347" s="1277"/>
      <c r="F347" s="1277"/>
      <c r="G347"/>
    </row>
    <row r="348" spans="1:7">
      <c r="A348" s="218"/>
      <c r="B348" s="218"/>
      <c r="C348" s="218"/>
      <c r="D348" s="1277"/>
      <c r="E348" s="1277"/>
      <c r="F348" s="1277"/>
      <c r="G348"/>
    </row>
    <row r="349" spans="1:7">
      <c r="A349" s="218"/>
      <c r="B349" s="218"/>
      <c r="C349" s="218"/>
      <c r="D349" s="1277"/>
      <c r="E349" s="1277"/>
      <c r="F349" s="1277"/>
      <c r="G349"/>
    </row>
    <row r="350" spans="1:7">
      <c r="A350" s="218"/>
      <c r="B350" s="218"/>
      <c r="C350" s="218"/>
      <c r="D350" s="1277"/>
      <c r="E350" s="1277"/>
      <c r="F350" s="1277"/>
      <c r="G350"/>
    </row>
    <row r="351" spans="1:7">
      <c r="A351" s="218"/>
      <c r="B351" s="218"/>
      <c r="C351" s="218"/>
      <c r="D351" s="1277"/>
      <c r="E351" s="1277"/>
      <c r="F351" s="1277"/>
      <c r="G351"/>
    </row>
    <row r="352" spans="1:7">
      <c r="A352" s="218"/>
      <c r="B352" s="218"/>
      <c r="C352" s="218"/>
      <c r="D352" s="1277"/>
      <c r="E352" s="1277"/>
      <c r="F352" s="1277"/>
      <c r="G352"/>
    </row>
    <row r="353" spans="1:7">
      <c r="A353" s="218"/>
      <c r="B353" s="218"/>
      <c r="C353" s="218"/>
      <c r="D353" s="1277"/>
      <c r="E353" s="1277"/>
      <c r="F353" s="1277"/>
      <c r="G353"/>
    </row>
    <row r="354" spans="1:7">
      <c r="A354" s="218"/>
      <c r="B354" s="218"/>
      <c r="C354" s="218"/>
      <c r="D354" s="1277"/>
      <c r="E354" s="1277"/>
      <c r="F354" s="1277"/>
      <c r="G354"/>
    </row>
    <row r="355" spans="1:7">
      <c r="A355" s="218"/>
      <c r="B355" s="218"/>
      <c r="C355" s="218"/>
      <c r="D355" s="1277"/>
      <c r="E355" s="1277"/>
      <c r="F355" s="1277"/>
      <c r="G355"/>
    </row>
    <row r="356" spans="1:7">
      <c r="A356" s="218"/>
      <c r="B356" s="218"/>
      <c r="C356" s="218"/>
      <c r="D356" s="1277"/>
      <c r="E356" s="1277"/>
      <c r="F356" s="1277"/>
      <c r="G356"/>
    </row>
    <row r="357" spans="1:7">
      <c r="A357" s="218"/>
      <c r="B357" s="218"/>
      <c r="C357" s="347"/>
      <c r="D357" s="1277"/>
      <c r="E357" s="1277"/>
      <c r="F357" s="1277"/>
      <c r="G357"/>
    </row>
    <row r="358" spans="1:7">
      <c r="A358" s="218"/>
      <c r="B358" s="218"/>
      <c r="C358" s="347"/>
      <c r="D358" s="1277"/>
      <c r="E358" s="1277"/>
      <c r="F358" s="1277"/>
      <c r="G358"/>
    </row>
    <row r="359" spans="1:7">
      <c r="A359" s="218"/>
      <c r="B359" s="218"/>
      <c r="C359" s="218"/>
      <c r="D359" s="1277"/>
      <c r="E359" s="1277"/>
      <c r="F359" s="1277"/>
      <c r="G359"/>
    </row>
    <row r="360" spans="1:7">
      <c r="A360" s="218"/>
      <c r="B360" s="218"/>
      <c r="C360" s="347"/>
      <c r="D360" s="1277"/>
      <c r="E360" s="1277"/>
      <c r="F360" s="1277"/>
      <c r="G360"/>
    </row>
    <row r="361" spans="1:7">
      <c r="A361" s="218"/>
      <c r="B361" s="218"/>
      <c r="C361" s="347"/>
      <c r="D361" s="1277"/>
      <c r="E361" s="1277"/>
      <c r="F361" s="1277"/>
      <c r="G361"/>
    </row>
    <row r="362" spans="1:7">
      <c r="A362" s="218"/>
      <c r="B362" s="218"/>
      <c r="C362" s="347"/>
      <c r="D362" s="1277"/>
      <c r="E362" s="1277"/>
      <c r="F362" s="1277"/>
      <c r="G362"/>
    </row>
    <row r="363" spans="1:7">
      <c r="A363" s="218"/>
      <c r="B363" s="218"/>
      <c r="C363" s="218"/>
      <c r="D363" s="220"/>
      <c r="E363" s="220"/>
      <c r="F363" s="35"/>
      <c r="G363"/>
    </row>
    <row r="364" spans="1:7">
      <c r="A364" s="218"/>
      <c r="B364" s="468" t="s">
        <v>307</v>
      </c>
      <c r="C364" s="218"/>
      <c r="D364" s="1277" t="s">
        <v>1226</v>
      </c>
      <c r="E364" s="1277"/>
      <c r="F364" s="1277"/>
      <c r="G364"/>
    </row>
    <row r="365" spans="1:7">
      <c r="A365" s="218"/>
      <c r="B365" s="218"/>
      <c r="C365" s="218"/>
      <c r="D365" s="1277"/>
      <c r="E365" s="1277"/>
      <c r="F365" s="1277"/>
      <c r="G365"/>
    </row>
    <row r="366" spans="1:7">
      <c r="A366" s="218"/>
      <c r="B366" s="218"/>
      <c r="C366" s="218"/>
      <c r="D366" s="220"/>
      <c r="E366" s="220"/>
      <c r="F366" s="35"/>
      <c r="G366"/>
    </row>
    <row r="367" spans="1:7" ht="14.25">
      <c r="A367" s="176"/>
      <c r="B367" s="468" t="s">
        <v>307</v>
      </c>
      <c r="C367" s="218"/>
      <c r="D367" s="1277" t="s">
        <v>1227</v>
      </c>
      <c r="E367" s="1277"/>
      <c r="F367" s="1277"/>
      <c r="G367"/>
    </row>
    <row r="368" spans="1:7" ht="14.25">
      <c r="A368" s="346"/>
      <c r="B368" s="346"/>
      <c r="C368" s="218"/>
      <c r="D368" s="1277"/>
      <c r="E368" s="1277"/>
      <c r="F368" s="1277"/>
      <c r="G368"/>
    </row>
    <row r="369" spans="1:7" ht="14.25">
      <c r="A369" s="346"/>
      <c r="B369" s="346"/>
      <c r="C369" s="218"/>
      <c r="D369" s="1277"/>
      <c r="E369" s="1277"/>
      <c r="F369" s="1277"/>
      <c r="G369"/>
    </row>
    <row r="370" spans="1:7" ht="14.25">
      <c r="A370" s="346"/>
      <c r="B370" s="346"/>
      <c r="C370" s="218"/>
      <c r="D370" s="1277"/>
      <c r="E370" s="1277"/>
      <c r="F370" s="1277"/>
      <c r="G370"/>
    </row>
    <row r="371" spans="1:7" ht="14.25">
      <c r="A371" s="346"/>
      <c r="B371" s="346"/>
      <c r="C371" s="218"/>
      <c r="D371" s="1277"/>
      <c r="E371" s="1277"/>
      <c r="F371" s="1277"/>
      <c r="G371"/>
    </row>
    <row r="372" spans="1:7">
      <c r="D372" s="35"/>
      <c r="E372" s="35"/>
      <c r="F372" s="35"/>
      <c r="G372"/>
    </row>
    <row r="373" spans="1:7" ht="14.25">
      <c r="A373" s="176"/>
      <c r="B373" s="468" t="s">
        <v>307</v>
      </c>
      <c r="C373" s="179"/>
      <c r="D373" s="1268" t="s">
        <v>1228</v>
      </c>
      <c r="E373" s="1268"/>
      <c r="F373" s="1268"/>
      <c r="G373"/>
    </row>
    <row r="374" spans="1:7" ht="14.25">
      <c r="A374" s="176"/>
      <c r="B374" s="176"/>
      <c r="D374" s="1268"/>
      <c r="E374" s="1268"/>
      <c r="F374" s="1268"/>
      <c r="G374"/>
    </row>
    <row r="375" spans="1:7">
      <c r="D375" s="1268"/>
      <c r="E375" s="1268"/>
      <c r="F375" s="1268"/>
      <c r="G375"/>
    </row>
    <row r="376" spans="1:7">
      <c r="D376" s="1268"/>
      <c r="E376" s="1268"/>
      <c r="F376" s="1268"/>
      <c r="G376"/>
    </row>
    <row r="377" spans="1:7">
      <c r="D377" s="1268"/>
      <c r="E377" s="1268"/>
      <c r="F377" s="1268"/>
      <c r="G377"/>
    </row>
    <row r="378" spans="1:7">
      <c r="D378" s="1268"/>
      <c r="E378" s="1268"/>
      <c r="F378" s="1268"/>
      <c r="G378"/>
    </row>
    <row r="379" spans="1:7">
      <c r="D379" s="1268"/>
      <c r="E379" s="1268"/>
      <c r="F379" s="1268"/>
      <c r="G379"/>
    </row>
    <row r="380" spans="1:7">
      <c r="D380" s="1268"/>
      <c r="E380" s="1268"/>
      <c r="F380" s="1268"/>
      <c r="G380"/>
    </row>
    <row r="381" spans="1:7">
      <c r="D381" s="1268"/>
      <c r="E381" s="1268"/>
      <c r="F381" s="1268"/>
      <c r="G381"/>
    </row>
    <row r="382" spans="1:7">
      <c r="D382" s="1268"/>
      <c r="E382" s="1268"/>
      <c r="F382" s="1268"/>
      <c r="G382"/>
    </row>
    <row r="383" spans="1:7">
      <c r="D383" s="1268"/>
      <c r="E383" s="1268"/>
      <c r="F383" s="1268"/>
      <c r="G383"/>
    </row>
    <row r="384" spans="1:7">
      <c r="D384" s="1268"/>
      <c r="E384" s="1268"/>
      <c r="F384" s="1268"/>
      <c r="G384"/>
    </row>
    <row r="385" spans="1:7">
      <c r="D385" s="1268"/>
      <c r="E385" s="1268"/>
      <c r="F385" s="1268"/>
      <c r="G385"/>
    </row>
    <row r="386" spans="1:7">
      <c r="A386"/>
      <c r="B386"/>
      <c r="C386"/>
      <c r="D386" s="1268"/>
      <c r="E386" s="1268"/>
      <c r="F386" s="1268"/>
      <c r="G386"/>
    </row>
    <row r="387" spans="1:7">
      <c r="A387"/>
      <c r="B387"/>
      <c r="C387"/>
      <c r="D387" s="1268"/>
      <c r="E387" s="1268"/>
      <c r="F387" s="1268"/>
      <c r="G387"/>
    </row>
    <row r="388" spans="1:7">
      <c r="A388"/>
      <c r="B388"/>
      <c r="C388"/>
      <c r="D388" s="1268"/>
      <c r="E388" s="1268"/>
      <c r="F388" s="1268"/>
      <c r="G388"/>
    </row>
    <row r="389" spans="1:7">
      <c r="A389"/>
      <c r="B389"/>
      <c r="C389"/>
      <c r="D389" s="1268"/>
      <c r="E389" s="1268"/>
      <c r="F389" s="1268"/>
      <c r="G389"/>
    </row>
    <row r="390" spans="1:7">
      <c r="A390"/>
      <c r="B390"/>
      <c r="C390"/>
      <c r="D390" s="1268"/>
      <c r="E390" s="1268"/>
      <c r="F390" s="1268"/>
      <c r="G390"/>
    </row>
    <row r="391" spans="1:7">
      <c r="A391"/>
      <c r="B391"/>
      <c r="C391"/>
      <c r="D391" s="1268"/>
      <c r="E391" s="1268"/>
      <c r="F391" s="1268"/>
      <c r="G391"/>
    </row>
    <row r="392" spans="1:7">
      <c r="A392"/>
      <c r="B392"/>
      <c r="C392"/>
      <c r="D392" s="1268"/>
      <c r="E392" s="1268"/>
      <c r="F392" s="1268"/>
      <c r="G392"/>
    </row>
    <row r="393" spans="1:7">
      <c r="A393"/>
      <c r="B393"/>
      <c r="C393"/>
      <c r="D393" s="1268"/>
      <c r="E393" s="1268"/>
      <c r="F393" s="1268"/>
      <c r="G393"/>
    </row>
    <row r="394" spans="1:7">
      <c r="A394"/>
      <c r="B394"/>
      <c r="C394"/>
      <c r="D394" s="1268"/>
      <c r="E394" s="1268"/>
      <c r="F394" s="1268"/>
      <c r="G394"/>
    </row>
    <row r="395" spans="1:7">
      <c r="A395"/>
      <c r="B395"/>
      <c r="C395"/>
      <c r="D395" s="1268"/>
      <c r="E395" s="1268"/>
      <c r="F395" s="1268"/>
      <c r="G395"/>
    </row>
    <row r="396" spans="1:7">
      <c r="A396"/>
      <c r="B396"/>
      <c r="C396"/>
      <c r="D396" s="1268"/>
      <c r="E396" s="1268"/>
      <c r="F396" s="1268"/>
      <c r="G396"/>
    </row>
    <row r="397" spans="1:7">
      <c r="A397"/>
      <c r="B397"/>
      <c r="C397"/>
      <c r="D397" s="1268"/>
      <c r="E397" s="1268"/>
      <c r="F397" s="1268"/>
      <c r="G397"/>
    </row>
    <row r="398" spans="1:7">
      <c r="A398"/>
      <c r="B398"/>
      <c r="C398"/>
      <c r="D398" s="1268"/>
      <c r="E398" s="1268"/>
      <c r="F398" s="1268"/>
      <c r="G398"/>
    </row>
    <row r="399" spans="1:7">
      <c r="A399"/>
      <c r="B399"/>
      <c r="C399"/>
      <c r="D399" s="1268"/>
      <c r="E399" s="1268"/>
      <c r="F399" s="1268"/>
      <c r="G399"/>
    </row>
    <row r="400" spans="1:7">
      <c r="A400"/>
      <c r="B400"/>
      <c r="C400"/>
      <c r="D400" s="1268"/>
      <c r="E400" s="1268"/>
      <c r="F400" s="1268"/>
      <c r="G400"/>
    </row>
    <row r="401" spans="1:7">
      <c r="A401"/>
      <c r="B401"/>
      <c r="C401"/>
      <c r="D401" s="1268"/>
      <c r="E401" s="1268"/>
      <c r="F401" s="1268"/>
      <c r="G401"/>
    </row>
    <row r="402" spans="1:7">
      <c r="D402" s="1268"/>
      <c r="E402" s="1268"/>
      <c r="F402" s="1268"/>
    </row>
    <row r="403" spans="1:7" ht="40.700000000000003" customHeight="1">
      <c r="D403" s="1268"/>
      <c r="E403" s="1268"/>
      <c r="F403" s="1268"/>
    </row>
    <row r="404" spans="1:7">
      <c r="D404" s="35"/>
      <c r="E404" s="35"/>
      <c r="F404" s="35"/>
    </row>
    <row r="405" spans="1:7" ht="14.25">
      <c r="A405" s="176"/>
      <c r="B405" s="468" t="s">
        <v>307</v>
      </c>
      <c r="C405" s="179"/>
      <c r="D405" s="1279" t="s">
        <v>1229</v>
      </c>
      <c r="E405" s="1279"/>
      <c r="F405" s="1279"/>
    </row>
    <row r="406" spans="1:7">
      <c r="D406" s="1289" t="s">
        <v>1004</v>
      </c>
      <c r="E406" s="1289"/>
      <c r="F406" s="1289"/>
    </row>
    <row r="407" spans="1:7">
      <c r="D407" s="1268" t="s">
        <v>1230</v>
      </c>
      <c r="E407" s="1268"/>
      <c r="F407" s="1268"/>
    </row>
    <row r="408" spans="1:7">
      <c r="D408" s="1268"/>
      <c r="E408" s="1268"/>
      <c r="F408" s="1268"/>
    </row>
    <row r="409" spans="1:7">
      <c r="D409" s="1268"/>
      <c r="E409" s="1268"/>
      <c r="F409" s="1268"/>
    </row>
    <row r="410" spans="1:7">
      <c r="D410" s="1268"/>
      <c r="E410" s="1268"/>
      <c r="F410" s="1268"/>
    </row>
    <row r="411" spans="1:7">
      <c r="D411" s="35"/>
      <c r="E411" s="35"/>
      <c r="F411" s="35"/>
      <c r="G411"/>
    </row>
    <row r="412" spans="1:7" ht="14.25">
      <c r="A412" s="176"/>
      <c r="B412" s="468" t="s">
        <v>307</v>
      </c>
      <c r="C412" s="179"/>
      <c r="D412" s="1268" t="s">
        <v>1231</v>
      </c>
      <c r="E412" s="1268"/>
      <c r="F412" s="1268"/>
      <c r="G412"/>
    </row>
    <row r="413" spans="1:7">
      <c r="D413" s="1268"/>
      <c r="E413" s="1268"/>
      <c r="F413" s="1268"/>
      <c r="G413"/>
    </row>
    <row r="414" spans="1:7">
      <c r="D414" s="1268"/>
      <c r="E414" s="1268"/>
      <c r="F414" s="1268"/>
      <c r="G414"/>
    </row>
    <row r="415" spans="1:7">
      <c r="D415" s="474"/>
      <c r="E415" s="474"/>
      <c r="F415" s="474"/>
      <c r="G415"/>
    </row>
    <row r="416" spans="1:7" ht="14.25">
      <c r="B416" s="468" t="s">
        <v>307</v>
      </c>
      <c r="C416" s="176"/>
      <c r="D416" s="1268" t="s">
        <v>1232</v>
      </c>
      <c r="E416" s="1268"/>
      <c r="F416" s="1268"/>
      <c r="G416"/>
    </row>
    <row r="417" spans="1:7">
      <c r="D417" s="1268"/>
      <c r="E417" s="1268"/>
      <c r="F417" s="1268"/>
      <c r="G417"/>
    </row>
    <row r="418" spans="1:7">
      <c r="D418" s="35"/>
      <c r="E418" s="35"/>
      <c r="F418" s="35"/>
      <c r="G418"/>
    </row>
    <row r="419" spans="1:7" ht="14.25">
      <c r="B419" s="468" t="s">
        <v>307</v>
      </c>
      <c r="C419" s="176"/>
      <c r="D419" s="1268" t="s">
        <v>1233</v>
      </c>
      <c r="E419" s="1268"/>
      <c r="F419" s="1268"/>
      <c r="G419"/>
    </row>
    <row r="420" spans="1:7">
      <c r="D420" s="1268"/>
      <c r="E420" s="1268"/>
      <c r="F420" s="1268"/>
      <c r="G420"/>
    </row>
    <row r="421" spans="1:7">
      <c r="D421" s="1268"/>
      <c r="E421" s="1268"/>
      <c r="F421" s="1268"/>
      <c r="G421"/>
    </row>
    <row r="422" spans="1:7">
      <c r="D422" s="1268"/>
      <c r="E422" s="1268"/>
      <c r="F422" s="1268"/>
      <c r="G422"/>
    </row>
    <row r="423" spans="1:7">
      <c r="B423" s="468" t="s">
        <v>307</v>
      </c>
      <c r="D423" s="1268"/>
      <c r="E423" s="1268"/>
      <c r="F423" s="1268"/>
      <c r="G423"/>
    </row>
    <row r="424" spans="1:7">
      <c r="A424"/>
      <c r="B424"/>
      <c r="C424"/>
      <c r="D424" s="1268"/>
      <c r="E424" s="1268"/>
      <c r="F424" s="1268"/>
      <c r="G424"/>
    </row>
    <row r="425" spans="1:7">
      <c r="A425"/>
      <c r="C425"/>
      <c r="D425" s="1268"/>
      <c r="E425" s="1268"/>
      <c r="F425" s="1268"/>
      <c r="G425"/>
    </row>
    <row r="426" spans="1:7">
      <c r="A426"/>
      <c r="B426" s="468" t="s">
        <v>307</v>
      </c>
      <c r="C426"/>
      <c r="D426" s="1268"/>
      <c r="E426" s="1268"/>
      <c r="F426" s="1268"/>
      <c r="G426"/>
    </row>
    <row r="427" spans="1:7">
      <c r="A427"/>
      <c r="B427"/>
      <c r="C427"/>
      <c r="D427" s="1268"/>
      <c r="E427" s="1268"/>
      <c r="F427" s="1268"/>
      <c r="G427"/>
    </row>
    <row r="428" spans="1:7">
      <c r="A428"/>
      <c r="C428"/>
      <c r="D428" s="1268"/>
      <c r="E428" s="1268"/>
      <c r="F428" s="1268"/>
      <c r="G428"/>
    </row>
    <row r="429" spans="1:7">
      <c r="A429"/>
      <c r="C429"/>
      <c r="D429" s="1268"/>
      <c r="E429" s="1268"/>
      <c r="F429" s="1268"/>
      <c r="G429"/>
    </row>
    <row r="430" spans="1:7">
      <c r="A430"/>
      <c r="B430" s="468" t="s">
        <v>307</v>
      </c>
      <c r="C430"/>
      <c r="D430" s="1268"/>
      <c r="E430" s="1268"/>
      <c r="F430" s="1268"/>
      <c r="G430"/>
    </row>
    <row r="431" spans="1:7">
      <c r="A431"/>
      <c r="B431"/>
      <c r="C431"/>
      <c r="D431" s="1268"/>
      <c r="E431" s="1268"/>
      <c r="F431" s="1268"/>
      <c r="G431"/>
    </row>
    <row r="432" spans="1:7">
      <c r="A432"/>
      <c r="B432" s="468" t="s">
        <v>307</v>
      </c>
      <c r="C432"/>
      <c r="D432" s="1268"/>
      <c r="E432" s="1268"/>
      <c r="F432" s="1268"/>
      <c r="G432"/>
    </row>
    <row r="433" spans="1:7">
      <c r="A433"/>
      <c r="B433"/>
      <c r="C433"/>
      <c r="D433" s="474"/>
      <c r="E433" s="474"/>
      <c r="F433" s="474"/>
      <c r="G433"/>
    </row>
    <row r="434" spans="1:7">
      <c r="A434"/>
      <c r="B434" s="468" t="s">
        <v>307</v>
      </c>
      <c r="C434"/>
      <c r="D434" s="1268" t="s">
        <v>1234</v>
      </c>
      <c r="E434" s="1268"/>
      <c r="F434" s="1268"/>
      <c r="G434"/>
    </row>
    <row r="435" spans="1:7">
      <c r="A435"/>
      <c r="B435"/>
      <c r="C435"/>
      <c r="D435" s="1268"/>
      <c r="E435" s="1268"/>
      <c r="F435" s="1268"/>
      <c r="G435"/>
    </row>
    <row r="436" spans="1:7">
      <c r="A436"/>
      <c r="B436"/>
      <c r="C436"/>
      <c r="D436" s="1268"/>
      <c r="E436" s="1268"/>
      <c r="F436" s="1268"/>
      <c r="G436"/>
    </row>
    <row r="437" spans="1:7">
      <c r="A437"/>
      <c r="B437"/>
      <c r="C437"/>
      <c r="D437" s="1268"/>
      <c r="E437" s="1268"/>
      <c r="F437" s="1268"/>
      <c r="G437"/>
    </row>
    <row r="438" spans="1:7">
      <c r="D438" s="1268"/>
      <c r="E438" s="1268"/>
      <c r="F438" s="1268"/>
    </row>
    <row r="439" spans="1:7">
      <c r="D439" s="35"/>
      <c r="E439" s="35"/>
      <c r="F439" s="35"/>
    </row>
    <row r="440" spans="1:7">
      <c r="B440" s="468" t="s">
        <v>307</v>
      </c>
      <c r="D440" s="1279" t="s">
        <v>1235</v>
      </c>
      <c r="E440" s="1279"/>
      <c r="F440" s="1279"/>
    </row>
    <row r="441" spans="1:7">
      <c r="A441" s="35"/>
      <c r="B441" s="35"/>
    </row>
    <row r="442" spans="1:7">
      <c r="A442" s="1283" t="s">
        <v>1076</v>
      </c>
      <c r="B442" s="1283"/>
      <c r="C442" s="1283"/>
      <c r="D442" s="1283"/>
      <c r="E442" s="1283"/>
      <c r="F442" s="1283"/>
      <c r="G442" s="1283"/>
    </row>
    <row r="443" spans="1:7">
      <c r="A443" s="35"/>
      <c r="B443" s="35"/>
    </row>
    <row r="444" spans="1:7">
      <c r="D444" s="1280" t="s">
        <v>894</v>
      </c>
      <c r="E444" s="1280"/>
      <c r="F444" s="1280"/>
    </row>
    <row r="445" spans="1:7" ht="14.25">
      <c r="A445" s="176"/>
      <c r="B445" s="176"/>
      <c r="D445" s="1281" t="s">
        <v>1236</v>
      </c>
      <c r="E445" s="1281"/>
      <c r="F445" s="1281"/>
    </row>
    <row r="446" spans="1:7" ht="14.25">
      <c r="A446" s="176"/>
      <c r="B446" s="176"/>
      <c r="D446" s="481"/>
      <c r="E446" s="3"/>
      <c r="F446" s="3"/>
    </row>
    <row r="447" spans="1:7" ht="14.25">
      <c r="A447" s="176"/>
      <c r="B447" s="468" t="s">
        <v>307</v>
      </c>
      <c r="D447" s="1277" t="s">
        <v>1237</v>
      </c>
      <c r="E447" s="1277"/>
      <c r="F447" s="1277"/>
    </row>
    <row r="448" spans="1:7" ht="14.25">
      <c r="A448" s="176"/>
      <c r="B448" s="176"/>
      <c r="D448" s="1277"/>
      <c r="E448" s="1277"/>
      <c r="F448" s="1277"/>
    </row>
    <row r="449" spans="1:7" ht="14.25">
      <c r="A449" s="176"/>
      <c r="B449" s="176"/>
      <c r="D449" s="118"/>
      <c r="E449" s="3"/>
      <c r="F449" s="3"/>
    </row>
    <row r="450" spans="1:7">
      <c r="B450" s="468" t="s">
        <v>307</v>
      </c>
      <c r="D450" s="1282" t="s">
        <v>1238</v>
      </c>
      <c r="E450" s="1282"/>
      <c r="F450" s="1282"/>
    </row>
    <row r="451" spans="1:7" ht="14.25">
      <c r="A451" s="176"/>
      <c r="D451" s="1282"/>
      <c r="E451" s="1282"/>
      <c r="F451" s="1282"/>
    </row>
    <row r="452" spans="1:7" ht="14.25">
      <c r="A452" s="176"/>
      <c r="B452" s="176"/>
      <c r="D452" s="1282"/>
      <c r="E452" s="1282"/>
      <c r="F452" s="1282"/>
    </row>
    <row r="453" spans="1:7" ht="14.25">
      <c r="A453" s="176"/>
      <c r="B453" s="176"/>
      <c r="D453" s="1282"/>
      <c r="E453" s="1282"/>
      <c r="F453" s="1282"/>
    </row>
    <row r="454" spans="1:7">
      <c r="D454" s="3"/>
      <c r="E454" s="3"/>
      <c r="F454" s="3"/>
      <c r="G454"/>
    </row>
    <row r="455" spans="1:7" ht="14.25">
      <c r="A455" s="176"/>
      <c r="B455" s="468" t="s">
        <v>307</v>
      </c>
      <c r="D455" s="1268" t="s">
        <v>1239</v>
      </c>
      <c r="E455" s="1268"/>
      <c r="F455" s="1268"/>
      <c r="G455"/>
    </row>
    <row r="456" spans="1:7" ht="14.25">
      <c r="A456" s="176"/>
      <c r="B456" s="176"/>
      <c r="D456" s="1268"/>
      <c r="E456" s="1268"/>
      <c r="F456" s="1268"/>
      <c r="G456"/>
    </row>
    <row r="457" spans="1:7" ht="14.25">
      <c r="A457" s="176"/>
      <c r="D457" s="1268"/>
      <c r="E457" s="1268"/>
      <c r="F457" s="1268"/>
      <c r="G457"/>
    </row>
    <row r="458" spans="1:7" ht="14.25">
      <c r="A458" s="176"/>
      <c r="B458" s="176"/>
      <c r="D458" s="3"/>
      <c r="E458" s="3"/>
      <c r="F458" s="3"/>
      <c r="G458"/>
    </row>
    <row r="459" spans="1:7" ht="14.25">
      <c r="A459" s="176"/>
      <c r="B459" s="468" t="s">
        <v>307</v>
      </c>
      <c r="D459" s="1279" t="s">
        <v>1240</v>
      </c>
      <c r="E459" s="1279"/>
      <c r="F459" s="1279"/>
      <c r="G459"/>
    </row>
    <row r="460" spans="1:7" ht="14.25">
      <c r="A460" s="176"/>
      <c r="B460" s="176"/>
      <c r="D460" s="118"/>
      <c r="E460" s="3"/>
      <c r="F460" s="3"/>
      <c r="G460"/>
    </row>
    <row r="461" spans="1:7" ht="14.25">
      <c r="A461" s="176"/>
      <c r="B461" s="468" t="s">
        <v>307</v>
      </c>
      <c r="D461" s="1268" t="s">
        <v>1241</v>
      </c>
      <c r="E461" s="1268"/>
      <c r="F461" s="1268"/>
      <c r="G461"/>
    </row>
    <row r="462" spans="1:7" ht="14.25">
      <c r="A462" s="176"/>
      <c r="D462" s="1268"/>
      <c r="E462" s="1268"/>
      <c r="F462" s="1268"/>
      <c r="G462"/>
    </row>
    <row r="463" spans="1:7">
      <c r="A463" s="13"/>
      <c r="B463" s="13"/>
      <c r="D463" s="481"/>
      <c r="E463" s="3"/>
      <c r="F463" s="3"/>
      <c r="G463"/>
    </row>
    <row r="464" spans="1:7">
      <c r="A464" s="13"/>
      <c r="B464" s="468" t="s">
        <v>307</v>
      </c>
      <c r="D464" s="1279" t="s">
        <v>1242</v>
      </c>
      <c r="E464" s="1279"/>
      <c r="F464" s="1279"/>
      <c r="G464"/>
    </row>
    <row r="465" spans="1:7" ht="14.25">
      <c r="A465" s="176"/>
      <c r="B465" s="176"/>
      <c r="D465" s="35"/>
    </row>
    <row r="466" spans="1:7">
      <c r="A466" s="1283" t="s">
        <v>1077</v>
      </c>
      <c r="B466" s="1283"/>
      <c r="C466" s="1283"/>
      <c r="D466" s="1283"/>
      <c r="E466" s="1283"/>
      <c r="F466" s="1283"/>
      <c r="G466" s="1283"/>
    </row>
    <row r="467" spans="1:7" ht="12" customHeight="1">
      <c r="A467" s="176"/>
      <c r="B467" s="176"/>
      <c r="D467" s="35"/>
    </row>
    <row r="468" spans="1:7">
      <c r="C468" s="172"/>
      <c r="D468" s="1284" t="s">
        <v>801</v>
      </c>
      <c r="E468" s="1284"/>
      <c r="F468" s="1284"/>
    </row>
    <row r="469" spans="1:7" ht="13.35" customHeight="1">
      <c r="A469" s="175"/>
      <c r="B469" s="175"/>
      <c r="C469" s="175"/>
      <c r="D469" s="1285" t="s">
        <v>1120</v>
      </c>
      <c r="E469" s="1285"/>
      <c r="F469" s="1285"/>
    </row>
    <row r="470" spans="1:7">
      <c r="A470" s="175"/>
      <c r="B470" s="175"/>
      <c r="C470" s="175"/>
      <c r="D470" s="1285"/>
      <c r="E470" s="1285"/>
      <c r="F470" s="1285"/>
    </row>
    <row r="471" spans="1:7">
      <c r="A471" s="175"/>
      <c r="B471" s="175"/>
      <c r="C471" s="175"/>
      <c r="D471" s="1285"/>
      <c r="E471" s="1285"/>
      <c r="F471" s="1285"/>
    </row>
    <row r="472" spans="1:7">
      <c r="A472" s="175"/>
      <c r="B472" s="175"/>
      <c r="C472" s="175"/>
      <c r="D472" s="1285"/>
      <c r="E472" s="1285"/>
      <c r="F472" s="1285"/>
    </row>
    <row r="473" spans="1:7">
      <c r="A473" s="175"/>
      <c r="B473" s="175"/>
      <c r="C473" s="175"/>
      <c r="D473" s="1285"/>
      <c r="E473" s="1285"/>
      <c r="F473" s="1285"/>
    </row>
    <row r="474" spans="1:7">
      <c r="A474" s="175"/>
      <c r="B474" s="175"/>
      <c r="C474" s="175"/>
      <c r="D474" s="326"/>
      <c r="F474" s="35"/>
    </row>
    <row r="475" spans="1:7" ht="14.45" customHeight="1">
      <c r="A475" s="176"/>
      <c r="B475" s="468" t="s">
        <v>307</v>
      </c>
      <c r="C475" s="175"/>
      <c r="D475" s="1299" t="s">
        <v>1111</v>
      </c>
      <c r="E475" s="1299"/>
      <c r="F475" s="1299"/>
    </row>
    <row r="476" spans="1:7">
      <c r="A476" s="175"/>
      <c r="B476" s="175"/>
      <c r="C476" s="175"/>
      <c r="D476" s="1299"/>
      <c r="E476" s="1299"/>
      <c r="F476" s="1299"/>
    </row>
    <row r="477" spans="1:7">
      <c r="A477" s="175"/>
      <c r="B477" s="175"/>
      <c r="C477" s="175"/>
      <c r="D477" s="1299"/>
      <c r="E477" s="1299"/>
      <c r="F477" s="1299"/>
    </row>
    <row r="478" spans="1:7">
      <c r="A478" s="175"/>
      <c r="B478" s="175"/>
      <c r="C478" s="175"/>
      <c r="D478" s="1299"/>
      <c r="E478" s="1299"/>
      <c r="F478" s="1299"/>
    </row>
    <row r="479" spans="1:7">
      <c r="A479" s="175"/>
      <c r="B479" s="175"/>
      <c r="C479" s="175"/>
      <c r="D479" s="1299"/>
      <c r="E479" s="1299"/>
      <c r="F479" s="1299"/>
    </row>
    <row r="480" spans="1:7">
      <c r="A480" s="175"/>
      <c r="B480" s="175"/>
      <c r="C480" s="175"/>
      <c r="D480" s="220"/>
      <c r="F480" s="35"/>
    </row>
    <row r="481" spans="1:6" ht="14.45" customHeight="1">
      <c r="A481" s="176"/>
      <c r="B481" s="468" t="s">
        <v>307</v>
      </c>
      <c r="C481" s="175"/>
      <c r="D481" s="1299" t="s">
        <v>1114</v>
      </c>
      <c r="E481" s="1299"/>
      <c r="F481" s="1299"/>
    </row>
    <row r="482" spans="1:6">
      <c r="A482" s="175"/>
      <c r="B482" s="175"/>
      <c r="C482" s="175"/>
      <c r="D482" s="1299"/>
      <c r="E482" s="1299"/>
      <c r="F482" s="1299"/>
    </row>
    <row r="483" spans="1:6">
      <c r="A483" s="175"/>
      <c r="B483" s="175"/>
      <c r="C483" s="175"/>
      <c r="D483" s="1299"/>
      <c r="E483" s="1299"/>
      <c r="F483" s="1299"/>
    </row>
    <row r="484" spans="1:6">
      <c r="A484" s="175"/>
      <c r="B484" s="175"/>
      <c r="C484" s="175"/>
      <c r="D484" s="1299"/>
      <c r="E484" s="1299"/>
      <c r="F484" s="1299"/>
    </row>
    <row r="485" spans="1:6" ht="9.9499999999999993" customHeight="1">
      <c r="A485" s="175"/>
      <c r="B485" s="175"/>
      <c r="C485" s="175"/>
      <c r="D485" s="220"/>
      <c r="F485" s="35"/>
    </row>
    <row r="486" spans="1:6" ht="14.45" customHeight="1">
      <c r="A486" s="176"/>
      <c r="B486" s="468" t="s">
        <v>307</v>
      </c>
      <c r="C486" s="175"/>
      <c r="D486" s="1299" t="s">
        <v>1112</v>
      </c>
      <c r="E486" s="1299"/>
      <c r="F486" s="1299"/>
    </row>
    <row r="487" spans="1:6">
      <c r="A487" s="175"/>
      <c r="B487" s="175"/>
      <c r="C487" s="175"/>
      <c r="D487" s="1299"/>
      <c r="E487" s="1299"/>
      <c r="F487" s="1299"/>
    </row>
    <row r="488" spans="1:6">
      <c r="A488" s="175"/>
      <c r="B488" s="175"/>
      <c r="C488" s="175"/>
      <c r="D488" s="1299"/>
      <c r="E488" s="1299"/>
      <c r="F488" s="1299"/>
    </row>
    <row r="489" spans="1:6">
      <c r="A489" s="175"/>
      <c r="B489" s="175"/>
      <c r="C489" s="175"/>
      <c r="D489" s="475"/>
      <c r="E489" s="475"/>
      <c r="F489" s="475"/>
    </row>
    <row r="490" spans="1:6" ht="14.45" customHeight="1">
      <c r="A490" s="176"/>
      <c r="B490" s="468" t="s">
        <v>307</v>
      </c>
      <c r="C490" s="175"/>
      <c r="D490" s="1299" t="s">
        <v>1113</v>
      </c>
      <c r="E490" s="1299"/>
      <c r="F490" s="1299"/>
    </row>
    <row r="491" spans="1:6">
      <c r="A491" s="175"/>
      <c r="B491" s="175"/>
      <c r="C491" s="175"/>
      <c r="D491" s="1299"/>
      <c r="E491" s="1299"/>
      <c r="F491" s="1299"/>
    </row>
    <row r="492" spans="1:6">
      <c r="A492" s="175"/>
      <c r="B492" s="175"/>
      <c r="C492" s="175"/>
      <c r="D492" s="1299"/>
      <c r="E492" s="1299"/>
      <c r="F492" s="1299"/>
    </row>
    <row r="493" spans="1:6">
      <c r="A493" s="175"/>
      <c r="B493" s="175"/>
      <c r="C493" s="175"/>
      <c r="D493" s="1299"/>
      <c r="E493" s="1299"/>
      <c r="F493" s="1299"/>
    </row>
    <row r="494" spans="1:6">
      <c r="A494" s="175"/>
      <c r="B494" s="175"/>
      <c r="C494" s="175"/>
      <c r="D494" s="1299"/>
      <c r="E494" s="1299"/>
      <c r="F494" s="1299"/>
    </row>
    <row r="495" spans="1:6">
      <c r="A495" s="175"/>
      <c r="B495" s="175"/>
      <c r="C495" s="175"/>
      <c r="D495" s="1299"/>
      <c r="E495" s="1299"/>
      <c r="F495" s="1299"/>
    </row>
    <row r="496" spans="1:6">
      <c r="A496" s="175"/>
      <c r="B496" s="175"/>
      <c r="C496" s="175"/>
      <c r="D496" s="1299"/>
      <c r="E496" s="1299"/>
      <c r="F496" s="1299"/>
    </row>
    <row r="497" spans="1:7">
      <c r="A497" s="175"/>
      <c r="B497" s="175"/>
      <c r="C497" s="175"/>
      <c r="D497" s="1299"/>
      <c r="E497" s="1299"/>
      <c r="F497" s="1299"/>
    </row>
    <row r="498" spans="1:7">
      <c r="A498" s="175"/>
      <c r="B498" s="175"/>
      <c r="C498" s="175"/>
      <c r="D498" s="1299"/>
      <c r="E498" s="1299"/>
      <c r="F498" s="1299"/>
    </row>
    <row r="499" spans="1:7">
      <c r="A499" s="175"/>
      <c r="B499" s="175"/>
      <c r="C499" s="175"/>
      <c r="D499" s="220"/>
      <c r="F499" s="35"/>
    </row>
    <row r="500" spans="1:7" ht="13.35" customHeight="1">
      <c r="A500" s="175"/>
      <c r="B500" s="468" t="s">
        <v>307</v>
      </c>
      <c r="C500" s="175"/>
      <c r="D500" s="1277" t="s">
        <v>1257</v>
      </c>
      <c r="E500" s="1277"/>
      <c r="F500" s="1277"/>
    </row>
    <row r="501" spans="1:7">
      <c r="A501" s="175"/>
      <c r="B501" s="175"/>
      <c r="C501" s="175"/>
      <c r="D501" s="1277"/>
      <c r="E501" s="1277"/>
      <c r="F501" s="1277"/>
    </row>
    <row r="502" spans="1:7">
      <c r="A502" s="175"/>
      <c r="B502" s="175"/>
      <c r="C502" s="175"/>
      <c r="D502" s="1277"/>
      <c r="E502" s="1277"/>
      <c r="F502" s="1277"/>
    </row>
    <row r="503" spans="1:7">
      <c r="A503" s="175"/>
      <c r="B503" s="175"/>
      <c r="C503" s="175"/>
      <c r="D503" s="1277"/>
      <c r="E503" s="1277"/>
      <c r="F503" s="1277"/>
    </row>
    <row r="504" spans="1:7">
      <c r="A504" s="175"/>
      <c r="B504" s="175"/>
      <c r="C504" s="175"/>
      <c r="D504" s="1277"/>
      <c r="E504" s="1277"/>
      <c r="F504" s="1277"/>
    </row>
    <row r="505" spans="1:7">
      <c r="A505" s="175"/>
      <c r="B505" s="175"/>
      <c r="C505" s="175"/>
      <c r="D505" s="485"/>
      <c r="E505" s="485"/>
      <c r="F505" s="485"/>
    </row>
    <row r="506" spans="1:7" ht="14.45" customHeight="1">
      <c r="A506" s="176"/>
      <c r="B506" s="468" t="s">
        <v>307</v>
      </c>
      <c r="D506" s="1299" t="s">
        <v>1115</v>
      </c>
      <c r="E506" s="1299"/>
      <c r="F506" s="1299"/>
    </row>
    <row r="507" spans="1:7">
      <c r="D507" s="1299"/>
      <c r="E507" s="1299"/>
      <c r="F507" s="1299"/>
    </row>
    <row r="508" spans="1:7">
      <c r="D508" s="1299"/>
      <c r="E508" s="1299"/>
      <c r="F508" s="1299"/>
    </row>
    <row r="509" spans="1:7" ht="12" customHeight="1">
      <c r="A509" s="35"/>
      <c r="B509" s="35"/>
      <c r="C509" s="179"/>
      <c r="D509" s="35"/>
      <c r="F509" s="57"/>
    </row>
    <row r="510" spans="1:7">
      <c r="A510" s="1283" t="s">
        <v>1078</v>
      </c>
      <c r="B510" s="1283"/>
      <c r="C510" s="1283"/>
      <c r="D510" s="1283"/>
      <c r="E510" s="1283"/>
      <c r="F510" s="1283"/>
      <c r="G510" s="1283"/>
    </row>
    <row r="511" spans="1:7">
      <c r="A511" s="35"/>
      <c r="B511" s="35"/>
      <c r="C511" s="179"/>
      <c r="F511" s="57"/>
    </row>
    <row r="512" spans="1:7">
      <c r="B512" s="1300" t="s">
        <v>447</v>
      </c>
      <c r="C512" s="1300"/>
      <c r="D512" s="1300"/>
      <c r="E512" s="1300"/>
      <c r="F512" s="1300"/>
    </row>
    <row r="513" spans="1:7">
      <c r="A513" s="35"/>
      <c r="B513" s="35"/>
      <c r="C513" s="179"/>
      <c r="D513" s="35"/>
      <c r="F513" s="35"/>
    </row>
    <row r="514" spans="1:7">
      <c r="A514" s="1314" t="s">
        <v>1079</v>
      </c>
      <c r="B514" s="1314"/>
      <c r="C514" s="1314"/>
      <c r="D514" s="1314"/>
      <c r="E514" s="1314"/>
      <c r="F514" s="1314"/>
      <c r="G514" s="1314"/>
    </row>
    <row r="515" spans="1:7">
      <c r="A515" s="35"/>
      <c r="B515" s="35"/>
      <c r="C515" s="179"/>
      <c r="D515" s="35"/>
      <c r="F515" s="35"/>
    </row>
    <row r="516" spans="1:7">
      <c r="C516" s="179"/>
      <c r="D516" s="1284" t="s">
        <v>690</v>
      </c>
      <c r="E516" s="1284"/>
      <c r="F516" s="1284"/>
    </row>
    <row r="517" spans="1:7">
      <c r="C517" s="179"/>
      <c r="D517" s="1279" t="s">
        <v>1136</v>
      </c>
      <c r="E517" s="1279"/>
      <c r="F517" s="1279"/>
    </row>
    <row r="518" spans="1:7">
      <c r="C518" s="179"/>
      <c r="D518" s="118"/>
      <c r="E518" s="118"/>
      <c r="F518" s="118"/>
    </row>
    <row r="519" spans="1:7" ht="13.35" customHeight="1">
      <c r="A519" s="176"/>
      <c r="B519" s="468" t="s">
        <v>307</v>
      </c>
      <c r="C519" s="179"/>
      <c r="D519" s="1279" t="s">
        <v>895</v>
      </c>
      <c r="E519" s="1279"/>
      <c r="F519" s="1279"/>
      <c r="G519"/>
    </row>
    <row r="520" spans="1:7" ht="13.35" customHeight="1">
      <c r="A520" s="179"/>
      <c r="B520" s="179"/>
      <c r="C520" s="179"/>
      <c r="D520" s="118"/>
      <c r="E520"/>
      <c r="F520"/>
      <c r="G520"/>
    </row>
    <row r="521" spans="1:7" ht="14.25">
      <c r="A521" s="176"/>
      <c r="B521" s="468" t="s">
        <v>307</v>
      </c>
      <c r="C521" s="179"/>
      <c r="D521" s="1268" t="s">
        <v>1137</v>
      </c>
      <c r="E521" s="1268"/>
      <c r="F521" s="1268"/>
      <c r="G521"/>
    </row>
    <row r="522" spans="1:7">
      <c r="A522" s="179"/>
      <c r="B522" s="179"/>
      <c r="C522" s="179"/>
      <c r="D522" s="1268"/>
      <c r="E522" s="1268"/>
      <c r="F522" s="1268"/>
      <c r="G522"/>
    </row>
    <row r="523" spans="1:7">
      <c r="A523" s="179"/>
      <c r="B523" s="179"/>
      <c r="C523" s="179"/>
      <c r="D523" s="35"/>
      <c r="E523" s="35"/>
      <c r="F523" s="35"/>
      <c r="G523"/>
    </row>
    <row r="524" spans="1:7" ht="14.25">
      <c r="A524" s="176"/>
      <c r="B524" s="468" t="s">
        <v>307</v>
      </c>
      <c r="C524" s="179"/>
      <c r="D524" s="1268" t="s">
        <v>1138</v>
      </c>
      <c r="E524" s="1268"/>
      <c r="F524" s="1268"/>
      <c r="G524"/>
    </row>
    <row r="525" spans="1:7">
      <c r="A525" s="179"/>
      <c r="B525" s="179"/>
      <c r="C525" s="179"/>
      <c r="D525" s="1268"/>
      <c r="E525" s="1268"/>
      <c r="F525" s="1268"/>
      <c r="G525"/>
    </row>
    <row r="526" spans="1:7">
      <c r="A526" s="179"/>
      <c r="B526" s="179"/>
      <c r="C526" s="179"/>
      <c r="D526" s="35"/>
      <c r="E526" s="35"/>
      <c r="F526" s="35"/>
      <c r="G526"/>
    </row>
    <row r="527" spans="1:7" ht="14.25">
      <c r="A527" s="176"/>
      <c r="B527" s="468" t="s">
        <v>307</v>
      </c>
      <c r="C527" s="179"/>
      <c r="D527" s="1268" t="s">
        <v>1139</v>
      </c>
      <c r="E527" s="1268"/>
      <c r="F527" s="1268"/>
      <c r="G527"/>
    </row>
    <row r="528" spans="1:7">
      <c r="A528" s="179"/>
      <c r="B528" s="179"/>
      <c r="C528" s="179"/>
      <c r="D528" s="1268"/>
      <c r="E528" s="1268"/>
      <c r="F528" s="1268"/>
      <c r="G528"/>
    </row>
    <row r="529" spans="1:7">
      <c r="A529" s="179"/>
      <c r="B529" s="179"/>
      <c r="C529" s="179"/>
      <c r="D529" s="35"/>
      <c r="E529" s="35"/>
      <c r="F529" s="35"/>
      <c r="G529"/>
    </row>
    <row r="530" spans="1:7" ht="14.25">
      <c r="A530" s="176"/>
      <c r="B530" s="468" t="s">
        <v>307</v>
      </c>
      <c r="C530" s="179"/>
      <c r="D530" s="1268" t="s">
        <v>1140</v>
      </c>
      <c r="E530" s="1268"/>
      <c r="F530" s="1268"/>
      <c r="G530"/>
    </row>
    <row r="531" spans="1:7">
      <c r="A531" s="179"/>
      <c r="B531" s="179"/>
      <c r="C531" s="179"/>
      <c r="D531" s="1268"/>
      <c r="E531" s="1268"/>
      <c r="F531" s="1268"/>
      <c r="G531"/>
    </row>
    <row r="532" spans="1:7">
      <c r="A532" s="179"/>
      <c r="B532" s="179"/>
      <c r="C532" s="179"/>
      <c r="D532" s="1268"/>
      <c r="E532" s="1268"/>
      <c r="F532" s="1268"/>
      <c r="G532"/>
    </row>
    <row r="533" spans="1:7">
      <c r="A533" s="179"/>
      <c r="B533" s="179"/>
      <c r="C533" s="179"/>
      <c r="D533" s="35"/>
      <c r="E533" s="35"/>
      <c r="F533" s="35"/>
    </row>
    <row r="534" spans="1:7" ht="14.25">
      <c r="A534" s="176"/>
      <c r="B534" s="468" t="s">
        <v>307</v>
      </c>
      <c r="C534" s="179"/>
      <c r="D534" s="1268" t="s">
        <v>1258</v>
      </c>
      <c r="E534" s="1268"/>
      <c r="F534" s="1268"/>
    </row>
    <row r="535" spans="1:7">
      <c r="A535" s="179"/>
      <c r="B535" s="179"/>
      <c r="C535" s="179"/>
      <c r="D535" s="1268"/>
      <c r="E535" s="1268"/>
      <c r="F535" s="1268"/>
    </row>
    <row r="536" spans="1:7">
      <c r="A536" s="179"/>
      <c r="B536" s="179"/>
      <c r="C536" s="179"/>
      <c r="D536" s="35"/>
      <c r="E536" s="35"/>
      <c r="F536" s="35"/>
    </row>
    <row r="537" spans="1:7" ht="14.25">
      <c r="A537" s="176"/>
      <c r="B537" s="468" t="s">
        <v>307</v>
      </c>
      <c r="C537" s="179"/>
      <c r="D537" s="1268" t="s">
        <v>1141</v>
      </c>
      <c r="E537" s="1268"/>
      <c r="F537" s="1268"/>
    </row>
    <row r="538" spans="1:7">
      <c r="A538" s="179"/>
      <c r="B538" s="179"/>
      <c r="C538" s="179"/>
      <c r="D538" s="1268"/>
      <c r="E538" s="1268"/>
      <c r="F538" s="1268"/>
    </row>
    <row r="539" spans="1:7">
      <c r="A539" s="179"/>
      <c r="B539" s="179"/>
      <c r="C539" s="179"/>
      <c r="D539" s="35"/>
      <c r="E539" s="35"/>
      <c r="F539" s="35"/>
    </row>
    <row r="540" spans="1:7" ht="14.25">
      <c r="A540" s="176"/>
      <c r="B540" s="468" t="s">
        <v>307</v>
      </c>
      <c r="C540" s="179"/>
      <c r="D540" s="1268" t="s">
        <v>1142</v>
      </c>
      <c r="E540" s="1268"/>
      <c r="F540" s="1268"/>
    </row>
    <row r="541" spans="1:7">
      <c r="A541" s="179"/>
      <c r="B541" s="179"/>
      <c r="C541" s="179"/>
      <c r="D541" s="1268"/>
      <c r="E541" s="1268"/>
      <c r="F541" s="1268"/>
    </row>
    <row r="542" spans="1:7">
      <c r="A542" s="179"/>
      <c r="B542" s="179"/>
      <c r="C542" s="179"/>
      <c r="D542" s="35"/>
      <c r="E542" s="35"/>
      <c r="F542" s="35"/>
    </row>
    <row r="543" spans="1:7" ht="14.25">
      <c r="A543" s="176"/>
      <c r="B543" s="468" t="s">
        <v>307</v>
      </c>
      <c r="C543" s="179"/>
      <c r="D543" s="1279" t="s">
        <v>1143</v>
      </c>
      <c r="E543" s="1279"/>
      <c r="F543" s="1279"/>
    </row>
    <row r="544" spans="1:7">
      <c r="A544" s="13"/>
      <c r="B544" s="13"/>
      <c r="C544" s="179"/>
      <c r="D544" s="1279" t="s">
        <v>828</v>
      </c>
      <c r="E544" s="1279"/>
      <c r="F544" s="1279"/>
    </row>
    <row r="545" spans="1:7">
      <c r="A545" s="13"/>
      <c r="B545" s="13"/>
      <c r="C545" s="179"/>
      <c r="D545" s="3"/>
      <c r="E545" s="1290" t="s">
        <v>1144</v>
      </c>
      <c r="F545" s="1290"/>
    </row>
    <row r="546" spans="1:7" ht="14.25">
      <c r="A546" s="176"/>
      <c r="B546" s="176"/>
      <c r="C546" s="179"/>
      <c r="E546" s="35"/>
      <c r="F546" s="35"/>
    </row>
    <row r="547" spans="1:7" ht="14.25">
      <c r="A547" s="176"/>
      <c r="B547" s="468" t="s">
        <v>307</v>
      </c>
      <c r="C547" s="179"/>
      <c r="D547" s="1279" t="s">
        <v>1145</v>
      </c>
      <c r="E547" s="1279"/>
      <c r="F547" s="1279"/>
    </row>
    <row r="548" spans="1:7">
      <c r="C548" s="179"/>
      <c r="D548" s="1268" t="s">
        <v>1146</v>
      </c>
      <c r="E548" s="1268"/>
      <c r="F548" s="1268"/>
    </row>
    <row r="549" spans="1:7">
      <c r="A549" s="179"/>
      <c r="B549" s="179"/>
      <c r="C549" s="179"/>
      <c r="D549" s="1268"/>
      <c r="E549" s="1268"/>
      <c r="F549" s="1268"/>
    </row>
    <row r="550" spans="1:7">
      <c r="A550" s="179"/>
      <c r="B550" s="179"/>
      <c r="C550" s="179"/>
      <c r="D550" s="1268"/>
      <c r="E550" s="1268"/>
      <c r="F550" s="1268"/>
    </row>
    <row r="551" spans="1:7">
      <c r="A551" s="179"/>
      <c r="B551" s="179"/>
      <c r="C551" s="179"/>
      <c r="D551" s="35"/>
      <c r="E551" s="35"/>
      <c r="F551" s="35"/>
    </row>
    <row r="552" spans="1:7" ht="14.25">
      <c r="A552" s="176"/>
      <c r="B552" s="468" t="s">
        <v>307</v>
      </c>
      <c r="C552" s="179"/>
      <c r="D552" s="1268" t="s">
        <v>1147</v>
      </c>
      <c r="E552" s="1268"/>
      <c r="F552" s="1268"/>
    </row>
    <row r="553" spans="1:7" ht="14.25">
      <c r="A553" s="176"/>
      <c r="B553" s="176"/>
      <c r="C553" s="179"/>
      <c r="D553" s="1268"/>
      <c r="E553" s="1268"/>
      <c r="F553" s="1268"/>
    </row>
    <row r="554" spans="1:7" ht="14.25">
      <c r="A554" s="176"/>
      <c r="B554" s="176"/>
      <c r="C554" s="179"/>
      <c r="D554" s="1268"/>
      <c r="E554" s="1268"/>
      <c r="F554" s="1268"/>
    </row>
    <row r="555" spans="1:7" ht="14.25">
      <c r="A555" s="176"/>
      <c r="B555" s="176"/>
      <c r="C555" s="179"/>
      <c r="D555" s="1268"/>
      <c r="E555" s="1268"/>
      <c r="F555" s="1268"/>
    </row>
    <row r="556" spans="1:7" ht="14.25">
      <c r="A556" s="176"/>
      <c r="B556" s="176"/>
      <c r="C556" s="179"/>
      <c r="D556" s="35"/>
      <c r="E556" s="35"/>
      <c r="F556" s="35"/>
    </row>
    <row r="557" spans="1:7">
      <c r="A557" s="1283" t="s">
        <v>1080</v>
      </c>
      <c r="B557" s="1283"/>
      <c r="C557" s="1283"/>
      <c r="D557" s="1283"/>
      <c r="E557" s="1283"/>
      <c r="F557" s="1283"/>
      <c r="G557" s="1283"/>
    </row>
    <row r="558" spans="1:7">
      <c r="A558" s="179"/>
      <c r="B558" s="179"/>
      <c r="C558" s="179"/>
      <c r="E558" s="35"/>
      <c r="F558" s="35"/>
    </row>
    <row r="559" spans="1:7" ht="12.75" customHeight="1">
      <c r="C559" s="172"/>
      <c r="D559" s="1301" t="s">
        <v>210</v>
      </c>
      <c r="E559" s="1301"/>
      <c r="F559" s="1301"/>
    </row>
    <row r="560" spans="1:7">
      <c r="A560" s="175"/>
      <c r="B560" s="175"/>
      <c r="C560" s="175"/>
      <c r="D560" s="1282" t="s">
        <v>1096</v>
      </c>
      <c r="E560" s="1282"/>
      <c r="F560" s="1282"/>
    </row>
    <row r="561" spans="1:6">
      <c r="A561"/>
      <c r="B561"/>
      <c r="C561" s="175"/>
      <c r="D561" s="255"/>
    </row>
    <row r="562" spans="1:6">
      <c r="A562" s="175"/>
      <c r="B562" s="468" t="s">
        <v>307</v>
      </c>
      <c r="D562" s="1282" t="s">
        <v>901</v>
      </c>
      <c r="E562" s="1282"/>
      <c r="F562" s="1282"/>
    </row>
    <row r="563" spans="1:6">
      <c r="A563" s="13"/>
      <c r="B563" s="13"/>
      <c r="D563" s="218"/>
    </row>
    <row r="564" spans="1:6">
      <c r="A564" s="13"/>
      <c r="B564" s="468" t="s">
        <v>307</v>
      </c>
      <c r="D564" s="1282" t="s">
        <v>1097</v>
      </c>
      <c r="E564" s="1282"/>
      <c r="F564" s="1282"/>
    </row>
    <row r="565" spans="1:6">
      <c r="A565" s="13"/>
      <c r="B565" s="13"/>
      <c r="D565" s="1282"/>
      <c r="E565" s="1282"/>
      <c r="F565" s="1282"/>
    </row>
    <row r="566" spans="1:6">
      <c r="A566" s="13"/>
      <c r="B566" s="13"/>
      <c r="D566" s="1282"/>
      <c r="E566" s="1282"/>
      <c r="F566" s="1282"/>
    </row>
    <row r="567" spans="1:6">
      <c r="A567" s="13"/>
      <c r="B567" s="13"/>
      <c r="D567" s="255"/>
    </row>
    <row r="568" spans="1:6">
      <c r="A568" s="13"/>
      <c r="B568" s="468" t="s">
        <v>307</v>
      </c>
      <c r="D568" s="1282" t="s">
        <v>1098</v>
      </c>
      <c r="E568" s="1282"/>
      <c r="F568" s="1282"/>
    </row>
    <row r="569" spans="1:6">
      <c r="A569" s="13"/>
      <c r="B569" s="13"/>
      <c r="D569" s="1282"/>
      <c r="E569" s="1282"/>
      <c r="F569" s="1282"/>
    </row>
    <row r="570" spans="1:6">
      <c r="A570" s="13"/>
      <c r="B570" s="13"/>
      <c r="D570" s="1282"/>
      <c r="E570" s="1282"/>
      <c r="F570" s="1282"/>
    </row>
    <row r="571" spans="1:6">
      <c r="A571" s="13"/>
      <c r="B571" s="13"/>
      <c r="D571" s="1282"/>
      <c r="E571" s="1282"/>
      <c r="F571" s="1282"/>
    </row>
    <row r="572" spans="1:6">
      <c r="A572" s="13"/>
      <c r="B572" s="13"/>
      <c r="D572" s="473"/>
      <c r="E572" s="473"/>
      <c r="F572" s="473"/>
    </row>
    <row r="573" spans="1:6">
      <c r="A573" s="13"/>
      <c r="B573" s="468" t="s">
        <v>307</v>
      </c>
      <c r="D573" s="1282" t="s">
        <v>1099</v>
      </c>
      <c r="E573" s="1282"/>
      <c r="F573" s="1282"/>
    </row>
    <row r="574" spans="1:6">
      <c r="A574" s="13"/>
      <c r="B574" s="13"/>
      <c r="D574" s="1282"/>
      <c r="E574" s="1282"/>
      <c r="F574" s="1282"/>
    </row>
    <row r="575" spans="1:6">
      <c r="A575" s="13"/>
      <c r="B575" s="13"/>
      <c r="D575" s="255"/>
    </row>
    <row r="576" spans="1:6">
      <c r="A576" s="13"/>
      <c r="B576" s="468" t="s">
        <v>307</v>
      </c>
      <c r="D576" s="1282" t="s">
        <v>1100</v>
      </c>
      <c r="E576" s="1282"/>
      <c r="F576" s="1282"/>
    </row>
    <row r="577" spans="1:7">
      <c r="A577" s="13"/>
      <c r="B577" s="13"/>
      <c r="D577" s="1282"/>
      <c r="E577" s="1282"/>
      <c r="F577" s="1282"/>
    </row>
    <row r="578" spans="1:7">
      <c r="A578" s="13"/>
      <c r="B578" s="13"/>
      <c r="D578" s="255"/>
    </row>
    <row r="579" spans="1:7" ht="14.25">
      <c r="A579" s="176"/>
      <c r="B579" s="468" t="s">
        <v>307</v>
      </c>
      <c r="D579" s="1282" t="s">
        <v>896</v>
      </c>
      <c r="E579" s="1282"/>
      <c r="F579" s="1282"/>
    </row>
    <row r="580" spans="1:7" ht="14.25">
      <c r="A580" s="176"/>
      <c r="B580" s="176"/>
      <c r="D580" s="255"/>
    </row>
    <row r="581" spans="1:7" ht="14.25">
      <c r="A581" s="176"/>
      <c r="B581" s="468" t="s">
        <v>307</v>
      </c>
      <c r="D581" s="1282" t="s">
        <v>1101</v>
      </c>
      <c r="E581" s="1282"/>
      <c r="F581" s="1282"/>
    </row>
    <row r="582" spans="1:7" ht="14.25">
      <c r="A582" s="176"/>
      <c r="B582" s="176"/>
      <c r="D582" s="1282"/>
      <c r="E582" s="1282"/>
      <c r="F582" s="1282"/>
    </row>
    <row r="583" spans="1:7">
      <c r="D583" s="1282"/>
      <c r="E583" s="1282"/>
      <c r="F583" s="1282"/>
    </row>
    <row r="584" spans="1:7">
      <c r="D584" s="1282"/>
      <c r="E584" s="1282"/>
      <c r="F584" s="1282"/>
    </row>
    <row r="585" spans="1:7">
      <c r="D585" s="1282"/>
      <c r="E585" s="1282"/>
      <c r="F585" s="1282"/>
    </row>
    <row r="586" spans="1:7">
      <c r="D586" s="1282"/>
      <c r="E586" s="1282"/>
      <c r="F586" s="1282"/>
    </row>
    <row r="587" spans="1:7"/>
    <row r="588" spans="1:7">
      <c r="A588" s="1283" t="s">
        <v>1081</v>
      </c>
      <c r="B588" s="1283"/>
      <c r="C588" s="1283"/>
      <c r="D588" s="1283"/>
      <c r="E588" s="1283"/>
      <c r="F588" s="1283"/>
      <c r="G588" s="1283"/>
    </row>
    <row r="589" spans="1:7"/>
    <row r="590" spans="1:7">
      <c r="D590" s="1294" t="s">
        <v>1181</v>
      </c>
      <c r="E590" s="1294"/>
      <c r="F590" s="1294"/>
    </row>
    <row r="591" spans="1:7">
      <c r="D591" s="1317" t="s">
        <v>1182</v>
      </c>
      <c r="E591" s="1317"/>
      <c r="F591" s="1317"/>
    </row>
    <row r="592" spans="1:7">
      <c r="D592" s="478"/>
      <c r="E592" s="433"/>
      <c r="F592" s="433"/>
    </row>
    <row r="593" spans="1:7" ht="14.25">
      <c r="A593" s="176"/>
      <c r="B593" s="468" t="s">
        <v>307</v>
      </c>
      <c r="D593" s="1295" t="s">
        <v>1183</v>
      </c>
      <c r="E593" s="1295"/>
      <c r="F593" s="1295"/>
    </row>
    <row r="594" spans="1:7">
      <c r="D594" s="1295"/>
      <c r="E594" s="1295"/>
      <c r="F594" s="1295"/>
    </row>
    <row r="595" spans="1:7">
      <c r="D595" s="1295"/>
      <c r="E595" s="1295"/>
      <c r="F595" s="1295"/>
    </row>
    <row r="596" spans="1:7"/>
    <row r="597" spans="1:7">
      <c r="A597" s="1283" t="s">
        <v>1082</v>
      </c>
      <c r="B597" s="1283"/>
      <c r="C597" s="1283"/>
      <c r="D597" s="1283"/>
      <c r="E597" s="1283"/>
      <c r="F597" s="1283"/>
      <c r="G597" s="1283"/>
    </row>
    <row r="598" spans="1:7">
      <c r="A598" s="35"/>
      <c r="B598" s="35"/>
    </row>
    <row r="599" spans="1:7">
      <c r="A599" s="172"/>
      <c r="B599" s="172"/>
      <c r="C599" s="172"/>
      <c r="D599" s="1318" t="s">
        <v>1184</v>
      </c>
      <c r="E599" s="1318"/>
      <c r="F599" s="1318"/>
    </row>
    <row r="600" spans="1:7">
      <c r="A600" s="172"/>
      <c r="B600" s="172"/>
      <c r="C600" s="172"/>
      <c r="D600" s="1318"/>
      <c r="E600" s="1318"/>
      <c r="F600" s="1318"/>
    </row>
    <row r="601" spans="1:7">
      <c r="C601" s="175"/>
      <c r="D601" s="1317" t="s">
        <v>1185</v>
      </c>
      <c r="E601" s="1317"/>
      <c r="F601" s="1317"/>
    </row>
    <row r="602" spans="1:7">
      <c r="C602" s="175"/>
      <c r="D602" s="478"/>
      <c r="E602" s="478"/>
      <c r="F602" s="478"/>
    </row>
    <row r="603" spans="1:7">
      <c r="A603" s="13"/>
      <c r="B603" s="468" t="s">
        <v>307</v>
      </c>
      <c r="D603" s="1317" t="s">
        <v>432</v>
      </c>
      <c r="E603" s="1317"/>
      <c r="F603" s="1317"/>
    </row>
    <row r="604" spans="1:7">
      <c r="C604" s="180"/>
      <c r="E604"/>
    </row>
    <row r="605" spans="1:7">
      <c r="A605" s="13"/>
      <c r="B605" s="468" t="s">
        <v>307</v>
      </c>
      <c r="D605" s="1293" t="s">
        <v>1186</v>
      </c>
      <c r="E605" s="1293"/>
      <c r="F605" s="1293"/>
    </row>
    <row r="606" spans="1:7">
      <c r="D606" s="1293"/>
      <c r="E606" s="1293"/>
      <c r="F606" s="1293"/>
    </row>
    <row r="607" spans="1:7">
      <c r="D607"/>
    </row>
    <row r="608" spans="1:7">
      <c r="B608" s="468" t="s">
        <v>307</v>
      </c>
      <c r="D608" s="1293" t="s">
        <v>1187</v>
      </c>
      <c r="E608" s="1293"/>
      <c r="F608" s="1293"/>
    </row>
    <row r="609" spans="1:7">
      <c r="C609" s="180"/>
      <c r="D609" s="1293"/>
      <c r="E609" s="1293"/>
      <c r="F609" s="1293"/>
    </row>
    <row r="610" spans="1:7">
      <c r="C610" s="180"/>
    </row>
    <row r="611" spans="1:7">
      <c r="B611" s="468" t="s">
        <v>307</v>
      </c>
      <c r="C611" s="180"/>
      <c r="D611" s="1293" t="s">
        <v>1188</v>
      </c>
      <c r="E611" s="1293"/>
      <c r="F611" s="1293"/>
    </row>
    <row r="612" spans="1:7">
      <c r="C612" s="180"/>
      <c r="D612" s="1293"/>
      <c r="E612" s="1293"/>
      <c r="F612" s="1293"/>
    </row>
    <row r="613" spans="1:7">
      <c r="C613" s="180"/>
    </row>
    <row r="614" spans="1:7">
      <c r="A614" s="1283" t="s">
        <v>1083</v>
      </c>
      <c r="B614" s="1283"/>
      <c r="C614" s="1283"/>
      <c r="D614" s="1283"/>
      <c r="E614" s="1283"/>
      <c r="F614" s="1283"/>
      <c r="G614" s="1283"/>
    </row>
    <row r="615" spans="1:7">
      <c r="A615" s="172"/>
      <c r="B615" s="172"/>
      <c r="C615" s="172"/>
    </row>
    <row r="616" spans="1:7">
      <c r="C616" s="13"/>
      <c r="D616" s="1294" t="s">
        <v>1189</v>
      </c>
      <c r="E616" s="1294"/>
      <c r="F616" s="1294"/>
    </row>
    <row r="617" spans="1:7">
      <c r="A617" s="13"/>
      <c r="B617" s="13"/>
      <c r="D617" s="2"/>
    </row>
    <row r="618" spans="1:7" ht="14.25">
      <c r="A618" s="176"/>
      <c r="B618" s="468" t="s">
        <v>307</v>
      </c>
      <c r="D618" s="1295" t="s">
        <v>1190</v>
      </c>
      <c r="E618" s="1295"/>
      <c r="F618" s="1295"/>
    </row>
    <row r="619" spans="1:7">
      <c r="D619" s="1295"/>
      <c r="E619" s="1295"/>
      <c r="F619" s="1295"/>
    </row>
    <row r="620" spans="1:7">
      <c r="D620" s="1295"/>
      <c r="E620" s="1295"/>
      <c r="F620" s="1295"/>
    </row>
    <row r="621" spans="1:7">
      <c r="D621" s="1295"/>
      <c r="E621" s="1295"/>
      <c r="F621" s="1295"/>
    </row>
    <row r="622" spans="1:7">
      <c r="D622" s="1295"/>
      <c r="E622" s="1295"/>
      <c r="F622" s="1295"/>
    </row>
    <row r="623" spans="1:7">
      <c r="D623" s="1295"/>
      <c r="E623" s="1295"/>
      <c r="F623" s="1295"/>
    </row>
    <row r="624" spans="1:7">
      <c r="D624" s="479"/>
      <c r="E624" s="479"/>
      <c r="F624" s="479"/>
    </row>
    <row r="625" spans="1:7" ht="14.25">
      <c r="A625" s="176"/>
      <c r="B625" s="468" t="s">
        <v>307</v>
      </c>
      <c r="D625" s="1295" t="s">
        <v>1191</v>
      </c>
      <c r="E625" s="1295"/>
      <c r="F625" s="1295"/>
    </row>
    <row r="626" spans="1:7">
      <c r="A626" s="179"/>
      <c r="B626" s="179"/>
      <c r="C626" s="179"/>
      <c r="D626" s="1295"/>
      <c r="E626" s="1295"/>
      <c r="F626" s="1295"/>
    </row>
    <row r="627" spans="1:7">
      <c r="A627" s="179"/>
      <c r="B627" s="179"/>
      <c r="C627" s="179"/>
      <c r="D627" s="35"/>
      <c r="E627" s="35"/>
      <c r="F627" s="35"/>
    </row>
    <row r="628" spans="1:7" ht="14.25">
      <c r="A628" s="176"/>
      <c r="B628" s="468" t="s">
        <v>307</v>
      </c>
      <c r="C628" s="179"/>
      <c r="D628" s="1295" t="s">
        <v>1192</v>
      </c>
      <c r="E628" s="1295"/>
      <c r="F628" s="1295"/>
    </row>
    <row r="629" spans="1:7" ht="14.25">
      <c r="A629" s="176"/>
      <c r="B629" s="176"/>
      <c r="C629" s="179"/>
      <c r="D629" s="1295"/>
      <c r="E629" s="1295"/>
      <c r="F629" s="1295"/>
    </row>
    <row r="630" spans="1:7" ht="14.25">
      <c r="A630" s="176"/>
      <c r="B630" s="176"/>
      <c r="C630" s="179"/>
      <c r="D630" s="1295"/>
      <c r="E630" s="1295"/>
      <c r="F630" s="1295"/>
    </row>
    <row r="631" spans="1:7">
      <c r="A631" s="179"/>
      <c r="B631" s="179"/>
      <c r="C631" s="179"/>
      <c r="D631" s="1295"/>
      <c r="E631" s="1295"/>
      <c r="F631" s="1295"/>
    </row>
    <row r="632" spans="1:7">
      <c r="A632" s="179"/>
      <c r="B632" s="179"/>
      <c r="C632" s="179"/>
      <c r="D632" s="479"/>
      <c r="E632" s="479"/>
      <c r="F632" s="479"/>
    </row>
    <row r="633" spans="1:7">
      <c r="A633" s="179"/>
      <c r="B633" s="468" t="s">
        <v>307</v>
      </c>
      <c r="C633" s="179"/>
      <c r="D633" s="1296" t="s">
        <v>1193</v>
      </c>
      <c r="E633" s="1296"/>
      <c r="F633" s="1296"/>
    </row>
    <row r="634" spans="1:7">
      <c r="A634" s="179"/>
      <c r="B634" s="179"/>
      <c r="C634" s="179"/>
      <c r="D634" s="480"/>
      <c r="E634" s="480"/>
      <c r="F634" s="480"/>
    </row>
    <row r="635" spans="1:7">
      <c r="A635" s="1283" t="s">
        <v>1084</v>
      </c>
      <c r="B635" s="1283"/>
      <c r="C635" s="1283"/>
      <c r="D635" s="1283"/>
      <c r="E635" s="1283"/>
      <c r="F635" s="1283"/>
      <c r="G635" s="1283"/>
    </row>
    <row r="636" spans="1:7">
      <c r="A636" s="35"/>
      <c r="B636" s="35"/>
      <c r="C636" s="179"/>
      <c r="D636" s="35"/>
      <c r="E636" s="35"/>
      <c r="F636" s="35"/>
    </row>
    <row r="637" spans="1:7">
      <c r="C637" s="172"/>
      <c r="D637" s="1284" t="s">
        <v>1243</v>
      </c>
      <c r="E637" s="1284"/>
      <c r="F637" s="1284"/>
    </row>
    <row r="638" spans="1:7">
      <c r="A638" s="175"/>
      <c r="B638" s="175"/>
      <c r="C638" s="175"/>
      <c r="D638" s="1279" t="s">
        <v>1244</v>
      </c>
      <c r="E638" s="1279"/>
      <c r="F638" s="1279"/>
    </row>
    <row r="639" spans="1:7">
      <c r="A639" s="175"/>
      <c r="B639" s="175"/>
      <c r="C639" s="175"/>
      <c r="D639" s="118"/>
      <c r="E639" s="118"/>
      <c r="F639" s="118"/>
    </row>
    <row r="640" spans="1:7" ht="14.45" customHeight="1">
      <c r="A640" s="176"/>
      <c r="B640" s="468" t="s">
        <v>307</v>
      </c>
      <c r="C640" s="179"/>
      <c r="D640" s="1268" t="s">
        <v>1245</v>
      </c>
      <c r="E640" s="1268"/>
      <c r="F640" s="1268"/>
    </row>
    <row r="641" spans="1:11" ht="14.25">
      <c r="A641" s="176"/>
      <c r="B641" s="176"/>
      <c r="C641" s="179"/>
      <c r="D641" s="1268"/>
      <c r="E641" s="1268"/>
      <c r="F641" s="1268"/>
    </row>
    <row r="642" spans="1:11" ht="14.25">
      <c r="A642" s="176"/>
      <c r="B642" s="176"/>
      <c r="C642" s="179"/>
      <c r="D642" s="1268"/>
      <c r="E642" s="1268"/>
      <c r="F642" s="1268"/>
    </row>
    <row r="643" spans="1:11" ht="14.25">
      <c r="A643" s="176"/>
      <c r="B643" s="176"/>
      <c r="C643" s="179"/>
      <c r="D643" s="1268"/>
      <c r="E643" s="1268"/>
      <c r="F643" s="1268"/>
    </row>
    <row r="644" spans="1:11" ht="14.25">
      <c r="A644" s="176"/>
      <c r="B644" s="176"/>
      <c r="C644" s="179"/>
      <c r="D644" s="1268"/>
      <c r="E644" s="1268"/>
      <c r="F644" s="1268"/>
    </row>
    <row r="645" spans="1:11" ht="14.25">
      <c r="A645" s="176"/>
      <c r="B645" s="176"/>
      <c r="C645" s="179"/>
      <c r="D645" s="474"/>
      <c r="E645" s="474"/>
      <c r="F645" s="474"/>
    </row>
    <row r="646" spans="1:11" ht="14.25">
      <c r="A646" s="176"/>
      <c r="B646" s="468" t="s">
        <v>307</v>
      </c>
      <c r="C646" s="179"/>
      <c r="D646" s="1307" t="s">
        <v>1095</v>
      </c>
      <c r="E646" s="1307"/>
      <c r="F646" s="1307"/>
    </row>
    <row r="647" spans="1:11" ht="14.25">
      <c r="A647" s="176"/>
      <c r="B647" s="176"/>
      <c r="C647" s="179"/>
      <c r="D647" s="1308" t="s">
        <v>1246</v>
      </c>
      <c r="E647" s="1308"/>
      <c r="F647" s="1308"/>
    </row>
    <row r="648" spans="1:11" ht="14.25">
      <c r="A648" s="176"/>
      <c r="B648" s="176"/>
      <c r="C648" s="179"/>
      <c r="D648" s="1308"/>
      <c r="E648" s="1308"/>
      <c r="F648" s="1308"/>
    </row>
    <row r="649" spans="1:11" ht="14.25">
      <c r="A649" s="176"/>
      <c r="B649" s="176"/>
      <c r="C649" s="179"/>
      <c r="D649" s="1308"/>
      <c r="E649" s="1308"/>
      <c r="F649" s="1308"/>
    </row>
    <row r="650" spans="1:11" ht="14.25">
      <c r="A650" s="176"/>
      <c r="B650" s="176"/>
      <c r="C650" s="179"/>
      <c r="D650" s="1308"/>
      <c r="E650" s="1308"/>
      <c r="F650" s="1308"/>
    </row>
    <row r="651" spans="1:11" ht="14.25">
      <c r="A651" s="176"/>
      <c r="B651" s="176"/>
      <c r="C651" s="179"/>
      <c r="D651" s="1308"/>
      <c r="E651" s="1308"/>
      <c r="F651" s="1308"/>
    </row>
    <row r="652" spans="1:11" ht="14.25">
      <c r="A652" s="176"/>
      <c r="B652" s="176"/>
      <c r="C652" s="179"/>
      <c r="D652" s="1309" t="s">
        <v>1247</v>
      </c>
      <c r="E652" s="1309"/>
      <c r="F652" s="1309"/>
    </row>
    <row r="653" spans="1:11">
      <c r="A653" s="179"/>
      <c r="B653" s="179"/>
      <c r="C653" s="179"/>
      <c r="D653" s="35"/>
      <c r="E653" s="35"/>
      <c r="F653" s="35"/>
    </row>
    <row r="654" spans="1:11">
      <c r="A654" s="1283" t="s">
        <v>1085</v>
      </c>
      <c r="B654" s="1283"/>
      <c r="C654" s="1283"/>
      <c r="D654" s="1283"/>
      <c r="E654" s="1283"/>
      <c r="F654" s="1283"/>
      <c r="G654" s="1283"/>
      <c r="H654" s="181"/>
      <c r="I654" s="181"/>
      <c r="J654" s="181"/>
      <c r="K654" s="181"/>
    </row>
    <row r="655" spans="1:11">
      <c r="A655" s="482"/>
      <c r="B655" s="482"/>
      <c r="C655" s="482"/>
      <c r="D655" s="482"/>
      <c r="E655" s="482"/>
      <c r="F655" s="482"/>
      <c r="G655" s="482"/>
      <c r="H655" s="181"/>
      <c r="I655" s="181"/>
      <c r="J655" s="181"/>
      <c r="K655" s="181"/>
    </row>
    <row r="656" spans="1:11">
      <c r="C656" s="172"/>
      <c r="D656" s="1284" t="s">
        <v>99</v>
      </c>
      <c r="E656" s="1284"/>
      <c r="F656" s="1284"/>
      <c r="H656" s="181"/>
      <c r="I656" s="181"/>
      <c r="J656" s="181"/>
      <c r="K656" s="181"/>
    </row>
    <row r="657" spans="1:11">
      <c r="A657" s="172"/>
      <c r="B657" s="172"/>
      <c r="C657" s="172"/>
      <c r="D657" s="1284" t="s">
        <v>123</v>
      </c>
      <c r="E657" s="1284"/>
      <c r="F657" s="1284"/>
      <c r="H657" s="181"/>
      <c r="I657" s="181"/>
      <c r="J657" s="181"/>
      <c r="K657" s="181"/>
    </row>
    <row r="658" spans="1:11">
      <c r="A658" s="175"/>
      <c r="B658" s="175"/>
      <c r="C658" s="175"/>
      <c r="D658" s="1279" t="s">
        <v>1121</v>
      </c>
      <c r="E658" s="1279"/>
      <c r="F658" s="1279"/>
      <c r="H658" s="181"/>
      <c r="I658" s="181"/>
      <c r="J658" s="181"/>
      <c r="K658" s="181"/>
    </row>
    <row r="659" spans="1:11">
      <c r="A659" s="175"/>
      <c r="B659" s="175"/>
      <c r="C659" s="175"/>
      <c r="H659" s="181"/>
      <c r="I659" s="181"/>
      <c r="J659" s="181"/>
      <c r="K659" s="181"/>
    </row>
    <row r="660" spans="1:11" ht="14.25">
      <c r="A660" s="176"/>
      <c r="B660" s="468" t="s">
        <v>307</v>
      </c>
      <c r="C660" s="175"/>
      <c r="D660" s="1279" t="s">
        <v>897</v>
      </c>
      <c r="E660" s="1279"/>
      <c r="F660" s="1279"/>
      <c r="H660" s="181"/>
      <c r="I660" s="181"/>
      <c r="J660" s="181"/>
      <c r="K660" s="181"/>
    </row>
    <row r="661" spans="1:11">
      <c r="A661" s="175"/>
      <c r="B661" s="175"/>
      <c r="C661" s="175"/>
      <c r="D661" s="1279" t="s">
        <v>907</v>
      </c>
      <c r="E661" s="1279"/>
      <c r="F661" s="1279"/>
      <c r="H661" s="181"/>
      <c r="I661" s="181"/>
      <c r="J661" s="181"/>
      <c r="K661" s="181"/>
    </row>
    <row r="662" spans="1:11">
      <c r="A662" s="175"/>
      <c r="B662" s="175"/>
      <c r="C662" s="175"/>
      <c r="D662" s="3"/>
      <c r="E662" s="1278" t="s">
        <v>1122</v>
      </c>
      <c r="F662" s="1278"/>
      <c r="H662" s="181"/>
      <c r="I662" s="181"/>
      <c r="J662" s="181"/>
      <c r="K662" s="181"/>
    </row>
    <row r="663" spans="1:11">
      <c r="A663" s="175"/>
      <c r="B663" s="175"/>
      <c r="C663" s="175"/>
      <c r="D663" s="3"/>
      <c r="E663" s="1278"/>
      <c r="F663" s="1278"/>
      <c r="H663" s="181"/>
      <c r="I663" s="181"/>
      <c r="J663" s="181"/>
      <c r="K663" s="181"/>
    </row>
    <row r="664" spans="1:11">
      <c r="A664" s="175"/>
      <c r="B664" s="175"/>
      <c r="C664" s="175"/>
      <c r="D664" s="182"/>
      <c r="E664" s="35"/>
      <c r="H664" s="181"/>
      <c r="I664" s="181"/>
      <c r="J664" s="181"/>
      <c r="K664" s="181"/>
    </row>
    <row r="665" spans="1:11" ht="14.25">
      <c r="A665" s="176"/>
      <c r="B665" s="468" t="s">
        <v>307</v>
      </c>
      <c r="C665" s="175"/>
      <c r="D665" s="1268" t="s">
        <v>1123</v>
      </c>
      <c r="E665" s="1268"/>
      <c r="F665" s="1268"/>
      <c r="H665" s="181"/>
      <c r="I665" s="181"/>
      <c r="J665" s="181"/>
      <c r="K665" s="181"/>
    </row>
    <row r="666" spans="1:11">
      <c r="A666" s="13"/>
      <c r="B666" s="13"/>
      <c r="C666" s="175"/>
      <c r="D666" s="1268"/>
      <c r="E666" s="1268"/>
      <c r="F666" s="1268"/>
      <c r="H666" s="181"/>
      <c r="I666" s="181"/>
      <c r="J666" s="181"/>
      <c r="K666" s="181"/>
    </row>
    <row r="667" spans="1:11">
      <c r="A667" s="175"/>
      <c r="B667" s="175"/>
      <c r="C667" s="175"/>
      <c r="D667" s="1268"/>
      <c r="E667" s="1268"/>
      <c r="F667" s="1268"/>
      <c r="H667" s="181"/>
      <c r="I667" s="181"/>
      <c r="J667" s="181"/>
      <c r="K667" s="181"/>
    </row>
    <row r="668" spans="1:11">
      <c r="A668" s="175"/>
      <c r="B668" s="175"/>
      <c r="C668" s="175"/>
      <c r="H668" s="181"/>
      <c r="I668" s="181"/>
      <c r="J668" s="181"/>
      <c r="K668" s="181"/>
    </row>
    <row r="669" spans="1:11" ht="14.25">
      <c r="A669" s="176"/>
      <c r="B669" s="468" t="s">
        <v>307</v>
      </c>
      <c r="C669" s="175"/>
      <c r="D669" s="1279" t="s">
        <v>935</v>
      </c>
      <c r="E669" s="1279"/>
      <c r="F669" s="1279"/>
      <c r="H669" s="181"/>
      <c r="I669" s="181"/>
      <c r="J669" s="181"/>
      <c r="K669" s="181"/>
    </row>
    <row r="670" spans="1:11" ht="14.25">
      <c r="A670" s="176"/>
      <c r="B670" s="176"/>
      <c r="C670" s="175"/>
      <c r="D670" s="1279" t="s">
        <v>907</v>
      </c>
      <c r="E670" s="1279"/>
      <c r="F670" s="1279"/>
      <c r="H670" s="181"/>
      <c r="I670" s="181"/>
      <c r="J670" s="181"/>
      <c r="K670" s="181"/>
    </row>
    <row r="671" spans="1:11">
      <c r="A671" s="175"/>
      <c r="B671" s="175"/>
      <c r="C671" s="175"/>
      <c r="D671" s="3"/>
      <c r="E671" s="1290" t="s">
        <v>1124</v>
      </c>
      <c r="F671" s="1290"/>
      <c r="H671" s="181"/>
      <c r="I671" s="181"/>
      <c r="J671" s="181"/>
      <c r="K671" s="181"/>
    </row>
    <row r="672" spans="1:11">
      <c r="A672" s="175"/>
      <c r="B672" s="175"/>
      <c r="C672" s="175"/>
      <c r="D672" s="2"/>
      <c r="H672" s="181"/>
      <c r="I672" s="181"/>
      <c r="J672" s="181"/>
      <c r="K672" s="181"/>
    </row>
    <row r="673" spans="1:11" ht="14.25">
      <c r="A673" s="176"/>
      <c r="B673" s="468" t="s">
        <v>307</v>
      </c>
      <c r="C673" s="175"/>
      <c r="D673" s="1268" t="s">
        <v>1134</v>
      </c>
      <c r="E673" s="1268"/>
      <c r="F673" s="1268"/>
      <c r="H673" s="181"/>
      <c r="I673" s="181"/>
      <c r="J673" s="181"/>
      <c r="K673" s="181"/>
    </row>
    <row r="674" spans="1:11">
      <c r="A674" s="175"/>
      <c r="B674" s="175"/>
      <c r="C674" s="175"/>
      <c r="D674" s="1268"/>
      <c r="E674" s="1268"/>
      <c r="F674" s="1268"/>
      <c r="H674" s="181"/>
      <c r="I674" s="181"/>
      <c r="J674" s="181"/>
      <c r="K674" s="181"/>
    </row>
    <row r="675" spans="1:11">
      <c r="A675" s="175"/>
      <c r="B675" s="175"/>
      <c r="C675" s="175"/>
      <c r="D675" s="1268"/>
      <c r="E675" s="1268"/>
      <c r="F675" s="1268"/>
      <c r="H675" s="181"/>
      <c r="I675" s="181"/>
      <c r="J675" s="181"/>
      <c r="K675" s="181"/>
    </row>
    <row r="676" spans="1:11">
      <c r="A676" s="175"/>
      <c r="B676" s="175"/>
      <c r="C676" s="175"/>
      <c r="D676" s="1268"/>
      <c r="E676" s="1268"/>
      <c r="F676" s="1268"/>
      <c r="H676" s="181"/>
      <c r="I676" s="181"/>
      <c r="J676" s="181"/>
      <c r="K676" s="181"/>
    </row>
    <row r="677" spans="1:11">
      <c r="A677" s="175"/>
      <c r="B677" s="175"/>
      <c r="C677" s="175"/>
      <c r="D677" s="1268"/>
      <c r="E677" s="1268"/>
      <c r="F677" s="1268"/>
      <c r="H677" s="181"/>
      <c r="I677" s="181"/>
      <c r="J677" s="181"/>
      <c r="K677" s="181"/>
    </row>
    <row r="678" spans="1:11">
      <c r="A678" s="175"/>
      <c r="B678" s="175"/>
      <c r="C678" s="175"/>
      <c r="D678" s="1268"/>
      <c r="E678" s="1268"/>
      <c r="F678" s="1268"/>
      <c r="H678" s="181"/>
      <c r="I678" s="181"/>
      <c r="J678" s="181"/>
      <c r="K678" s="181"/>
    </row>
    <row r="679" spans="1:11">
      <c r="A679" s="175"/>
      <c r="B679" s="175"/>
      <c r="C679" s="175"/>
      <c r="D679" s="474"/>
      <c r="E679" s="474"/>
      <c r="F679" s="474"/>
      <c r="H679" s="181"/>
      <c r="I679" s="181"/>
      <c r="J679" s="181"/>
      <c r="K679" s="181"/>
    </row>
    <row r="680" spans="1:11" ht="14.25">
      <c r="A680" s="176"/>
      <c r="B680" s="468" t="s">
        <v>307</v>
      </c>
      <c r="C680" s="175"/>
      <c r="D680" s="1268" t="s">
        <v>1125</v>
      </c>
      <c r="E680" s="1268"/>
      <c r="F680" s="1268"/>
      <c r="H680" s="181"/>
      <c r="I680" s="181"/>
      <c r="J680" s="181"/>
      <c r="K680" s="181"/>
    </row>
    <row r="681" spans="1:11">
      <c r="A681" s="175"/>
      <c r="B681" s="175"/>
      <c r="C681" s="175"/>
      <c r="D681" s="1268"/>
      <c r="E681" s="1268"/>
      <c r="F681" s="1268"/>
      <c r="H681" s="181"/>
      <c r="I681" s="181"/>
      <c r="J681" s="181"/>
      <c r="K681" s="181"/>
    </row>
    <row r="682" spans="1:11">
      <c r="A682" s="175"/>
      <c r="B682" s="175"/>
      <c r="C682" s="175"/>
      <c r="D682" s="1268"/>
      <c r="E682" s="1268"/>
      <c r="F682" s="1268"/>
      <c r="H682" s="181"/>
      <c r="I682" s="181"/>
      <c r="J682" s="181"/>
      <c r="K682" s="181"/>
    </row>
    <row r="683" spans="1:11" ht="15" customHeight="1">
      <c r="A683" s="175"/>
      <c r="B683" s="175"/>
      <c r="C683" s="175"/>
      <c r="D683" s="1268"/>
      <c r="E683" s="1268"/>
      <c r="F683" s="1268"/>
      <c r="H683" s="181"/>
      <c r="I683" s="181"/>
      <c r="J683" s="181"/>
      <c r="K683" s="181"/>
    </row>
    <row r="684" spans="1:11" ht="15" customHeight="1">
      <c r="A684" s="175"/>
      <c r="B684" s="175"/>
      <c r="C684" s="175"/>
      <c r="D684" s="1268"/>
      <c r="E684" s="1268"/>
      <c r="F684" s="1268"/>
      <c r="H684" s="181"/>
      <c r="I684" s="181"/>
      <c r="J684" s="181"/>
      <c r="K684" s="181"/>
    </row>
    <row r="685" spans="1:11">
      <c r="A685" s="175"/>
      <c r="B685" s="175"/>
      <c r="C685" s="175"/>
      <c r="D685" s="1268"/>
      <c r="E685" s="1268"/>
      <c r="F685" s="1268"/>
      <c r="H685" s="181"/>
      <c r="I685" s="181"/>
      <c r="J685" s="181"/>
      <c r="K685" s="181"/>
    </row>
    <row r="686" spans="1:11">
      <c r="A686" s="175"/>
      <c r="B686" s="175"/>
      <c r="C686" s="175"/>
      <c r="D686" s="1268"/>
      <c r="E686" s="1268"/>
      <c r="F686" s="1268"/>
      <c r="H686" s="181"/>
      <c r="I686" s="181"/>
      <c r="J686" s="181"/>
      <c r="K686" s="181"/>
    </row>
    <row r="687" spans="1:11">
      <c r="A687" s="175"/>
      <c r="B687" s="175"/>
      <c r="C687" s="175"/>
      <c r="D687" s="1268"/>
      <c r="E687" s="1268"/>
      <c r="F687" s="1268"/>
      <c r="H687" s="181"/>
      <c r="I687" s="181"/>
      <c r="J687" s="181"/>
      <c r="K687" s="181"/>
    </row>
    <row r="688" spans="1:11" ht="15" customHeight="1">
      <c r="A688" s="175"/>
      <c r="B688" s="175"/>
      <c r="C688" s="175"/>
      <c r="D688" s="1268"/>
      <c r="E688" s="1268"/>
      <c r="F688" s="1268"/>
      <c r="H688" s="181"/>
      <c r="I688" s="181"/>
      <c r="J688" s="181"/>
      <c r="K688" s="181"/>
    </row>
    <row r="689" spans="1:11">
      <c r="A689" s="175"/>
      <c r="B689" s="175"/>
      <c r="C689" s="175"/>
      <c r="D689" s="1268"/>
      <c r="E689" s="1268"/>
      <c r="F689" s="1268"/>
      <c r="H689" s="181"/>
      <c r="I689" s="181"/>
      <c r="J689" s="181"/>
      <c r="K689" s="181"/>
    </row>
    <row r="690" spans="1:11">
      <c r="A690" s="175"/>
      <c r="B690" s="175"/>
      <c r="C690" s="175"/>
      <c r="D690" s="1268"/>
      <c r="E690" s="1268"/>
      <c r="F690" s="1268"/>
      <c r="H690" s="181"/>
      <c r="I690" s="181"/>
      <c r="J690" s="181"/>
      <c r="K690" s="181"/>
    </row>
    <row r="691" spans="1:11">
      <c r="A691" s="175"/>
      <c r="B691" s="175"/>
      <c r="C691" s="175"/>
      <c r="D691" s="1268"/>
      <c r="E691" s="1268"/>
      <c r="F691" s="1268"/>
      <c r="H691" s="181"/>
      <c r="I691" s="181"/>
      <c r="J691" s="181"/>
      <c r="K691" s="181"/>
    </row>
    <row r="692" spans="1:11">
      <c r="A692" s="175"/>
      <c r="B692" s="175"/>
      <c r="C692" s="175"/>
      <c r="D692" s="474"/>
      <c r="E692" s="474"/>
      <c r="F692" s="474"/>
      <c r="H692" s="181"/>
      <c r="I692" s="181"/>
      <c r="J692" s="181"/>
      <c r="K692" s="181"/>
    </row>
    <row r="693" spans="1:11" ht="14.25">
      <c r="A693" s="176"/>
      <c r="B693" s="468" t="s">
        <v>307</v>
      </c>
      <c r="C693" s="175"/>
      <c r="D693" s="1268" t="s">
        <v>1135</v>
      </c>
      <c r="E693" s="1268"/>
      <c r="F693" s="1268"/>
      <c r="H693" s="181"/>
      <c r="I693" s="181"/>
      <c r="J693" s="181"/>
      <c r="K693" s="181"/>
    </row>
    <row r="694" spans="1:11">
      <c r="A694" s="175"/>
      <c r="B694" s="175"/>
      <c r="C694" s="175"/>
      <c r="D694" s="1268"/>
      <c r="E694" s="1268"/>
      <c r="F694" s="1268"/>
      <c r="H694" s="181"/>
      <c r="I694" s="181"/>
      <c r="J694" s="181"/>
      <c r="K694" s="181"/>
    </row>
    <row r="695" spans="1:11">
      <c r="A695" s="175"/>
      <c r="B695" s="175"/>
      <c r="C695" s="175"/>
      <c r="D695" s="1268"/>
      <c r="E695" s="1268"/>
      <c r="F695" s="1268"/>
      <c r="H695" s="181"/>
      <c r="I695" s="181"/>
      <c r="J695" s="181"/>
      <c r="K695" s="181"/>
    </row>
    <row r="696" spans="1:11">
      <c r="A696" s="175"/>
      <c r="B696" s="175"/>
      <c r="C696" s="175"/>
      <c r="D696" s="474"/>
      <c r="E696" s="474"/>
      <c r="F696" s="474"/>
      <c r="H696" s="181"/>
      <c r="I696" s="181"/>
      <c r="J696" s="181"/>
      <c r="K696" s="181"/>
    </row>
    <row r="697" spans="1:11">
      <c r="A697" s="175"/>
      <c r="B697" s="468" t="s">
        <v>307</v>
      </c>
      <c r="C697" s="175"/>
      <c r="D697" s="1268" t="s">
        <v>1132</v>
      </c>
      <c r="E697" s="1268"/>
      <c r="F697" s="1268"/>
      <c r="H697" s="181"/>
      <c r="I697" s="181"/>
      <c r="J697" s="181"/>
      <c r="K697" s="181"/>
    </row>
    <row r="698" spans="1:11">
      <c r="A698" s="175"/>
      <c r="B698" s="175"/>
      <c r="C698" s="175"/>
      <c r="D698" s="1268"/>
      <c r="E698" s="1268"/>
      <c r="F698" s="1268"/>
      <c r="H698" s="181"/>
      <c r="I698" s="181"/>
      <c r="J698" s="181"/>
      <c r="K698" s="181"/>
    </row>
    <row r="699" spans="1:11">
      <c r="A699" s="175"/>
      <c r="B699" s="175"/>
      <c r="C699" s="175"/>
      <c r="D699" s="474"/>
      <c r="E699" s="474"/>
      <c r="F699" s="474"/>
      <c r="H699" s="181"/>
      <c r="I699" s="181"/>
      <c r="J699" s="181"/>
      <c r="K699" s="181"/>
    </row>
    <row r="700" spans="1:11">
      <c r="A700" s="175"/>
      <c r="B700" s="468" t="s">
        <v>307</v>
      </c>
      <c r="C700" s="175"/>
      <c r="D700" s="1268" t="s">
        <v>1133</v>
      </c>
      <c r="E700" s="1268"/>
      <c r="F700" s="1268"/>
      <c r="H700" s="181"/>
      <c r="I700" s="181"/>
      <c r="J700" s="181"/>
      <c r="K700" s="181"/>
    </row>
    <row r="701" spans="1:11">
      <c r="A701" s="175"/>
      <c r="B701" s="175"/>
      <c r="C701" s="175"/>
      <c r="D701" s="1268"/>
      <c r="E701" s="1268"/>
      <c r="F701" s="1268"/>
      <c r="H701" s="181"/>
      <c r="I701" s="181"/>
      <c r="J701" s="181"/>
      <c r="K701" s="181"/>
    </row>
    <row r="702" spans="1:11">
      <c r="A702" s="175"/>
      <c r="B702" s="175"/>
      <c r="C702" s="175"/>
      <c r="D702" s="1268"/>
      <c r="E702" s="1268"/>
      <c r="F702" s="1268"/>
      <c r="H702" s="181"/>
      <c r="I702" s="181"/>
      <c r="J702" s="181"/>
      <c r="K702" s="181"/>
    </row>
    <row r="703" spans="1:11">
      <c r="A703" s="175"/>
      <c r="B703" s="175"/>
      <c r="C703" s="175"/>
      <c r="D703" s="474"/>
      <c r="E703" s="474"/>
      <c r="F703" s="474"/>
      <c r="H703" s="181"/>
      <c r="I703" s="181"/>
      <c r="J703" s="181"/>
      <c r="K703" s="181"/>
    </row>
    <row r="704" spans="1:11">
      <c r="A704" s="175"/>
      <c r="B704" s="468" t="s">
        <v>307</v>
      </c>
      <c r="C704" s="175"/>
      <c r="D704" s="1268" t="s">
        <v>1126</v>
      </c>
      <c r="E704" s="1268"/>
      <c r="F704" s="1268"/>
      <c r="H704" s="181"/>
      <c r="I704" s="181"/>
      <c r="J704" s="181"/>
      <c r="K704" s="181"/>
    </row>
    <row r="705" spans="1:11">
      <c r="A705" s="175"/>
      <c r="B705" s="175"/>
      <c r="C705" s="175"/>
      <c r="D705" s="1268"/>
      <c r="E705" s="1268"/>
      <c r="F705" s="1268"/>
      <c r="H705" s="181"/>
      <c r="I705" s="181"/>
      <c r="J705" s="181"/>
      <c r="K705" s="181"/>
    </row>
    <row r="706" spans="1:11">
      <c r="A706" s="175"/>
      <c r="B706" s="175"/>
      <c r="C706" s="175"/>
      <c r="D706" s="1268"/>
      <c r="E706" s="1268"/>
      <c r="F706" s="1268"/>
      <c r="H706" s="181"/>
      <c r="I706" s="181"/>
      <c r="J706" s="181"/>
      <c r="K706" s="181"/>
    </row>
    <row r="707" spans="1:11">
      <c r="A707" s="175"/>
      <c r="B707" s="175"/>
      <c r="C707" s="175"/>
      <c r="H707" s="181"/>
      <c r="I707" s="181"/>
      <c r="J707" s="181"/>
      <c r="K707" s="181"/>
    </row>
    <row r="708" spans="1:11">
      <c r="A708" s="175"/>
      <c r="B708" s="468" t="s">
        <v>307</v>
      </c>
      <c r="C708" s="175"/>
      <c r="D708" s="1268" t="s">
        <v>1127</v>
      </c>
      <c r="E708" s="1268"/>
      <c r="F708" s="1268"/>
      <c r="H708" s="181"/>
      <c r="I708" s="181"/>
      <c r="J708" s="181"/>
      <c r="K708" s="181"/>
    </row>
    <row r="709" spans="1:11">
      <c r="A709" s="175"/>
      <c r="B709" s="175"/>
      <c r="C709" s="175"/>
      <c r="D709" s="1268"/>
      <c r="E709" s="1268"/>
      <c r="F709" s="1268"/>
      <c r="H709" s="181"/>
      <c r="I709" s="181"/>
      <c r="J709" s="181"/>
      <c r="K709" s="181"/>
    </row>
    <row r="710" spans="1:11">
      <c r="A710" s="175"/>
      <c r="B710" s="175"/>
      <c r="C710" s="175"/>
      <c r="D710" s="1268"/>
      <c r="E710" s="1268"/>
      <c r="F710" s="1268"/>
      <c r="H710" s="181"/>
      <c r="I710" s="181"/>
      <c r="J710" s="181"/>
      <c r="K710" s="181"/>
    </row>
    <row r="711" spans="1:11">
      <c r="A711" s="175"/>
      <c r="B711" s="175"/>
      <c r="C711" s="175"/>
      <c r="D711"/>
      <c r="H711" s="181"/>
      <c r="I711" s="181"/>
      <c r="J711" s="181"/>
      <c r="K711" s="181"/>
    </row>
    <row r="712" spans="1:11" ht="14.25">
      <c r="A712" s="176"/>
      <c r="B712" s="468" t="s">
        <v>307</v>
      </c>
      <c r="C712" s="175"/>
      <c r="D712" s="1268" t="s">
        <v>1128</v>
      </c>
      <c r="E712" s="1268"/>
      <c r="F712" s="1268"/>
      <c r="H712" s="181"/>
      <c r="I712" s="181"/>
      <c r="J712" s="181"/>
      <c r="K712" s="181"/>
    </row>
    <row r="713" spans="1:11">
      <c r="A713" s="175"/>
      <c r="B713" s="175"/>
      <c r="C713" s="175"/>
      <c r="D713" s="1268"/>
      <c r="E713" s="1268"/>
      <c r="F713" s="1268"/>
      <c r="H713" s="181"/>
      <c r="I713" s="181"/>
      <c r="J713" s="181"/>
      <c r="K713" s="181"/>
    </row>
    <row r="714" spans="1:11">
      <c r="A714" s="175"/>
      <c r="B714" s="175"/>
      <c r="C714" s="175"/>
      <c r="D714" s="1268"/>
      <c r="E714" s="1268"/>
      <c r="F714" s="1268"/>
      <c r="H714" s="181"/>
      <c r="I714" s="181"/>
      <c r="J714" s="181"/>
      <c r="K714" s="181"/>
    </row>
    <row r="715" spans="1:11">
      <c r="A715" s="175"/>
      <c r="B715" s="175"/>
      <c r="C715" s="175"/>
      <c r="D715" s="1268"/>
      <c r="E715" s="1268"/>
      <c r="F715" s="1268"/>
      <c r="H715" s="181"/>
      <c r="I715" s="181"/>
      <c r="J715" s="181"/>
      <c r="K715" s="181"/>
    </row>
    <row r="716" spans="1:11">
      <c r="A716" s="175"/>
      <c r="B716" s="175"/>
      <c r="C716" s="175"/>
      <c r="D716" s="178"/>
      <c r="H716" s="181"/>
      <c r="I716" s="181"/>
      <c r="J716" s="181"/>
      <c r="K716" s="181"/>
    </row>
    <row r="717" spans="1:11" ht="14.25">
      <c r="A717" s="176"/>
      <c r="B717" s="468" t="s">
        <v>307</v>
      </c>
      <c r="C717" s="175"/>
      <c r="D717" s="1268" t="s">
        <v>1261</v>
      </c>
      <c r="E717" s="1268"/>
      <c r="F717" s="1268"/>
      <c r="H717" s="181"/>
      <c r="I717" s="181"/>
      <c r="J717" s="181"/>
      <c r="K717" s="181"/>
    </row>
    <row r="718" spans="1:11">
      <c r="A718" s="175"/>
      <c r="B718" s="175"/>
      <c r="C718" s="175"/>
      <c r="D718" s="1268"/>
      <c r="E718" s="1268"/>
      <c r="F718" s="1268"/>
      <c r="H718" s="181"/>
      <c r="I718" s="181"/>
      <c r="J718" s="181"/>
      <c r="K718" s="181"/>
    </row>
    <row r="719" spans="1:11">
      <c r="A719" s="175"/>
      <c r="B719" s="175"/>
      <c r="C719" s="175"/>
      <c r="D719" s="1268"/>
      <c r="E719" s="1268"/>
      <c r="F719" s="1268"/>
      <c r="H719" s="181"/>
      <c r="I719" s="181"/>
      <c r="J719" s="181"/>
      <c r="K719" s="181"/>
    </row>
    <row r="720" spans="1:11">
      <c r="A720" s="175"/>
      <c r="B720" s="175"/>
      <c r="C720" s="175"/>
      <c r="D720" s="1268"/>
      <c r="E720" s="1268"/>
      <c r="F720" s="1268"/>
      <c r="H720" s="181"/>
      <c r="I720" s="181"/>
      <c r="J720" s="181"/>
      <c r="K720" s="181"/>
    </row>
    <row r="721" spans="1:11">
      <c r="A721" s="175"/>
      <c r="B721" s="175"/>
      <c r="C721" s="175"/>
      <c r="D721" s="1268"/>
      <c r="E721" s="1268"/>
      <c r="F721" s="1268"/>
      <c r="H721" s="181"/>
      <c r="I721" s="181"/>
      <c r="J721" s="181"/>
      <c r="K721" s="181"/>
    </row>
    <row r="722" spans="1:11">
      <c r="A722" s="175"/>
      <c r="B722" s="175"/>
      <c r="C722" s="175"/>
      <c r="D722" s="1268"/>
      <c r="E722" s="1268"/>
      <c r="F722" s="1268"/>
      <c r="H722" s="181"/>
      <c r="I722" s="181"/>
      <c r="J722" s="181"/>
      <c r="K722" s="181"/>
    </row>
    <row r="723" spans="1:11">
      <c r="A723" s="175"/>
      <c r="B723" s="175"/>
      <c r="C723" s="175"/>
      <c r="D723" s="1268"/>
      <c r="E723" s="1268"/>
      <c r="F723" s="1268"/>
      <c r="H723" s="181"/>
      <c r="I723" s="181"/>
      <c r="J723" s="181"/>
      <c r="K723" s="181"/>
    </row>
    <row r="724" spans="1:11">
      <c r="A724" s="175"/>
      <c r="B724" s="175"/>
      <c r="C724" s="175"/>
      <c r="D724" s="1312" t="s">
        <v>1129</v>
      </c>
      <c r="E724" s="1312"/>
      <c r="F724" s="1312"/>
      <c r="H724" s="181"/>
      <c r="I724" s="181"/>
      <c r="J724" s="181"/>
      <c r="K724" s="181"/>
    </row>
    <row r="725" spans="1:11">
      <c r="A725" s="175"/>
      <c r="B725" s="175"/>
      <c r="C725" s="175"/>
      <c r="D725" s="369"/>
      <c r="H725" s="181"/>
      <c r="I725" s="181"/>
      <c r="J725" s="181"/>
      <c r="K725" s="181"/>
    </row>
    <row r="726" spans="1:11">
      <c r="A726" s="1314" t="s">
        <v>1086</v>
      </c>
      <c r="B726" s="1314"/>
      <c r="C726" s="1314"/>
      <c r="D726" s="1314"/>
      <c r="E726" s="1314"/>
      <c r="F726" s="1314"/>
      <c r="G726" s="1314"/>
      <c r="H726" s="181"/>
      <c r="I726" s="181"/>
      <c r="J726" s="181"/>
      <c r="K726" s="181"/>
    </row>
    <row r="727" spans="1:11">
      <c r="A727" s="175"/>
      <c r="B727" s="175"/>
      <c r="C727" s="175"/>
      <c r="D727" s="178"/>
      <c r="G727" s="183"/>
      <c r="H727" s="181"/>
      <c r="I727" s="181"/>
      <c r="J727" s="181"/>
      <c r="K727" s="181"/>
    </row>
    <row r="728" spans="1:11" ht="13.35" customHeight="1">
      <c r="C728" s="175"/>
      <c r="D728" s="1301" t="s">
        <v>1102</v>
      </c>
      <c r="E728" s="1301"/>
      <c r="F728" s="1301"/>
      <c r="G728" s="183"/>
      <c r="H728" s="181"/>
      <c r="I728" s="181"/>
      <c r="J728" s="181"/>
      <c r="K728" s="181"/>
    </row>
    <row r="729" spans="1:11">
      <c r="A729" s="175"/>
      <c r="B729" s="175"/>
      <c r="C729" s="175"/>
      <c r="D729" s="1311" t="s">
        <v>1103</v>
      </c>
      <c r="E729" s="1311"/>
      <c r="F729" s="1311"/>
      <c r="G729" s="183"/>
      <c r="H729" s="181"/>
      <c r="I729" s="181"/>
      <c r="J729" s="181"/>
      <c r="K729" s="181"/>
    </row>
    <row r="730" spans="1:11">
      <c r="A730" s="175"/>
      <c r="B730" s="175"/>
      <c r="C730" s="175"/>
      <c r="G730" s="183"/>
      <c r="H730" s="181"/>
      <c r="I730" s="181"/>
      <c r="J730" s="181"/>
      <c r="K730" s="181"/>
    </row>
    <row r="731" spans="1:11" ht="14.25">
      <c r="A731" s="176"/>
      <c r="B731" s="468" t="s">
        <v>307</v>
      </c>
      <c r="D731" s="1268" t="s">
        <v>1104</v>
      </c>
      <c r="E731" s="1268"/>
      <c r="F731" s="1268"/>
      <c r="G731" s="183"/>
      <c r="H731" s="181"/>
      <c r="I731" s="181"/>
      <c r="J731" s="181"/>
      <c r="K731" s="181"/>
    </row>
    <row r="732" spans="1:11" ht="10.5" customHeight="1">
      <c r="D732" s="1268"/>
      <c r="E732" s="1268"/>
      <c r="F732" s="1268"/>
      <c r="G732" s="183"/>
      <c r="H732" s="181"/>
      <c r="I732" s="181"/>
      <c r="J732" s="181"/>
      <c r="K732" s="181"/>
    </row>
    <row r="733" spans="1:11">
      <c r="D733" s="1268"/>
      <c r="E733" s="1268"/>
      <c r="F733" s="1268"/>
      <c r="G733" s="183"/>
      <c r="H733" s="181"/>
      <c r="I733" s="181"/>
      <c r="J733" s="181"/>
      <c r="K733" s="181"/>
    </row>
    <row r="734" spans="1:11">
      <c r="D734" s="1268"/>
      <c r="E734" s="1268"/>
      <c r="F734" s="1268"/>
      <c r="G734" s="183"/>
      <c r="H734" s="181"/>
      <c r="I734" s="181"/>
      <c r="J734" s="181"/>
      <c r="K734" s="181"/>
    </row>
    <row r="735" spans="1:11">
      <c r="D735" s="1268"/>
      <c r="E735" s="1268"/>
      <c r="F735" s="1268"/>
      <c r="G735" s="183"/>
      <c r="H735" s="181"/>
      <c r="I735" s="181"/>
      <c r="J735" s="181"/>
      <c r="K735" s="181"/>
    </row>
    <row r="736" spans="1:11" ht="15.6" customHeight="1">
      <c r="D736" s="1268"/>
      <c r="E736" s="1268"/>
      <c r="F736" s="1268"/>
      <c r="G736" s="183"/>
      <c r="H736" s="181"/>
      <c r="I736" s="181"/>
      <c r="J736" s="181"/>
      <c r="K736" s="181"/>
    </row>
    <row r="737" spans="1:11">
      <c r="D737" s="255"/>
      <c r="E737" s="35"/>
      <c r="F737" s="35"/>
      <c r="G737" s="183"/>
      <c r="H737" s="181"/>
      <c r="I737" s="181"/>
      <c r="J737" s="181"/>
      <c r="K737" s="181"/>
    </row>
    <row r="738" spans="1:11" s="274" customFormat="1" ht="14.25">
      <c r="A738" s="272"/>
      <c r="B738" s="468" t="s">
        <v>307</v>
      </c>
      <c r="C738" s="273"/>
      <c r="D738" s="1268" t="s">
        <v>1105</v>
      </c>
      <c r="E738" s="1268"/>
      <c r="F738" s="1268"/>
      <c r="G738" s="210"/>
    </row>
    <row r="739" spans="1:11" s="274" customFormat="1">
      <c r="A739" s="273"/>
      <c r="B739" s="273"/>
      <c r="C739" s="273"/>
      <c r="D739" s="1268"/>
      <c r="E739" s="1268"/>
      <c r="F739" s="1268"/>
      <c r="G739" s="210"/>
    </row>
    <row r="740" spans="1:11" s="274" customFormat="1">
      <c r="A740" s="273"/>
      <c r="B740" s="273"/>
      <c r="C740" s="273"/>
      <c r="D740" s="1268"/>
      <c r="E740" s="1268"/>
      <c r="F740" s="1268"/>
      <c r="G740" s="210"/>
    </row>
    <row r="741" spans="1:11" s="274" customFormat="1">
      <c r="A741" s="273"/>
      <c r="B741" s="273"/>
      <c r="C741" s="273"/>
      <c r="D741" s="1268"/>
      <c r="E741" s="1268"/>
      <c r="F741" s="1268"/>
      <c r="G741" s="210"/>
    </row>
    <row r="742" spans="1:11" s="274" customFormat="1">
      <c r="A742" s="273"/>
      <c r="B742" s="273"/>
      <c r="C742" s="273"/>
      <c r="D742" s="255"/>
      <c r="E742" s="210"/>
      <c r="F742" s="210"/>
      <c r="G742" s="210"/>
    </row>
    <row r="743" spans="1:11" s="274" customFormat="1" ht="14.25">
      <c r="A743" s="176"/>
      <c r="B743" s="468" t="s">
        <v>307</v>
      </c>
      <c r="C743" s="273"/>
      <c r="D743" s="1308" t="s">
        <v>1106</v>
      </c>
      <c r="E743" s="1308"/>
      <c r="F743" s="1308"/>
      <c r="G743" s="210"/>
    </row>
    <row r="744" spans="1:11" s="274" customFormat="1">
      <c r="A744" s="273"/>
      <c r="B744" s="273"/>
      <c r="C744" s="273"/>
      <c r="D744" s="1308"/>
      <c r="E744" s="1308"/>
      <c r="F744" s="1308"/>
      <c r="G744" s="210"/>
    </row>
    <row r="745" spans="1:11" s="274" customFormat="1">
      <c r="A745" s="273"/>
      <c r="B745" s="273"/>
      <c r="C745" s="273"/>
      <c r="D745" s="1308"/>
      <c r="E745" s="1308"/>
      <c r="F745" s="1308"/>
      <c r="G745" s="210"/>
    </row>
    <row r="746" spans="1:11">
      <c r="D746" s="255"/>
      <c r="E746" s="35"/>
      <c r="F746" s="35"/>
      <c r="G746" s="183"/>
      <c r="H746" s="181"/>
      <c r="I746" s="181"/>
      <c r="J746" s="181"/>
      <c r="K746" s="181"/>
    </row>
    <row r="747" spans="1:11" ht="14.25">
      <c r="A747" s="176"/>
      <c r="B747" s="468" t="s">
        <v>307</v>
      </c>
      <c r="D747" s="1268" t="s">
        <v>1107</v>
      </c>
      <c r="E747" s="1268"/>
      <c r="F747" s="1268"/>
      <c r="G747" s="183"/>
      <c r="H747" s="181"/>
      <c r="I747" s="181"/>
      <c r="J747" s="181"/>
      <c r="K747" s="181"/>
    </row>
    <row r="748" spans="1:11">
      <c r="D748" s="1268"/>
      <c r="E748" s="1268"/>
      <c r="F748" s="1268"/>
      <c r="G748" s="183"/>
      <c r="H748" s="181"/>
      <c r="I748" s="181"/>
      <c r="J748" s="181"/>
      <c r="K748" s="181"/>
    </row>
    <row r="749" spans="1:11">
      <c r="D749" s="474"/>
      <c r="E749" s="474"/>
      <c r="F749" s="474"/>
      <c r="G749" s="183"/>
      <c r="H749" s="181"/>
      <c r="I749" s="181"/>
      <c r="J749" s="181"/>
      <c r="K749" s="181"/>
    </row>
    <row r="750" spans="1:11">
      <c r="B750" s="468" t="s">
        <v>307</v>
      </c>
      <c r="D750" s="1268" t="s">
        <v>1108</v>
      </c>
      <c r="E750" s="1268"/>
      <c r="F750" s="1268"/>
      <c r="G750" s="183"/>
      <c r="H750" s="181"/>
      <c r="I750" s="181"/>
      <c r="J750" s="181"/>
      <c r="K750" s="181"/>
    </row>
    <row r="751" spans="1:11">
      <c r="D751" s="1268"/>
      <c r="E751" s="1268"/>
      <c r="F751" s="1268"/>
      <c r="G751" s="183"/>
      <c r="H751" s="181"/>
      <c r="I751" s="181"/>
      <c r="J751" s="181"/>
      <c r="K751" s="181"/>
    </row>
    <row r="752" spans="1:11">
      <c r="D752" s="1268"/>
      <c r="E752" s="1268"/>
      <c r="F752" s="1268"/>
      <c r="G752" s="183"/>
      <c r="H752" s="181"/>
      <c r="I752" s="181"/>
      <c r="J752" s="181"/>
      <c r="K752" s="181"/>
    </row>
    <row r="753" spans="1:11">
      <c r="D753" s="474"/>
      <c r="E753" s="474"/>
      <c r="F753" s="474"/>
      <c r="G753" s="183"/>
      <c r="H753" s="181"/>
      <c r="I753" s="181"/>
      <c r="J753" s="181"/>
      <c r="K753" s="181"/>
    </row>
    <row r="754" spans="1:11">
      <c r="A754" s="1283" t="s">
        <v>1109</v>
      </c>
      <c r="B754" s="1283"/>
      <c r="C754" s="1283"/>
      <c r="D754" s="1283"/>
      <c r="E754" s="1283"/>
      <c r="F754" s="1283"/>
      <c r="G754" s="1283"/>
    </row>
    <row r="755" spans="1:11">
      <c r="A755" s="175"/>
      <c r="B755" s="175"/>
      <c r="C755" s="175"/>
      <c r="D755" s="184"/>
      <c r="F755" s="35"/>
      <c r="G755" s="183"/>
    </row>
    <row r="756" spans="1:11">
      <c r="D756" s="1315" t="s">
        <v>1093</v>
      </c>
      <c r="E756" s="1315"/>
      <c r="F756" s="1315"/>
      <c r="G756" s="183"/>
    </row>
    <row r="757" spans="1:11">
      <c r="A757" s="345"/>
      <c r="B757" s="345"/>
      <c r="C757" s="345"/>
      <c r="D757" s="1298" t="s">
        <v>1110</v>
      </c>
      <c r="E757" s="1298"/>
      <c r="F757" s="1298"/>
      <c r="G757" s="183"/>
    </row>
    <row r="758" spans="1:11">
      <c r="D758" s="433"/>
      <c r="E758" s="433"/>
      <c r="F758" s="433"/>
      <c r="G758" s="183"/>
    </row>
    <row r="759" spans="1:11" ht="14.25">
      <c r="A759" s="176"/>
      <c r="B759" s="468" t="s">
        <v>307</v>
      </c>
      <c r="D759" s="1298" t="s">
        <v>1003</v>
      </c>
      <c r="E759" s="1298"/>
      <c r="F759" s="1298"/>
      <c r="G759" s="183"/>
    </row>
    <row r="760" spans="1:11">
      <c r="D760" s="433"/>
      <c r="E760" s="1310" t="s">
        <v>1094</v>
      </c>
      <c r="F760" s="1310"/>
      <c r="G760" s="183"/>
    </row>
    <row r="761" spans="1:11">
      <c r="A761" s="172"/>
      <c r="B761" s="172"/>
      <c r="C761" s="172"/>
      <c r="D761" s="35"/>
      <c r="G761" s="183"/>
    </row>
    <row r="762" spans="1:11">
      <c r="A762" s="1313" t="s">
        <v>448</v>
      </c>
      <c r="B762" s="1313"/>
      <c r="C762" s="1313"/>
      <c r="D762" s="1313"/>
      <c r="E762" s="1313"/>
      <c r="F762" s="1313"/>
      <c r="G762" s="1313"/>
    </row>
    <row r="763" spans="1:11">
      <c r="A763" s="172"/>
      <c r="B763" s="172"/>
      <c r="C763" s="179"/>
      <c r="D763" s="183"/>
      <c r="E763" s="183"/>
      <c r="F763" s="183"/>
      <c r="G763" s="183"/>
    </row>
    <row r="764" spans="1:11">
      <c r="A764" s="35"/>
      <c r="B764" s="1311" t="s">
        <v>1002</v>
      </c>
      <c r="C764" s="1311"/>
      <c r="D764" s="1311"/>
      <c r="E764" s="1311"/>
      <c r="F764" s="1311"/>
      <c r="G764" s="183"/>
    </row>
    <row r="765" spans="1:11">
      <c r="A765" s="13"/>
      <c r="B765" s="13"/>
      <c r="G765" s="183"/>
    </row>
    <row r="766" spans="1:11">
      <c r="A766" s="1313" t="s">
        <v>449</v>
      </c>
      <c r="B766" s="1313"/>
      <c r="C766" s="1313"/>
      <c r="D766" s="1313"/>
      <c r="E766" s="1313"/>
      <c r="F766" s="1313"/>
      <c r="G766" s="1313"/>
    </row>
    <row r="767" spans="1:11">
      <c r="A767" s="172"/>
      <c r="B767" s="172"/>
      <c r="C767" s="172"/>
      <c r="D767" s="178"/>
      <c r="G767" s="183"/>
    </row>
    <row r="768" spans="1:11">
      <c r="A768" s="35"/>
      <c r="B768" s="1279" t="s">
        <v>447</v>
      </c>
      <c r="C768" s="1279"/>
      <c r="D768" s="1279"/>
      <c r="E768" s="1279"/>
      <c r="F768" s="1279"/>
      <c r="G768" s="183"/>
    </row>
    <row r="769" spans="1:7" ht="14.25">
      <c r="A769" s="176"/>
      <c r="B769" s="176"/>
      <c r="D769" s="35"/>
      <c r="E769" s="35"/>
      <c r="F769" s="183"/>
      <c r="G769" s="183"/>
    </row>
    <row r="770" spans="1:7">
      <c r="A770" s="1313" t="s">
        <v>450</v>
      </c>
      <c r="B770" s="1313"/>
      <c r="C770" s="1313"/>
      <c r="D770" s="1313"/>
      <c r="E770" s="1313"/>
      <c r="F770" s="1313"/>
      <c r="G770" s="1313"/>
    </row>
    <row r="771" spans="1:7">
      <c r="C771" s="175"/>
      <c r="D771" s="173"/>
      <c r="E771" s="35"/>
      <c r="F771" s="183"/>
      <c r="G771" s="183"/>
    </row>
    <row r="772" spans="1:7">
      <c r="A772" s="35"/>
      <c r="B772" s="1279" t="s">
        <v>447</v>
      </c>
      <c r="C772" s="1279"/>
      <c r="D772" s="1279"/>
      <c r="E772" s="1279"/>
      <c r="F772" s="1279"/>
      <c r="G772" s="183"/>
    </row>
    <row r="773" spans="1:7">
      <c r="A773" s="35"/>
      <c r="B773" s="35"/>
      <c r="C773" s="179"/>
      <c r="D773" s="183"/>
      <c r="E773" s="183"/>
      <c r="F773" s="183"/>
      <c r="G773" s="183"/>
    </row>
    <row r="774" spans="1:7">
      <c r="A774" s="1313" t="s">
        <v>451</v>
      </c>
      <c r="B774" s="1313"/>
      <c r="C774" s="1313"/>
      <c r="D774" s="1313"/>
      <c r="E774" s="1313"/>
      <c r="F774" s="1313"/>
      <c r="G774" s="1313"/>
    </row>
    <row r="775" spans="1:7">
      <c r="A775" s="35"/>
      <c r="B775" s="35"/>
    </row>
    <row r="776" spans="1:7">
      <c r="A776" s="35"/>
      <c r="B776" s="1279" t="s">
        <v>447</v>
      </c>
      <c r="C776" s="1279"/>
      <c r="D776" s="1279"/>
      <c r="E776" s="1279"/>
      <c r="F776" s="1279"/>
    </row>
    <row r="777" spans="1:7">
      <c r="A777" s="179"/>
      <c r="B777" s="179"/>
      <c r="C777" s="179"/>
      <c r="D777" s="174"/>
      <c r="F777" s="183"/>
    </row>
    <row r="778" spans="1:7">
      <c r="A778" s="1313" t="s">
        <v>452</v>
      </c>
      <c r="B778" s="1313"/>
      <c r="C778" s="1313"/>
      <c r="D778" s="1313"/>
      <c r="E778" s="1313"/>
      <c r="F778" s="1313"/>
      <c r="G778" s="1313"/>
    </row>
    <row r="779" spans="1:7">
      <c r="A779" s="35"/>
      <c r="B779" s="35"/>
    </row>
    <row r="780" spans="1:7">
      <c r="A780" s="35"/>
      <c r="B780" s="1279" t="s">
        <v>447</v>
      </c>
      <c r="C780" s="1279"/>
      <c r="D780" s="1279"/>
      <c r="E780" s="1279"/>
      <c r="F780" s="1279"/>
    </row>
    <row r="781" spans="1:7">
      <c r="A781" s="179"/>
      <c r="B781" s="179"/>
      <c r="C781" s="179"/>
      <c r="D781" s="174"/>
      <c r="F781" s="183"/>
    </row>
    <row r="782" spans="1:7">
      <c r="A782" s="1313" t="s">
        <v>453</v>
      </c>
      <c r="B782" s="1313"/>
      <c r="C782" s="1313"/>
      <c r="D782" s="1313"/>
      <c r="E782" s="1313"/>
      <c r="F782" s="1313"/>
      <c r="G782" s="1313"/>
    </row>
    <row r="783" spans="1:7">
      <c r="A783" s="35"/>
      <c r="B783" s="35"/>
    </row>
    <row r="784" spans="1:7">
      <c r="A784" s="35"/>
      <c r="B784" s="1279" t="s">
        <v>447</v>
      </c>
      <c r="C784" s="1279"/>
      <c r="D784" s="1279"/>
      <c r="E784" s="1279"/>
      <c r="F784" s="1279"/>
    </row>
    <row r="785" spans="1:7">
      <c r="D785" s="174"/>
    </row>
    <row r="786" spans="1:7">
      <c r="A786" s="1313" t="s">
        <v>186</v>
      </c>
      <c r="B786" s="1313"/>
      <c r="C786" s="1313"/>
      <c r="D786" s="1313"/>
      <c r="E786" s="1313"/>
      <c r="F786" s="1313"/>
      <c r="G786" s="1313"/>
    </row>
    <row r="787" spans="1:7">
      <c r="A787" s="35"/>
      <c r="B787" s="35"/>
    </row>
    <row r="788" spans="1:7">
      <c r="A788" s="35"/>
      <c r="B788" s="1279" t="s">
        <v>447</v>
      </c>
      <c r="C788" s="1279"/>
      <c r="D788" s="1279"/>
      <c r="E788" s="1279"/>
      <c r="F788" s="1279"/>
    </row>
    <row r="789" spans="1:7">
      <c r="A789" s="35"/>
      <c r="B789" s="35"/>
      <c r="D789" s="174"/>
    </row>
    <row r="790" spans="1:7">
      <c r="A790" s="1313" t="s">
        <v>884</v>
      </c>
      <c r="B790" s="1313"/>
      <c r="C790" s="1313"/>
      <c r="D790" s="1313"/>
      <c r="E790" s="1313"/>
      <c r="F790" s="1313"/>
      <c r="G790" s="1313"/>
    </row>
    <row r="791" spans="1:7">
      <c r="A791" s="35"/>
      <c r="B791" s="35"/>
    </row>
    <row r="792" spans="1:7">
      <c r="A792" s="35"/>
      <c r="B792" s="1279" t="s">
        <v>447</v>
      </c>
      <c r="C792" s="1279"/>
      <c r="D792" s="1279"/>
      <c r="E792" s="1279"/>
      <c r="F792" s="1279"/>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4"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topLeftCell="A44" workbookViewId="0">
      <selection activeCell="A11" sqref="A11:J16"/>
    </sheetView>
  </sheetViews>
  <sheetFormatPr defaultColWidth="0" defaultRowHeight="12.6" customHeight="1" zeroHeight="1"/>
  <cols>
    <col min="1" max="10" width="10.7109375" style="433" customWidth="1"/>
    <col min="11" max="16384" width="8.85546875" style="433" hidden="1"/>
  </cols>
  <sheetData>
    <row r="1" spans="1:10" ht="14.25" customHeight="1"/>
    <row r="2" spans="1:10" ht="15.75">
      <c r="A2" s="1319" t="s">
        <v>2058</v>
      </c>
      <c r="B2" s="1320"/>
      <c r="C2" s="1320"/>
      <c r="D2" s="1320"/>
      <c r="E2" s="1320"/>
      <c r="F2" s="1320"/>
      <c r="G2" s="1320"/>
      <c r="H2" s="1320"/>
      <c r="I2" s="1320"/>
      <c r="J2" s="1320"/>
    </row>
    <row r="3" spans="1:10" ht="15">
      <c r="A3" s="1323" t="s">
        <v>1376</v>
      </c>
      <c r="B3" s="1324"/>
      <c r="C3" s="1324"/>
      <c r="D3" s="1324"/>
      <c r="E3" s="1324"/>
      <c r="F3" s="1324"/>
      <c r="G3" s="1324"/>
      <c r="H3" s="1324"/>
      <c r="I3" s="1324"/>
      <c r="J3" s="1324"/>
    </row>
    <row r="4" spans="1:10" ht="12.75"/>
    <row r="5" spans="1:10" ht="12.75" customHeight="1">
      <c r="A5" s="1321" t="s">
        <v>2359</v>
      </c>
      <c r="B5" s="1321"/>
      <c r="C5" s="1321"/>
      <c r="D5" s="1321"/>
      <c r="E5" s="1321"/>
      <c r="F5" s="1321"/>
      <c r="G5" s="1321"/>
      <c r="H5" s="1321"/>
      <c r="I5" s="1321"/>
      <c r="J5" s="1321"/>
    </row>
    <row r="6" spans="1:10" ht="12.75">
      <c r="A6" s="1321"/>
      <c r="B6" s="1321"/>
      <c r="C6" s="1321"/>
      <c r="D6" s="1321"/>
      <c r="E6" s="1321"/>
      <c r="F6" s="1321"/>
      <c r="G6" s="1321"/>
      <c r="H6" s="1321"/>
      <c r="I6" s="1321"/>
      <c r="J6" s="1321"/>
    </row>
    <row r="7" spans="1:10" ht="30" customHeight="1">
      <c r="A7" s="1321"/>
      <c r="B7" s="1321"/>
      <c r="C7" s="1321"/>
      <c r="D7" s="1321"/>
      <c r="E7" s="1321"/>
      <c r="F7" s="1321"/>
      <c r="G7" s="1321"/>
      <c r="H7" s="1321"/>
      <c r="I7" s="1321"/>
      <c r="J7" s="1321"/>
    </row>
    <row r="8" spans="1:10" ht="12.75">
      <c r="A8" s="447"/>
      <c r="B8" s="447"/>
      <c r="C8" s="447"/>
      <c r="D8" s="447"/>
      <c r="E8" s="447"/>
      <c r="F8" s="447"/>
      <c r="G8" s="447"/>
      <c r="H8" s="447"/>
      <c r="I8" s="447"/>
      <c r="J8" s="447"/>
    </row>
    <row r="9" spans="1:10" ht="12.75" customHeight="1">
      <c r="A9" s="433" t="s">
        <v>2061</v>
      </c>
      <c r="B9" s="447"/>
      <c r="C9" s="447"/>
      <c r="D9" s="447"/>
      <c r="E9" s="447"/>
      <c r="F9" s="447"/>
      <c r="G9" s="447"/>
      <c r="H9" s="447"/>
      <c r="I9" s="447"/>
      <c r="J9" s="447"/>
    </row>
    <row r="10" spans="1:10" ht="12.75"/>
    <row r="11" spans="1:10" ht="12.75" customHeight="1">
      <c r="A11" s="1325" t="s">
        <v>2063</v>
      </c>
      <c r="B11" s="1325"/>
      <c r="C11" s="1325"/>
      <c r="D11" s="1325"/>
      <c r="E11" s="1325"/>
      <c r="F11" s="1325"/>
      <c r="G11" s="1325"/>
      <c r="H11" s="1325"/>
      <c r="I11" s="1325"/>
      <c r="J11" s="1325"/>
    </row>
    <row r="12" spans="1:10" ht="12.75">
      <c r="A12" s="1325"/>
      <c r="B12" s="1325"/>
      <c r="C12" s="1325"/>
      <c r="D12" s="1325"/>
      <c r="E12" s="1325"/>
      <c r="F12" s="1325"/>
      <c r="G12" s="1325"/>
      <c r="H12" s="1325"/>
      <c r="I12" s="1325"/>
      <c r="J12" s="1325"/>
    </row>
    <row r="13" spans="1:10" ht="12.75">
      <c r="A13" s="1325"/>
      <c r="B13" s="1325"/>
      <c r="C13" s="1325"/>
      <c r="D13" s="1325"/>
      <c r="E13" s="1325"/>
      <c r="F13" s="1325"/>
      <c r="G13" s="1325"/>
      <c r="H13" s="1325"/>
      <c r="I13" s="1325"/>
      <c r="J13" s="1325"/>
    </row>
    <row r="14" spans="1:10" ht="12.75">
      <c r="A14" s="1325"/>
      <c r="B14" s="1325"/>
      <c r="C14" s="1325"/>
      <c r="D14" s="1325"/>
      <c r="E14" s="1325"/>
      <c r="F14" s="1325"/>
      <c r="G14" s="1325"/>
      <c r="H14" s="1325"/>
      <c r="I14" s="1325"/>
      <c r="J14" s="1325"/>
    </row>
    <row r="15" spans="1:10" ht="12.75">
      <c r="A15" s="1325"/>
      <c r="B15" s="1325"/>
      <c r="C15" s="1325"/>
      <c r="D15" s="1325"/>
      <c r="E15" s="1325"/>
      <c r="F15" s="1325"/>
      <c r="G15" s="1325"/>
      <c r="H15" s="1325"/>
      <c r="I15" s="1325"/>
      <c r="J15" s="1325"/>
    </row>
    <row r="16" spans="1:10" ht="12.75">
      <c r="A16" s="1325"/>
      <c r="B16" s="1325"/>
      <c r="C16" s="1325"/>
      <c r="D16" s="1325"/>
      <c r="E16" s="1325"/>
      <c r="F16" s="1325"/>
      <c r="G16" s="1325"/>
      <c r="H16" s="1325"/>
      <c r="I16" s="1325"/>
      <c r="J16" s="1325"/>
    </row>
    <row r="17" spans="1:10" ht="12.75">
      <c r="A17" s="558"/>
      <c r="B17" s="558"/>
      <c r="C17" s="558"/>
      <c r="D17" s="558"/>
      <c r="E17" s="558"/>
      <c r="F17" s="558"/>
      <c r="G17" s="558"/>
      <c r="H17" s="558"/>
      <c r="I17" s="558"/>
      <c r="J17" s="558"/>
    </row>
    <row r="18" spans="1:10" ht="12.75">
      <c r="A18" s="510" t="s">
        <v>2062</v>
      </c>
      <c r="B18" s="447"/>
      <c r="C18" s="447"/>
      <c r="D18" s="447"/>
      <c r="E18" s="447"/>
      <c r="F18" s="447"/>
      <c r="G18" s="447"/>
      <c r="H18" s="447"/>
      <c r="I18" s="447"/>
      <c r="J18" s="447"/>
    </row>
    <row r="19" spans="1:10" ht="12.75">
      <c r="A19" s="447" t="s">
        <v>250</v>
      </c>
      <c r="B19" s="447"/>
      <c r="C19" s="447"/>
      <c r="D19" s="447"/>
      <c r="E19" s="447"/>
      <c r="F19" s="447"/>
      <c r="G19" s="447"/>
      <c r="H19" s="447"/>
      <c r="I19" s="447"/>
      <c r="J19" s="447"/>
    </row>
    <row r="20" spans="1:10" ht="12.75">
      <c r="A20" s="1324" t="s">
        <v>1293</v>
      </c>
      <c r="B20" s="1324"/>
      <c r="C20" s="1324"/>
      <c r="D20" s="1324"/>
      <c r="E20" s="1324"/>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21" t="s">
        <v>1294</v>
      </c>
      <c r="B57" s="1321"/>
      <c r="C57" s="1321"/>
      <c r="D57" s="1321"/>
      <c r="E57" s="1321"/>
      <c r="F57" s="1321"/>
      <c r="G57" s="1321"/>
      <c r="H57" s="1321"/>
      <c r="I57" s="1321"/>
      <c r="J57" s="1321"/>
    </row>
    <row r="58" spans="1:10" ht="12.75">
      <c r="A58" s="1321"/>
      <c r="B58" s="1321"/>
      <c r="C58" s="1321"/>
      <c r="D58" s="1321"/>
      <c r="E58" s="1321"/>
      <c r="F58" s="1321"/>
      <c r="G58" s="1321"/>
      <c r="H58" s="1321"/>
      <c r="I58" s="1321"/>
      <c r="J58" s="1321"/>
    </row>
    <row r="59" spans="1:10" ht="12.75">
      <c r="A59" s="1321"/>
      <c r="B59" s="1321"/>
      <c r="C59" s="1321"/>
      <c r="D59" s="1321"/>
      <c r="E59" s="1321"/>
      <c r="F59" s="1321"/>
      <c r="G59" s="1321"/>
      <c r="H59" s="1321"/>
      <c r="I59" s="1321"/>
      <c r="J59" s="1321"/>
    </row>
    <row r="60" spans="1:10" ht="12.75"/>
    <row r="61" spans="1:10" ht="12.75">
      <c r="A61" s="433" t="s">
        <v>1293</v>
      </c>
    </row>
    <row r="62" spans="1:10" ht="12.75"/>
    <row r="63" spans="1:10" ht="12.75"/>
    <row r="64" spans="1:10" ht="12.75"/>
    <row r="65" spans="1:9" ht="12.75"/>
    <row r="66" spans="1:9" ht="12.75"/>
    <row r="67" spans="1:9" ht="12.75"/>
    <row r="68" spans="1:9" ht="12.75"/>
    <row r="69" spans="1:9" ht="12.75"/>
    <row r="70" spans="1:9" ht="12.75"/>
    <row r="71" spans="1:9" ht="12.75"/>
    <row r="72" spans="1:9" ht="12.75">
      <c r="A72" s="1322" t="s">
        <v>2059</v>
      </c>
      <c r="B72" s="1322"/>
      <c r="C72" s="1322"/>
      <c r="D72" s="1322"/>
      <c r="E72" s="1322"/>
      <c r="F72" s="1322"/>
      <c r="G72" s="1322"/>
      <c r="H72" s="1322"/>
      <c r="I72" s="1322"/>
    </row>
    <row r="73" spans="1:9" ht="12.75">
      <c r="A73" s="1274" t="s">
        <v>2357</v>
      </c>
      <c r="B73" s="1274"/>
      <c r="C73" s="1274"/>
      <c r="D73" s="1274"/>
      <c r="E73" s="1274"/>
    </row>
    <row r="74" spans="1:9" ht="12.75">
      <c r="A74" s="1274" t="s">
        <v>2358</v>
      </c>
      <c r="B74" s="1274"/>
      <c r="C74" s="1274"/>
      <c r="D74" s="1274"/>
      <c r="E74" s="1274"/>
    </row>
    <row r="75" spans="1:9" ht="12.75">
      <c r="A75" s="1274" t="s">
        <v>2060</v>
      </c>
      <c r="B75" s="1274"/>
      <c r="C75" s="1274"/>
      <c r="D75" s="1274"/>
      <c r="E75" s="1274"/>
    </row>
    <row r="76" spans="1:9" ht="12.75"/>
    <row r="77" spans="1:9" ht="12.75"/>
    <row r="78" spans="1:9" ht="12.75"/>
    <row r="79" spans="1:9" ht="12.6" customHeight="1"/>
    <row r="80" spans="1:9" ht="12.6" customHeight="1"/>
    <row r="81" ht="12.6" customHeight="1"/>
    <row r="82" ht="12.6" customHeight="1"/>
    <row r="83" ht="12.6" customHeight="1"/>
    <row r="84" ht="12.6" customHeight="1"/>
    <row r="85" ht="12.6"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104775</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view="pageBreakPreview" topLeftCell="A914" zoomScale="130" zoomScaleNormal="100" zoomScaleSheetLayoutView="130" workbookViewId="0">
      <selection activeCell="D1064" sqref="D1064"/>
    </sheetView>
  </sheetViews>
  <sheetFormatPr defaultColWidth="0" defaultRowHeight="12.75" zeroHeight="1"/>
  <cols>
    <col min="1" max="1" width="3.42578125" style="514" customWidth="1"/>
    <col min="2" max="2" width="13.42578125" style="514" customWidth="1"/>
    <col min="3" max="3" width="2.42578125" style="514" customWidth="1"/>
    <col min="4" max="5" width="3.42578125" style="433" customWidth="1"/>
    <col min="6" max="6" width="65.42578125" style="433" customWidth="1"/>
    <col min="7" max="7" width="1.42578125" style="433" customWidth="1"/>
    <col min="8" max="8" width="3.42578125" style="433" customWidth="1"/>
    <col min="9" max="9" width="24.42578125" style="435" customWidth="1"/>
    <col min="10" max="10" width="8.85546875" style="433" customWidth="1"/>
    <col min="11" max="16384" width="8.85546875" style="433" hidden="1"/>
  </cols>
  <sheetData>
    <row r="1" spans="1:13"/>
    <row r="2" spans="1:13">
      <c r="A2" s="1351" t="s">
        <v>2581</v>
      </c>
      <c r="B2" s="1351"/>
      <c r="C2" s="1351"/>
      <c r="D2" s="1351"/>
      <c r="E2" s="1351"/>
      <c r="F2" s="1351"/>
      <c r="G2" s="1351"/>
      <c r="H2" s="1351"/>
      <c r="I2" s="1351"/>
    </row>
    <row r="3" spans="1:13">
      <c r="A3" s="1339" t="s">
        <v>2627</v>
      </c>
      <c r="B3" s="1339"/>
      <c r="C3" s="1339"/>
      <c r="D3" s="1339"/>
      <c r="E3" s="1339"/>
      <c r="F3" s="1339"/>
      <c r="G3" s="1339"/>
      <c r="H3" s="1339"/>
      <c r="I3" s="1339"/>
    </row>
    <row r="4" spans="1:13">
      <c r="A4" s="1339"/>
      <c r="B4" s="1339"/>
      <c r="C4" s="1324"/>
      <c r="D4" s="1324"/>
      <c r="E4" s="1324"/>
      <c r="F4" s="1324"/>
      <c r="G4" s="1324"/>
    </row>
    <row r="5" spans="1:13">
      <c r="A5" s="1339"/>
      <c r="B5" s="1339"/>
      <c r="C5" s="1324"/>
      <c r="D5" s="1324"/>
      <c r="E5" s="1324"/>
      <c r="F5" s="1324"/>
      <c r="G5" s="1324"/>
    </row>
    <row r="6" spans="1:13" ht="12.75" customHeight="1">
      <c r="A6" s="1342" t="s">
        <v>2626</v>
      </c>
      <c r="B6" s="1342"/>
      <c r="C6" s="1342"/>
      <c r="D6" s="1342"/>
      <c r="E6" s="1342"/>
      <c r="F6" s="1342"/>
      <c r="G6" s="1342"/>
      <c r="I6" s="524" t="s">
        <v>2069</v>
      </c>
    </row>
    <row r="7" spans="1:13">
      <c r="A7" s="1342"/>
      <c r="B7" s="1342"/>
      <c r="C7" s="1342"/>
      <c r="D7" s="1342"/>
      <c r="E7" s="1342"/>
      <c r="F7" s="1342"/>
      <c r="G7" s="1342"/>
      <c r="I7" s="524" t="s">
        <v>2070</v>
      </c>
    </row>
    <row r="8" spans="1:13">
      <c r="A8" s="515"/>
      <c r="B8" s="515"/>
      <c r="C8" s="516"/>
      <c r="D8" s="516"/>
      <c r="E8" s="516"/>
      <c r="F8" s="516"/>
    </row>
    <row r="9" spans="1:13">
      <c r="A9" s="1283" t="s">
        <v>1166</v>
      </c>
      <c r="B9" s="1283"/>
      <c r="C9" s="1283"/>
      <c r="D9" s="1283"/>
      <c r="E9" s="1283"/>
      <c r="F9" s="1283"/>
      <c r="G9" s="1283"/>
      <c r="H9" s="1063"/>
      <c r="I9" s="1064"/>
    </row>
    <row r="10" spans="1:13">
      <c r="A10" s="516"/>
      <c r="B10" s="516"/>
      <c r="E10" s="435"/>
    </row>
    <row r="11" spans="1:13" ht="13.7" customHeight="1">
      <c r="C11" s="516"/>
      <c r="D11" s="1341" t="s">
        <v>1165</v>
      </c>
      <c r="E11" s="1341"/>
      <c r="F11" s="1341"/>
    </row>
    <row r="12" spans="1:13">
      <c r="C12" s="516"/>
      <c r="D12" s="1341"/>
      <c r="E12" s="1341"/>
      <c r="F12" s="1341"/>
    </row>
    <row r="13" spans="1:13">
      <c r="A13" s="517"/>
      <c r="B13" s="517"/>
      <c r="C13" s="517"/>
      <c r="D13" s="1296" t="s">
        <v>1148</v>
      </c>
      <c r="E13" s="1296"/>
      <c r="F13" s="1296"/>
      <c r="M13" s="96"/>
    </row>
    <row r="14" spans="1:13">
      <c r="A14" s="517"/>
      <c r="B14" s="517"/>
      <c r="C14" s="517"/>
      <c r="D14" s="510"/>
      <c r="L14" s="336"/>
    </row>
    <row r="15" spans="1:13" ht="14.25">
      <c r="A15" s="518"/>
      <c r="B15" s="519" t="s">
        <v>2774</v>
      </c>
      <c r="C15" s="517"/>
      <c r="D15" s="1295" t="s">
        <v>2220</v>
      </c>
      <c r="E15" s="1295"/>
      <c r="F15" s="1295"/>
      <c r="I15" s="524" t="s">
        <v>2071</v>
      </c>
    </row>
    <row r="16" spans="1:13">
      <c r="A16" s="517"/>
      <c r="B16" s="517"/>
      <c r="C16" s="517"/>
      <c r="D16" s="1295"/>
      <c r="E16" s="1295"/>
      <c r="F16" s="1295"/>
      <c r="I16" s="524"/>
    </row>
    <row r="17" spans="1:9">
      <c r="A17" s="517"/>
      <c r="B17" s="517"/>
      <c r="C17" s="517"/>
      <c r="D17" s="1295"/>
      <c r="E17" s="1295"/>
      <c r="F17" s="1295"/>
      <c r="I17" s="524"/>
    </row>
    <row r="18" spans="1:9">
      <c r="A18" s="517"/>
      <c r="B18" s="517"/>
      <c r="C18" s="517"/>
      <c r="D18" s="479"/>
      <c r="E18" s="336" t="s">
        <v>2218</v>
      </c>
      <c r="F18" s="479"/>
      <c r="I18" s="524"/>
    </row>
    <row r="19" spans="1:9">
      <c r="A19" s="517"/>
      <c r="B19" s="517"/>
      <c r="C19" s="517"/>
      <c r="I19" s="524"/>
    </row>
    <row r="20" spans="1:9" ht="14.25">
      <c r="A20" s="518"/>
      <c r="B20" s="519" t="s">
        <v>2774</v>
      </c>
      <c r="D20" s="1295" t="s">
        <v>2221</v>
      </c>
      <c r="E20" s="1295"/>
      <c r="F20" s="1295"/>
      <c r="I20" s="524" t="s">
        <v>2072</v>
      </c>
    </row>
    <row r="21" spans="1:9" ht="14.25">
      <c r="A21" s="518"/>
      <c r="D21" s="1295"/>
      <c r="E21" s="1295"/>
      <c r="F21" s="1295"/>
      <c r="I21" s="524"/>
    </row>
    <row r="22" spans="1:9" ht="14.25">
      <c r="A22" s="518"/>
      <c r="D22" s="423"/>
      <c r="E22" s="96" t="s">
        <v>2217</v>
      </c>
      <c r="F22" s="423"/>
      <c r="I22" s="524"/>
    </row>
    <row r="23" spans="1:9" ht="14.25">
      <c r="A23" s="518"/>
      <c r="B23" s="518"/>
      <c r="D23" s="480"/>
      <c r="I23" s="524"/>
    </row>
    <row r="24" spans="1:9" ht="14.25">
      <c r="A24" s="518"/>
      <c r="B24" s="519" t="s">
        <v>2773</v>
      </c>
      <c r="D24" s="1295" t="s">
        <v>1151</v>
      </c>
      <c r="E24" s="1295"/>
      <c r="F24" s="1295"/>
      <c r="I24" s="524" t="s">
        <v>2072</v>
      </c>
    </row>
    <row r="25" spans="1:9" ht="14.25">
      <c r="A25" s="518"/>
      <c r="B25" s="518"/>
      <c r="D25" s="1295"/>
      <c r="E25" s="1295"/>
      <c r="F25" s="1295"/>
      <c r="I25" s="524"/>
    </row>
    <row r="26" spans="1:9">
      <c r="I26" s="524"/>
    </row>
    <row r="27" spans="1:9" ht="14.25">
      <c r="A27" s="518"/>
      <c r="B27" s="519" t="s">
        <v>2774</v>
      </c>
      <c r="D27" s="1295" t="s">
        <v>2360</v>
      </c>
      <c r="E27" s="1295"/>
      <c r="F27" s="1295"/>
      <c r="I27" s="524" t="s">
        <v>2075</v>
      </c>
    </row>
    <row r="28" spans="1:9">
      <c r="D28" s="1295"/>
      <c r="E28" s="1295"/>
      <c r="F28" s="1295"/>
      <c r="I28" s="524"/>
    </row>
    <row r="29" spans="1:9">
      <c r="D29" s="1295"/>
      <c r="E29" s="1295"/>
      <c r="F29" s="1295"/>
      <c r="I29" s="524"/>
    </row>
    <row r="30" spans="1:9">
      <c r="D30" s="1295"/>
      <c r="E30" s="1295"/>
      <c r="F30" s="1295"/>
      <c r="I30" s="524"/>
    </row>
    <row r="31" spans="1:9">
      <c r="D31" s="1295"/>
      <c r="E31" s="1295"/>
      <c r="F31" s="1295"/>
      <c r="I31" s="524"/>
    </row>
    <row r="32" spans="1:9">
      <c r="D32" s="481"/>
      <c r="I32" s="524"/>
    </row>
    <row r="33" spans="1:9">
      <c r="B33" s="519" t="s">
        <v>2773</v>
      </c>
      <c r="D33" s="1295" t="s">
        <v>2361</v>
      </c>
      <c r="E33" s="1295"/>
      <c r="F33" s="1295"/>
      <c r="I33" s="524" t="s">
        <v>2071</v>
      </c>
    </row>
    <row r="34" spans="1:9">
      <c r="D34" s="1295"/>
      <c r="E34" s="1295"/>
      <c r="F34" s="1295"/>
      <c r="I34" s="524"/>
    </row>
    <row r="35" spans="1:9" ht="14.25">
      <c r="A35" s="518"/>
      <c r="B35" s="518"/>
      <c r="D35" s="481"/>
      <c r="I35" s="524"/>
    </row>
    <row r="36" spans="1:9" ht="14.45" customHeight="1">
      <c r="A36" s="518"/>
      <c r="B36" s="519" t="s">
        <v>2773</v>
      </c>
      <c r="D36" s="1295" t="s">
        <v>1318</v>
      </c>
      <c r="E36" s="1295"/>
      <c r="F36" s="1295"/>
      <c r="I36" s="524" t="s">
        <v>2142</v>
      </c>
    </row>
    <row r="37" spans="1:9" ht="14.25">
      <c r="A37" s="518"/>
      <c r="B37" s="518"/>
      <c r="D37" s="1295"/>
      <c r="E37" s="1295"/>
      <c r="F37" s="1295"/>
      <c r="I37" s="524"/>
    </row>
    <row r="38" spans="1:9" ht="14.25">
      <c r="A38" s="518"/>
      <c r="B38" s="518"/>
      <c r="D38" s="1295"/>
      <c r="E38" s="1295"/>
      <c r="F38" s="1295"/>
      <c r="I38" s="524"/>
    </row>
    <row r="39" spans="1:9" ht="14.25">
      <c r="A39" s="518"/>
      <c r="B39" s="518"/>
      <c r="D39" s="1295"/>
      <c r="E39" s="1295"/>
      <c r="F39" s="1295"/>
      <c r="I39" s="524"/>
    </row>
    <row r="40" spans="1:9" ht="14.25">
      <c r="A40" s="518"/>
      <c r="B40" s="518"/>
      <c r="I40" s="524"/>
    </row>
    <row r="41" spans="1:9" ht="14.25">
      <c r="A41" s="518"/>
      <c r="B41" s="519" t="s">
        <v>2773</v>
      </c>
      <c r="D41" s="1295" t="s">
        <v>1155</v>
      </c>
      <c r="E41" s="1295"/>
      <c r="F41" s="1295"/>
      <c r="I41" s="524"/>
    </row>
    <row r="42" spans="1:9" ht="14.25">
      <c r="A42" s="518"/>
      <c r="B42" s="518"/>
      <c r="D42" s="1295"/>
      <c r="E42" s="1295"/>
      <c r="F42" s="1295"/>
      <c r="I42" s="524"/>
    </row>
    <row r="43" spans="1:9" ht="14.25">
      <c r="A43" s="518"/>
      <c r="B43" s="518"/>
      <c r="D43" s="1295"/>
      <c r="E43" s="1295"/>
      <c r="F43" s="1295"/>
      <c r="I43" s="524"/>
    </row>
    <row r="44" spans="1:9" ht="14.25">
      <c r="A44" s="518"/>
      <c r="B44" s="518"/>
      <c r="D44" s="1295"/>
      <c r="E44" s="1295"/>
      <c r="F44" s="1295"/>
      <c r="I44" s="524"/>
    </row>
    <row r="45" spans="1:9" ht="14.25">
      <c r="A45" s="518"/>
      <c r="B45" s="518"/>
      <c r="D45" s="1295"/>
      <c r="E45" s="1295"/>
      <c r="F45" s="1295"/>
      <c r="I45" s="524"/>
    </row>
    <row r="46" spans="1:9" ht="14.25">
      <c r="A46" s="518"/>
      <c r="B46" s="518"/>
      <c r="D46" s="479"/>
      <c r="E46" s="479"/>
      <c r="F46" s="479"/>
      <c r="I46" s="524"/>
    </row>
    <row r="47" spans="1:9" ht="14.25">
      <c r="A47" s="518"/>
      <c r="B47" s="519" t="s">
        <v>2773</v>
      </c>
      <c r="D47" s="1295" t="s">
        <v>1156</v>
      </c>
      <c r="E47" s="1295"/>
      <c r="F47" s="1295"/>
      <c r="I47" s="524" t="s">
        <v>2142</v>
      </c>
    </row>
    <row r="48" spans="1:9" ht="14.25">
      <c r="A48" s="518"/>
      <c r="B48" s="518"/>
      <c r="D48" s="1295"/>
      <c r="E48" s="1295"/>
      <c r="F48" s="1295"/>
      <c r="I48" s="524"/>
    </row>
    <row r="49" spans="1:9" ht="14.25">
      <c r="A49" s="518"/>
      <c r="B49" s="518"/>
      <c r="D49" s="1295"/>
      <c r="E49" s="1295"/>
      <c r="F49" s="1295"/>
      <c r="I49" s="524"/>
    </row>
    <row r="50" spans="1:9" ht="23.25" customHeight="1">
      <c r="A50" s="518"/>
      <c r="B50" s="518"/>
      <c r="D50" s="1295"/>
      <c r="E50" s="1295"/>
      <c r="F50" s="1295"/>
      <c r="I50" s="524"/>
    </row>
    <row r="51" spans="1:9" ht="14.25">
      <c r="A51" s="518"/>
      <c r="B51" s="518"/>
      <c r="D51" s="480"/>
      <c r="I51" s="524"/>
    </row>
    <row r="52" spans="1:9" ht="14.45" customHeight="1">
      <c r="A52" s="518"/>
      <c r="B52" s="519" t="s">
        <v>2773</v>
      </c>
      <c r="D52" s="1295" t="s">
        <v>1157</v>
      </c>
      <c r="E52" s="1295"/>
      <c r="F52" s="1295"/>
      <c r="I52" s="524" t="s">
        <v>2142</v>
      </c>
    </row>
    <row r="53" spans="1:9" ht="14.25">
      <c r="A53" s="518"/>
      <c r="B53" s="518"/>
      <c r="D53" s="1295"/>
      <c r="E53" s="1295"/>
      <c r="F53" s="1295"/>
      <c r="I53" s="524"/>
    </row>
    <row r="54" spans="1:9" ht="14.25">
      <c r="A54" s="518"/>
      <c r="B54" s="518"/>
      <c r="D54" s="1295"/>
      <c r="E54" s="1295"/>
      <c r="F54" s="1295"/>
      <c r="I54" s="524"/>
    </row>
    <row r="55" spans="1:9" ht="14.25">
      <c r="A55" s="518"/>
      <c r="B55" s="518"/>
      <c r="I55" s="524"/>
    </row>
    <row r="56" spans="1:9" ht="14.25">
      <c r="A56" s="518"/>
      <c r="B56" s="519" t="s">
        <v>2774</v>
      </c>
      <c r="D56" s="1344" t="s">
        <v>1158</v>
      </c>
      <c r="E56" s="1344"/>
      <c r="F56" s="1344"/>
      <c r="I56" s="524"/>
    </row>
    <row r="57" spans="1:9" ht="14.25">
      <c r="A57" s="518"/>
      <c r="B57" s="518"/>
      <c r="D57" s="1344"/>
      <c r="E57" s="1344"/>
      <c r="F57" s="1344"/>
      <c r="I57" s="524"/>
    </row>
    <row r="58" spans="1:9" ht="14.25">
      <c r="A58" s="518"/>
      <c r="B58" s="518"/>
      <c r="D58" s="423" t="s">
        <v>2219</v>
      </c>
      <c r="E58" s="479"/>
      <c r="F58" s="479"/>
      <c r="I58" s="524"/>
    </row>
    <row r="59" spans="1:9" ht="14.25">
      <c r="A59" s="518"/>
      <c r="B59" s="518"/>
      <c r="D59" s="479"/>
      <c r="E59" s="336" t="s">
        <v>2218</v>
      </c>
      <c r="F59" s="479"/>
      <c r="I59" s="524"/>
    </row>
    <row r="60" spans="1:9">
      <c r="D60" s="481"/>
      <c r="I60" s="524"/>
    </row>
    <row r="61" spans="1:9" ht="14.25">
      <c r="A61" s="518"/>
      <c r="B61" s="519" t="s">
        <v>2774</v>
      </c>
      <c r="D61" s="1295" t="s">
        <v>1159</v>
      </c>
      <c r="E61" s="1295"/>
      <c r="F61" s="1295"/>
      <c r="I61" s="524" t="s">
        <v>2073</v>
      </c>
    </row>
    <row r="62" spans="1:9">
      <c r="D62" s="1295"/>
      <c r="E62" s="1295"/>
      <c r="F62" s="1295"/>
      <c r="I62" s="524"/>
    </row>
    <row r="63" spans="1:9">
      <c r="D63" s="1295"/>
      <c r="E63" s="1295"/>
      <c r="F63" s="1295"/>
      <c r="I63" s="524"/>
    </row>
    <row r="64" spans="1:9">
      <c r="I64" s="524"/>
    </row>
    <row r="65" spans="1:9" ht="14.25">
      <c r="A65" s="518"/>
      <c r="B65" s="519" t="s">
        <v>2773</v>
      </c>
      <c r="D65" s="1295" t="s">
        <v>1160</v>
      </c>
      <c r="E65" s="1295"/>
      <c r="F65" s="1295"/>
      <c r="I65" s="524" t="s">
        <v>2074</v>
      </c>
    </row>
    <row r="66" spans="1:9">
      <c r="D66" s="1295"/>
      <c r="E66" s="1295"/>
      <c r="F66" s="1295"/>
      <c r="I66" s="524"/>
    </row>
    <row r="67" spans="1:9">
      <c r="I67" s="524"/>
    </row>
    <row r="68" spans="1:9" ht="14.25">
      <c r="A68" s="518"/>
      <c r="B68" s="519" t="s">
        <v>2773</v>
      </c>
      <c r="D68" s="1295" t="s">
        <v>1161</v>
      </c>
      <c r="E68" s="1295"/>
      <c r="F68" s="1295"/>
      <c r="I68" s="524"/>
    </row>
    <row r="69" spans="1:9">
      <c r="D69" s="1295"/>
      <c r="E69" s="1295"/>
      <c r="F69" s="1295"/>
      <c r="I69" s="524" t="s">
        <v>2075</v>
      </c>
    </row>
    <row r="70" spans="1:9">
      <c r="D70" s="1295"/>
      <c r="E70" s="1295"/>
      <c r="F70" s="1295"/>
      <c r="I70" s="524"/>
    </row>
    <row r="71" spans="1:9">
      <c r="I71" s="524"/>
    </row>
    <row r="72" spans="1:9" ht="14.25">
      <c r="A72" s="518"/>
      <c r="B72" s="519" t="s">
        <v>2774</v>
      </c>
      <c r="D72" s="1295" t="s">
        <v>1162</v>
      </c>
      <c r="E72" s="1295"/>
      <c r="F72" s="1295"/>
      <c r="I72" s="524" t="s">
        <v>2075</v>
      </c>
    </row>
    <row r="73" spans="1:9">
      <c r="D73" s="1295"/>
      <c r="E73" s="1295"/>
      <c r="F73" s="1295"/>
      <c r="I73" s="524"/>
    </row>
    <row r="74" spans="1:9" ht="14.25">
      <c r="A74" s="518"/>
      <c r="B74" s="518"/>
      <c r="D74" s="480"/>
      <c r="I74" s="524"/>
    </row>
    <row r="75" spans="1:9">
      <c r="A75" s="1283" t="s">
        <v>1069</v>
      </c>
      <c r="B75" s="1283"/>
      <c r="C75" s="1283"/>
      <c r="D75" s="1283"/>
      <c r="E75" s="1283"/>
      <c r="F75" s="1283"/>
      <c r="G75" s="1283"/>
      <c r="H75" s="1063"/>
      <c r="I75" s="1259"/>
    </row>
    <row r="76" spans="1:9">
      <c r="I76" s="524"/>
    </row>
    <row r="77" spans="1:9">
      <c r="C77" s="520"/>
      <c r="D77" s="1297" t="s">
        <v>1167</v>
      </c>
      <c r="E77" s="1297"/>
      <c r="F77" s="1297"/>
      <c r="I77" s="524"/>
    </row>
    <row r="78" spans="1:9">
      <c r="A78" s="480"/>
      <c r="B78" s="480"/>
      <c r="D78" s="1295" t="s">
        <v>1194</v>
      </c>
      <c r="E78" s="1295"/>
      <c r="F78" s="1295"/>
      <c r="I78" s="524"/>
    </row>
    <row r="79" spans="1:9">
      <c r="A79" s="480"/>
      <c r="B79" s="480"/>
      <c r="I79" s="524"/>
    </row>
    <row r="80" spans="1:9" ht="13.7" customHeight="1">
      <c r="A80" s="518"/>
      <c r="B80" s="519" t="s">
        <v>2774</v>
      </c>
      <c r="D80" s="1295" t="s">
        <v>1351</v>
      </c>
      <c r="E80" s="1295"/>
      <c r="F80" s="1295"/>
      <c r="I80" s="524" t="s">
        <v>2076</v>
      </c>
    </row>
    <row r="81" spans="1:9" ht="14.25">
      <c r="A81" s="518"/>
      <c r="B81" s="518"/>
      <c r="D81" s="1295"/>
      <c r="E81" s="1295"/>
      <c r="F81" s="1295"/>
      <c r="I81" s="524"/>
    </row>
    <row r="82" spans="1:9" ht="14.25">
      <c r="A82" s="518"/>
      <c r="B82" s="518"/>
      <c r="D82" s="1295"/>
      <c r="E82" s="1295"/>
      <c r="F82" s="1295"/>
      <c r="I82" s="524"/>
    </row>
    <row r="83" spans="1:9" ht="14.25">
      <c r="A83" s="518"/>
      <c r="B83" s="518"/>
      <c r="D83" s="1295"/>
      <c r="E83" s="1295"/>
      <c r="F83" s="1295"/>
      <c r="I83" s="524"/>
    </row>
    <row r="84" spans="1:9" ht="14.25">
      <c r="A84" s="518"/>
      <c r="B84" s="518"/>
      <c r="D84" s="1295"/>
      <c r="E84" s="1295"/>
      <c r="F84" s="1295"/>
      <c r="I84" s="524"/>
    </row>
    <row r="85" spans="1:9" ht="14.25">
      <c r="A85" s="518"/>
      <c r="B85" s="518"/>
      <c r="D85" s="1295"/>
      <c r="E85" s="1295"/>
      <c r="F85" s="1295"/>
      <c r="I85" s="524"/>
    </row>
    <row r="86" spans="1:9" ht="14.25">
      <c r="A86" s="518"/>
      <c r="B86" s="518"/>
      <c r="D86" s="1295"/>
      <c r="E86" s="1295"/>
      <c r="F86" s="1295"/>
      <c r="I86" s="524"/>
    </row>
    <row r="87" spans="1:9" ht="14.25">
      <c r="A87" s="518"/>
      <c r="B87" s="518"/>
      <c r="D87" s="1295"/>
      <c r="E87" s="1295"/>
      <c r="F87" s="1295"/>
      <c r="I87" s="524"/>
    </row>
    <row r="88" spans="1:9" ht="14.25">
      <c r="A88" s="518"/>
      <c r="B88" s="518"/>
      <c r="D88" s="416"/>
      <c r="E88" s="416"/>
      <c r="F88" s="416"/>
      <c r="I88" s="524"/>
    </row>
    <row r="89" spans="1:9" ht="15" customHeight="1">
      <c r="A89" s="518"/>
      <c r="B89" s="519" t="s">
        <v>2774</v>
      </c>
      <c r="D89" s="1295" t="s">
        <v>1930</v>
      </c>
      <c r="E89" s="1295"/>
      <c r="F89" s="1295"/>
      <c r="I89" s="524" t="s">
        <v>2077</v>
      </c>
    </row>
    <row r="90" spans="1:9" ht="14.25">
      <c r="A90" s="518"/>
      <c r="B90" s="518"/>
      <c r="D90" s="1295"/>
      <c r="E90" s="1295"/>
      <c r="F90" s="1295"/>
      <c r="I90" s="524"/>
    </row>
    <row r="91" spans="1:9" ht="14.25">
      <c r="A91" s="518"/>
      <c r="B91" s="518"/>
      <c r="D91" s="479"/>
      <c r="E91" s="479"/>
      <c r="F91" s="479"/>
      <c r="I91" s="524"/>
    </row>
    <row r="92" spans="1:9" ht="14.25">
      <c r="A92" s="518"/>
      <c r="B92" s="519" t="s">
        <v>2774</v>
      </c>
      <c r="D92" s="1295" t="s">
        <v>1933</v>
      </c>
      <c r="E92" s="1295"/>
      <c r="F92" s="1295"/>
      <c r="I92" s="524" t="s">
        <v>2078</v>
      </c>
    </row>
    <row r="93" spans="1:9" ht="14.25">
      <c r="A93" s="518"/>
      <c r="B93" s="518"/>
      <c r="D93" s="1295"/>
      <c r="E93" s="1295"/>
      <c r="F93" s="1295"/>
      <c r="I93" s="524"/>
    </row>
    <row r="94" spans="1:9" ht="14.25">
      <c r="A94" s="518"/>
      <c r="B94" s="518"/>
      <c r="D94" s="1295"/>
      <c r="E94" s="1295"/>
      <c r="F94" s="1295"/>
      <c r="I94" s="524"/>
    </row>
    <row r="95" spans="1:9" ht="14.25">
      <c r="A95" s="518"/>
      <c r="B95" s="518"/>
      <c r="D95" s="479"/>
      <c r="E95" s="479"/>
      <c r="F95" s="479"/>
      <c r="I95" s="524"/>
    </row>
    <row r="96" spans="1:9" ht="14.25">
      <c r="A96" s="518"/>
      <c r="B96" s="519" t="s">
        <v>2773</v>
      </c>
      <c r="D96" s="1295" t="s">
        <v>1932</v>
      </c>
      <c r="E96" s="1295"/>
      <c r="F96" s="1295"/>
      <c r="I96" s="524" t="s">
        <v>2123</v>
      </c>
    </row>
    <row r="97" spans="1:9" s="1022" customFormat="1" ht="14.25">
      <c r="A97" s="1020"/>
      <c r="B97" s="1020"/>
      <c r="C97" s="1021"/>
      <c r="D97" s="1295"/>
      <c r="E97" s="1295"/>
      <c r="F97" s="1295"/>
      <c r="I97" s="1260"/>
    </row>
    <row r="98" spans="1:9" ht="14.25">
      <c r="A98" s="518"/>
      <c r="B98" s="518"/>
      <c r="D98" s="423"/>
      <c r="E98" s="336" t="s">
        <v>2222</v>
      </c>
      <c r="F98" s="479"/>
      <c r="I98" s="524"/>
    </row>
    <row r="99" spans="1:9" ht="14.25">
      <c r="A99" s="518"/>
      <c r="B99" s="518"/>
      <c r="D99" s="416"/>
      <c r="E99" s="416"/>
      <c r="F99" s="416"/>
      <c r="I99" s="524"/>
    </row>
    <row r="100" spans="1:9" ht="14.25">
      <c r="A100" s="518"/>
      <c r="B100" s="519" t="s">
        <v>2773</v>
      </c>
      <c r="D100" s="1295" t="s">
        <v>1931</v>
      </c>
      <c r="E100" s="1295"/>
      <c r="F100" s="1295"/>
      <c r="I100" s="524" t="s">
        <v>2079</v>
      </c>
    </row>
    <row r="101" spans="1:9" ht="14.25">
      <c r="A101" s="518"/>
      <c r="B101" s="518"/>
      <c r="D101" s="1295"/>
      <c r="E101" s="1295"/>
      <c r="F101" s="1295"/>
      <c r="I101" s="524"/>
    </row>
    <row r="102" spans="1:9" ht="14.25">
      <c r="A102" s="518"/>
      <c r="B102" s="518"/>
      <c r="D102" s="479"/>
      <c r="E102" s="479"/>
      <c r="F102" s="479"/>
      <c r="I102" s="524"/>
    </row>
    <row r="103" spans="1:9" ht="14.45" customHeight="1">
      <c r="A103" s="518"/>
      <c r="B103" s="519" t="s">
        <v>2773</v>
      </c>
      <c r="D103" s="1295" t="s">
        <v>1298</v>
      </c>
      <c r="E103" s="1295"/>
      <c r="F103" s="1295"/>
      <c r="I103" s="524" t="s">
        <v>2080</v>
      </c>
    </row>
    <row r="104" spans="1:9" ht="14.25">
      <c r="A104" s="518"/>
      <c r="B104" s="518"/>
      <c r="D104" s="1295"/>
      <c r="E104" s="1295"/>
      <c r="F104" s="1295"/>
      <c r="I104" s="524"/>
    </row>
    <row r="105" spans="1:9" ht="14.25">
      <c r="A105" s="518"/>
      <c r="B105" s="518"/>
      <c r="D105" s="1295"/>
      <c r="E105" s="1295"/>
      <c r="F105" s="1295"/>
      <c r="I105" s="524"/>
    </row>
    <row r="106" spans="1:9" ht="14.25">
      <c r="A106" s="518"/>
      <c r="B106" s="518"/>
      <c r="D106" s="1295"/>
      <c r="E106" s="1295"/>
      <c r="F106" s="1295"/>
      <c r="I106" s="524"/>
    </row>
    <row r="107" spans="1:9" ht="14.25">
      <c r="A107" s="518"/>
      <c r="B107" s="518"/>
      <c r="D107" s="1295"/>
      <c r="E107" s="1295"/>
      <c r="F107" s="1295"/>
      <c r="I107" s="524"/>
    </row>
    <row r="108" spans="1:9" ht="14.25">
      <c r="A108" s="518"/>
      <c r="B108" s="518"/>
      <c r="D108" s="1295"/>
      <c r="E108" s="1295"/>
      <c r="F108" s="1295"/>
      <c r="I108" s="524"/>
    </row>
    <row r="109" spans="1:9" ht="14.25">
      <c r="A109" s="518"/>
      <c r="B109" s="518"/>
      <c r="D109" s="1295"/>
      <c r="E109" s="1295"/>
      <c r="F109" s="1295"/>
      <c r="I109" s="524"/>
    </row>
    <row r="110" spans="1:9" ht="14.25">
      <c r="A110" s="518"/>
      <c r="B110" s="518"/>
      <c r="D110" s="1295"/>
      <c r="E110" s="1295"/>
      <c r="F110" s="1295"/>
      <c r="I110" s="524"/>
    </row>
    <row r="111" spans="1:9" ht="14.25">
      <c r="A111" s="518"/>
      <c r="B111" s="518"/>
      <c r="D111" s="1295"/>
      <c r="E111" s="1295"/>
      <c r="F111" s="1295"/>
      <c r="I111" s="524"/>
    </row>
    <row r="112" spans="1:9" ht="14.25">
      <c r="A112" s="518"/>
      <c r="B112" s="518"/>
      <c r="D112" s="1295"/>
      <c r="E112" s="1295"/>
      <c r="F112" s="1295"/>
      <c r="I112" s="524"/>
    </row>
    <row r="113" spans="1:9" ht="14.25">
      <c r="A113" s="518"/>
      <c r="B113" s="518"/>
      <c r="D113" s="1295"/>
      <c r="E113" s="1295"/>
      <c r="F113" s="1295"/>
      <c r="I113" s="524"/>
    </row>
    <row r="114" spans="1:9" ht="14.25">
      <c r="A114" s="518"/>
      <c r="B114" s="518"/>
      <c r="D114" s="1295"/>
      <c r="E114" s="1295"/>
      <c r="F114" s="1295"/>
      <c r="I114" s="524"/>
    </row>
    <row r="115" spans="1:9" ht="14.25">
      <c r="A115" s="518"/>
      <c r="B115" s="518"/>
      <c r="D115" s="1295"/>
      <c r="E115" s="1295"/>
      <c r="F115" s="1295"/>
      <c r="I115" s="524"/>
    </row>
    <row r="116" spans="1:9" ht="14.25">
      <c r="A116" s="518"/>
      <c r="B116" s="518"/>
      <c r="D116" s="1295"/>
      <c r="E116" s="1295"/>
      <c r="F116" s="1295"/>
      <c r="I116" s="524"/>
    </row>
    <row r="117" spans="1:9" ht="14.25">
      <c r="A117" s="518"/>
      <c r="B117" s="518"/>
      <c r="D117" s="1295"/>
      <c r="E117" s="1295"/>
      <c r="F117" s="1295"/>
      <c r="I117" s="524"/>
    </row>
    <row r="118" spans="1:9" ht="14.25">
      <c r="A118" s="518"/>
      <c r="B118" s="518"/>
      <c r="D118" s="558"/>
      <c r="E118" s="558"/>
      <c r="F118" s="558"/>
      <c r="I118" s="524"/>
    </row>
    <row r="119" spans="1:9" ht="14.25" customHeight="1">
      <c r="A119" s="518"/>
      <c r="B119" s="519" t="s">
        <v>2773</v>
      </c>
      <c r="D119" s="1306" t="s">
        <v>1169</v>
      </c>
      <c r="E119" s="1306"/>
      <c r="F119" s="1306"/>
      <c r="I119" s="524"/>
    </row>
    <row r="120" spans="1:9" ht="14.25">
      <c r="A120" s="518"/>
      <c r="B120" s="518"/>
      <c r="D120" s="1306"/>
      <c r="E120" s="1306"/>
      <c r="F120" s="1306"/>
      <c r="I120" s="524"/>
    </row>
    <row r="121" spans="1:9" ht="14.25">
      <c r="A121" s="518"/>
      <c r="B121" s="518"/>
      <c r="D121" s="1306"/>
      <c r="E121" s="1306"/>
      <c r="F121" s="1306"/>
      <c r="I121" s="524"/>
    </row>
    <row r="122" spans="1:9" ht="14.25">
      <c r="A122" s="518"/>
      <c r="B122" s="518"/>
      <c r="D122" s="1306"/>
      <c r="E122" s="1306"/>
      <c r="F122" s="1306"/>
      <c r="I122" s="524"/>
    </row>
    <row r="123" spans="1:9" ht="14.25">
      <c r="A123" s="518"/>
      <c r="B123" s="518"/>
      <c r="D123" s="1306"/>
      <c r="E123" s="1306"/>
      <c r="F123" s="1306"/>
      <c r="I123" s="524"/>
    </row>
    <row r="124" spans="1:9" ht="14.25">
      <c r="A124" s="518"/>
      <c r="B124" s="518"/>
      <c r="D124" s="1306"/>
      <c r="E124" s="1306"/>
      <c r="F124" s="1306"/>
      <c r="I124" s="524"/>
    </row>
    <row r="125" spans="1:9" ht="14.25">
      <c r="A125" s="518"/>
      <c r="B125" s="518"/>
      <c r="D125" s="1306"/>
      <c r="E125" s="1306"/>
      <c r="F125" s="1306"/>
      <c r="I125" s="524"/>
    </row>
    <row r="126" spans="1:9" ht="14.25">
      <c r="A126" s="518"/>
      <c r="B126" s="518"/>
      <c r="D126" s="1306"/>
      <c r="E126" s="1306"/>
      <c r="F126" s="1306"/>
      <c r="I126" s="524"/>
    </row>
    <row r="127" spans="1:9">
      <c r="C127" s="433"/>
      <c r="D127" s="559"/>
      <c r="E127" s="559"/>
      <c r="F127" s="559"/>
      <c r="I127" s="524"/>
    </row>
    <row r="128" spans="1:9" ht="14.25">
      <c r="A128" s="518"/>
      <c r="B128" s="519" t="s">
        <v>2774</v>
      </c>
      <c r="C128" s="433"/>
      <c r="D128" s="1306" t="s">
        <v>2362</v>
      </c>
      <c r="E128" s="1306"/>
      <c r="F128" s="1306"/>
      <c r="I128" s="524" t="s">
        <v>2081</v>
      </c>
    </row>
    <row r="129" spans="1:9" ht="14.25">
      <c r="A129" s="518"/>
      <c r="B129" s="518"/>
      <c r="C129" s="433"/>
      <c r="D129" s="1306"/>
      <c r="E129" s="1306"/>
      <c r="F129" s="1306"/>
      <c r="I129" s="524"/>
    </row>
    <row r="130" spans="1:9">
      <c r="I130" s="524"/>
    </row>
    <row r="131" spans="1:9" ht="14.25">
      <c r="A131" s="518"/>
      <c r="B131" s="519" t="s">
        <v>2774</v>
      </c>
      <c r="D131" s="1295" t="s">
        <v>1172</v>
      </c>
      <c r="E131" s="1295"/>
      <c r="F131" s="1295"/>
      <c r="I131" s="524" t="s">
        <v>2081</v>
      </c>
    </row>
    <row r="132" spans="1:9">
      <c r="D132" s="1295"/>
      <c r="E132" s="1295"/>
      <c r="F132" s="1295"/>
      <c r="I132" s="524"/>
    </row>
    <row r="133" spans="1:9">
      <c r="D133" s="1295"/>
      <c r="E133" s="1295"/>
      <c r="F133" s="1295"/>
      <c r="I133" s="524"/>
    </row>
    <row r="134" spans="1:9">
      <c r="D134" s="1295"/>
      <c r="E134" s="1295"/>
      <c r="F134" s="1295"/>
      <c r="I134" s="524"/>
    </row>
    <row r="135" spans="1:9">
      <c r="D135" s="1295"/>
      <c r="E135" s="1295"/>
      <c r="F135" s="1295"/>
      <c r="I135" s="524"/>
    </row>
    <row r="136" spans="1:9">
      <c r="I136" s="524"/>
    </row>
    <row r="137" spans="1:9" ht="14.25">
      <c r="A137" s="518"/>
      <c r="B137" s="519" t="s">
        <v>2774</v>
      </c>
      <c r="D137" s="1295" t="s">
        <v>1173</v>
      </c>
      <c r="E137" s="1295"/>
      <c r="F137" s="1295"/>
      <c r="I137" s="524" t="s">
        <v>2082</v>
      </c>
    </row>
    <row r="138" spans="1:9" s="448" customFormat="1" ht="13.7" customHeight="1">
      <c r="A138" s="522"/>
      <c r="B138" s="522"/>
      <c r="C138" s="522"/>
      <c r="D138" s="1295"/>
      <c r="E138" s="1295"/>
      <c r="F138" s="1295"/>
      <c r="I138" s="1261"/>
    </row>
    <row r="139" spans="1:9" ht="13.7" customHeight="1">
      <c r="D139" s="1295"/>
      <c r="E139" s="1295"/>
      <c r="F139" s="1295"/>
      <c r="I139" s="524"/>
    </row>
    <row r="140" spans="1:9" ht="13.7" customHeight="1">
      <c r="D140" s="1295"/>
      <c r="E140" s="1295"/>
      <c r="F140" s="1295"/>
      <c r="I140" s="524"/>
    </row>
    <row r="141" spans="1:9" ht="13.7" customHeight="1">
      <c r="D141" s="1295"/>
      <c r="E141" s="1295"/>
      <c r="F141" s="1295"/>
      <c r="I141" s="524"/>
    </row>
    <row r="142" spans="1:9" ht="13.7" customHeight="1">
      <c r="A142" s="523"/>
      <c r="B142" s="523"/>
      <c r="D142" s="1295"/>
      <c r="E142" s="1295"/>
      <c r="F142" s="1295"/>
      <c r="I142" s="524"/>
    </row>
    <row r="143" spans="1:9" ht="13.7" customHeight="1">
      <c r="D143" s="1295"/>
      <c r="E143" s="1295"/>
      <c r="F143" s="1295"/>
      <c r="I143" s="524"/>
    </row>
    <row r="144" spans="1:9" ht="13.7" customHeight="1">
      <c r="D144" s="1295"/>
      <c r="E144" s="1295"/>
      <c r="F144" s="1295"/>
      <c r="I144" s="524"/>
    </row>
    <row r="145" spans="2:9" ht="13.7" customHeight="1">
      <c r="D145" s="1295"/>
      <c r="E145" s="1295"/>
      <c r="F145" s="1295"/>
      <c r="I145" s="524"/>
    </row>
    <row r="146" spans="2:9" ht="13.7" customHeight="1">
      <c r="D146" s="1295"/>
      <c r="E146" s="1295"/>
      <c r="F146" s="1295"/>
      <c r="I146" s="524"/>
    </row>
    <row r="147" spans="2:9" ht="13.7" customHeight="1">
      <c r="D147" s="1295"/>
      <c r="E147" s="1295"/>
      <c r="F147" s="1295"/>
      <c r="I147" s="524"/>
    </row>
    <row r="148" spans="2:9" ht="13.7" customHeight="1">
      <c r="D148" s="1295"/>
      <c r="E148" s="1295"/>
      <c r="F148" s="1295"/>
      <c r="I148" s="524"/>
    </row>
    <row r="149" spans="2:9" ht="13.7" customHeight="1">
      <c r="D149" s="1295"/>
      <c r="E149" s="1295"/>
      <c r="F149" s="1295"/>
      <c r="I149" s="524"/>
    </row>
    <row r="150" spans="2:9" ht="13.7" customHeight="1">
      <c r="D150" s="510"/>
      <c r="E150" s="480"/>
      <c r="F150" s="480"/>
      <c r="I150" s="524"/>
    </row>
    <row r="151" spans="2:9" ht="13.7" customHeight="1">
      <c r="B151" s="519" t="s">
        <v>2773</v>
      </c>
      <c r="D151" s="1295" t="s">
        <v>1281</v>
      </c>
      <c r="E151" s="1295"/>
      <c r="F151" s="1295"/>
      <c r="I151" s="524" t="s">
        <v>2083</v>
      </c>
    </row>
    <row r="152" spans="2:9" ht="13.7" customHeight="1">
      <c r="D152" s="1295"/>
      <c r="E152" s="1295"/>
      <c r="F152" s="1295"/>
      <c r="I152" s="524"/>
    </row>
    <row r="153" spans="2:9" ht="13.7" customHeight="1">
      <c r="D153" s="1295"/>
      <c r="E153" s="1295"/>
      <c r="F153" s="1295"/>
      <c r="I153" s="524"/>
    </row>
    <row r="154" spans="2:9" ht="13.7" customHeight="1">
      <c r="D154" s="1295"/>
      <c r="E154" s="1295"/>
      <c r="F154" s="1295"/>
      <c r="I154" s="524"/>
    </row>
    <row r="155" spans="2:9" ht="13.7" customHeight="1">
      <c r="D155" s="1295"/>
      <c r="E155" s="1295"/>
      <c r="F155" s="1295"/>
      <c r="I155" s="524"/>
    </row>
    <row r="156" spans="2:9" ht="13.7" customHeight="1">
      <c r="D156" s="1295"/>
      <c r="E156" s="1295"/>
      <c r="F156" s="1295"/>
      <c r="I156" s="524"/>
    </row>
    <row r="157" spans="2:9" ht="13.7" customHeight="1">
      <c r="D157" s="1295"/>
      <c r="E157" s="1295"/>
      <c r="F157" s="1295"/>
      <c r="I157" s="524"/>
    </row>
    <row r="158" spans="2:9" ht="13.7" customHeight="1">
      <c r="D158" s="1295"/>
      <c r="E158" s="1295"/>
      <c r="F158" s="1295"/>
      <c r="I158" s="524"/>
    </row>
    <row r="159" spans="2:9" ht="13.7" customHeight="1">
      <c r="D159" s="1295"/>
      <c r="E159" s="1295"/>
      <c r="F159" s="1295"/>
      <c r="I159" s="524"/>
    </row>
    <row r="160" spans="2:9" ht="13.7" customHeight="1">
      <c r="D160" s="1295"/>
      <c r="E160" s="1295"/>
      <c r="F160" s="1295"/>
      <c r="I160" s="524"/>
    </row>
    <row r="161" spans="1:9" ht="13.7" customHeight="1">
      <c r="D161" s="1295"/>
      <c r="E161" s="1295"/>
      <c r="F161" s="1295"/>
      <c r="I161" s="524"/>
    </row>
    <row r="162" spans="1:9" ht="13.7" customHeight="1">
      <c r="D162" s="1295"/>
      <c r="E162" s="1295"/>
      <c r="F162" s="1295"/>
      <c r="I162" s="524"/>
    </row>
    <row r="163" spans="1:9" ht="13.7" customHeight="1">
      <c r="D163" s="1295"/>
      <c r="E163" s="1295"/>
      <c r="F163" s="1295"/>
      <c r="I163" s="524"/>
    </row>
    <row r="164" spans="1:9" ht="13.7" customHeight="1">
      <c r="D164" s="1295"/>
      <c r="E164" s="1295"/>
      <c r="F164" s="1295"/>
      <c r="I164" s="524"/>
    </row>
    <row r="165" spans="1:9" ht="13.7" customHeight="1">
      <c r="D165" s="1295"/>
      <c r="E165" s="1295"/>
      <c r="F165" s="1295"/>
      <c r="I165" s="524"/>
    </row>
    <row r="166" spans="1:9" ht="13.7" customHeight="1">
      <c r="D166" s="1295"/>
      <c r="E166" s="1295"/>
      <c r="F166" s="1295"/>
      <c r="I166" s="524"/>
    </row>
    <row r="167" spans="1:9" ht="13.7" customHeight="1">
      <c r="D167" s="1295"/>
      <c r="E167" s="1295"/>
      <c r="F167" s="1295"/>
      <c r="I167" s="524"/>
    </row>
    <row r="168" spans="1:9" ht="13.7" customHeight="1">
      <c r="D168" s="1295"/>
      <c r="E168" s="1295"/>
      <c r="F168" s="1295"/>
      <c r="I168" s="524"/>
    </row>
    <row r="169" spans="1:9" ht="13.7" customHeight="1">
      <c r="D169" s="1340" t="s">
        <v>2386</v>
      </c>
      <c r="E169" s="1340"/>
      <c r="F169" s="1340"/>
      <c r="G169" s="541"/>
      <c r="I169" s="524"/>
    </row>
    <row r="170" spans="1:9" ht="13.7" customHeight="1">
      <c r="D170" s="1281"/>
      <c r="E170" s="1281"/>
      <c r="F170" s="1281"/>
      <c r="G170" s="1281"/>
      <c r="I170" s="524"/>
    </row>
    <row r="171" spans="1:9" ht="14.45" customHeight="1">
      <c r="A171" s="523"/>
      <c r="B171" s="519" t="s">
        <v>2773</v>
      </c>
      <c r="C171" s="510"/>
      <c r="D171" s="1277" t="s">
        <v>2576</v>
      </c>
      <c r="E171" s="1277"/>
      <c r="F171" s="1277"/>
      <c r="G171" s="510"/>
      <c r="I171" s="524" t="s">
        <v>2078</v>
      </c>
    </row>
    <row r="172" spans="1:9" ht="14.45" customHeight="1">
      <c r="A172" s="523"/>
      <c r="B172" s="523"/>
      <c r="C172" s="510"/>
      <c r="D172" s="1277"/>
      <c r="E172" s="1277"/>
      <c r="F172" s="1277"/>
      <c r="G172" s="510"/>
      <c r="I172" s="524"/>
    </row>
    <row r="173" spans="1:9" ht="14.45" customHeight="1">
      <c r="A173" s="523"/>
      <c r="B173" s="523"/>
      <c r="C173" s="510"/>
      <c r="D173" s="1277"/>
      <c r="E173" s="1277"/>
      <c r="F173" s="1277"/>
      <c r="G173" s="510"/>
      <c r="I173" s="524"/>
    </row>
    <row r="174" spans="1:9" ht="14.45" customHeight="1">
      <c r="A174" s="523"/>
      <c r="B174" s="523"/>
      <c r="C174" s="510"/>
      <c r="D174" s="1277"/>
      <c r="E174" s="1277"/>
      <c r="F174" s="1277"/>
      <c r="G174" s="510"/>
      <c r="I174" s="524"/>
    </row>
    <row r="175" spans="1:9" ht="13.7" customHeight="1">
      <c r="A175" s="523"/>
      <c r="B175" s="523"/>
      <c r="C175" s="510"/>
      <c r="D175" s="1277"/>
      <c r="E175" s="1277"/>
      <c r="F175" s="1277"/>
      <c r="G175" s="510"/>
      <c r="I175" s="524"/>
    </row>
    <row r="176" spans="1:9" ht="13.7" customHeight="1">
      <c r="A176" s="523"/>
      <c r="B176" s="523"/>
      <c r="C176" s="510"/>
      <c r="D176" s="510"/>
      <c r="E176" s="510"/>
      <c r="F176" s="510"/>
      <c r="G176" s="510"/>
      <c r="I176" s="524"/>
    </row>
    <row r="177" spans="1:9" ht="13.7" customHeight="1">
      <c r="A177" s="523"/>
      <c r="B177" s="519" t="s">
        <v>2774</v>
      </c>
      <c r="C177" s="510"/>
      <c r="D177" s="1277" t="s">
        <v>1175</v>
      </c>
      <c r="E177" s="1277"/>
      <c r="F177" s="1277"/>
      <c r="G177" s="510"/>
      <c r="I177" s="524" t="s">
        <v>2084</v>
      </c>
    </row>
    <row r="178" spans="1:9" ht="13.7" customHeight="1">
      <c r="A178" s="523"/>
      <c r="B178" s="523"/>
      <c r="C178" s="510"/>
      <c r="D178" s="1277"/>
      <c r="E178" s="1277"/>
      <c r="F178" s="1277"/>
      <c r="G178" s="510"/>
      <c r="I178" s="524"/>
    </row>
    <row r="179" spans="1:9" ht="13.7" customHeight="1">
      <c r="A179" s="523"/>
      <c r="B179" s="523"/>
      <c r="C179" s="510"/>
      <c r="D179" s="1277"/>
      <c r="E179" s="1277"/>
      <c r="F179" s="1277"/>
      <c r="G179" s="510"/>
      <c r="I179" s="524"/>
    </row>
    <row r="180" spans="1:9" ht="13.7" customHeight="1">
      <c r="A180" s="523"/>
      <c r="B180" s="523"/>
      <c r="C180" s="510"/>
      <c r="D180" s="1277"/>
      <c r="E180" s="1277"/>
      <c r="F180" s="1277"/>
      <c r="G180" s="510"/>
      <c r="I180" s="524"/>
    </row>
    <row r="181" spans="1:9" ht="13.7" customHeight="1">
      <c r="D181" s="480"/>
      <c r="E181" s="480"/>
      <c r="F181" s="480"/>
      <c r="I181" s="524"/>
    </row>
    <row r="182" spans="1:9" ht="13.7" customHeight="1">
      <c r="B182" s="519" t="s">
        <v>2774</v>
      </c>
      <c r="D182" s="1282" t="s">
        <v>2363</v>
      </c>
      <c r="E182" s="1282"/>
      <c r="F182" s="1282"/>
      <c r="I182" s="524" t="s">
        <v>2085</v>
      </c>
    </row>
    <row r="183" spans="1:9" ht="13.7" customHeight="1">
      <c r="D183" s="1282"/>
      <c r="E183" s="1282"/>
      <c r="F183" s="1282"/>
      <c r="I183" s="524"/>
    </row>
    <row r="184" spans="1:9" ht="13.7" customHeight="1">
      <c r="D184" s="1282"/>
      <c r="E184" s="1282"/>
      <c r="F184" s="1282"/>
      <c r="I184" s="524"/>
    </row>
    <row r="185" spans="1:9" ht="13.7" customHeight="1">
      <c r="A185" s="524"/>
      <c r="B185" s="524"/>
      <c r="E185" s="480"/>
      <c r="F185" s="480"/>
      <c r="I185" s="524"/>
    </row>
    <row r="186" spans="1:9">
      <c r="A186" s="1283" t="s">
        <v>2364</v>
      </c>
      <c r="B186" s="1283"/>
      <c r="C186" s="1283"/>
      <c r="D186" s="1283"/>
      <c r="E186" s="1283"/>
      <c r="F186" s="1283"/>
      <c r="G186" s="1283"/>
      <c r="H186" s="1063"/>
      <c r="I186" s="1259"/>
    </row>
    <row r="187" spans="1:9" ht="12" customHeight="1">
      <c r="D187" s="480"/>
      <c r="E187" s="480"/>
      <c r="F187" s="480"/>
      <c r="I187" s="524"/>
    </row>
    <row r="188" spans="1:9">
      <c r="B188" s="1298" t="s">
        <v>447</v>
      </c>
      <c r="C188" s="1298"/>
      <c r="D188" s="1298"/>
      <c r="E188" s="1298"/>
      <c r="F188" s="1298"/>
      <c r="I188" s="524"/>
    </row>
    <row r="189" spans="1:9">
      <c r="B189" s="423" t="s">
        <v>2064</v>
      </c>
      <c r="C189" s="423"/>
      <c r="D189" s="423"/>
      <c r="E189" s="423"/>
      <c r="F189" s="423"/>
      <c r="I189" s="524"/>
    </row>
    <row r="190" spans="1:9" ht="12" customHeight="1">
      <c r="A190" s="516"/>
      <c r="B190" s="516"/>
      <c r="C190" s="516"/>
      <c r="I190" s="524"/>
    </row>
    <row r="191" spans="1:9">
      <c r="A191" s="1283" t="s">
        <v>1071</v>
      </c>
      <c r="B191" s="1283"/>
      <c r="C191" s="1283"/>
      <c r="D191" s="1283"/>
      <c r="E191" s="1283"/>
      <c r="F191" s="1283"/>
      <c r="G191" s="1283"/>
      <c r="H191" s="1063"/>
      <c r="I191" s="1259"/>
    </row>
    <row r="192" spans="1:9" ht="12" customHeight="1">
      <c r="A192" s="435"/>
      <c r="B192" s="435"/>
      <c r="E192" s="435"/>
      <c r="I192" s="524"/>
    </row>
    <row r="193" spans="1:9" ht="13.7" customHeight="1">
      <c r="A193" s="435"/>
      <c r="B193" s="435"/>
      <c r="D193" s="1297" t="s">
        <v>1934</v>
      </c>
      <c r="E193" s="1297"/>
      <c r="F193" s="1297"/>
      <c r="I193" s="524"/>
    </row>
    <row r="194" spans="1:9">
      <c r="A194" s="435"/>
      <c r="B194" s="435"/>
      <c r="D194" s="1297"/>
      <c r="E194" s="1297"/>
      <c r="F194" s="1297"/>
      <c r="I194" s="524"/>
    </row>
    <row r="195" spans="1:9">
      <c r="A195" s="435"/>
      <c r="B195" s="435"/>
      <c r="D195" s="1298" t="s">
        <v>1299</v>
      </c>
      <c r="E195" s="1298"/>
      <c r="F195" s="1298"/>
      <c r="I195" s="524"/>
    </row>
    <row r="196" spans="1:9">
      <c r="A196" s="435"/>
      <c r="B196" s="435"/>
      <c r="D196" s="423"/>
      <c r="E196" s="423"/>
      <c r="F196" s="423"/>
      <c r="I196" s="524"/>
    </row>
    <row r="197" spans="1:9">
      <c r="A197" s="435"/>
      <c r="B197" s="519" t="s">
        <v>2774</v>
      </c>
      <c r="D197" s="1279" t="s">
        <v>1935</v>
      </c>
      <c r="E197" s="1279"/>
      <c r="F197" s="1279"/>
      <c r="I197" s="524" t="s">
        <v>2134</v>
      </c>
    </row>
    <row r="198" spans="1:9">
      <c r="A198" s="435"/>
      <c r="B198" s="435"/>
      <c r="D198" s="1311" t="s">
        <v>2200</v>
      </c>
      <c r="E198" s="1311"/>
      <c r="F198" s="1311"/>
      <c r="I198" s="524"/>
    </row>
    <row r="199" spans="1:9">
      <c r="A199" s="435"/>
      <c r="B199" s="435"/>
      <c r="D199" s="96" t="s">
        <v>1936</v>
      </c>
      <c r="E199" s="1343" t="s">
        <v>2223</v>
      </c>
      <c r="F199" s="1343"/>
      <c r="I199" s="524"/>
    </row>
    <row r="200" spans="1:9">
      <c r="A200" s="435"/>
      <c r="B200" s="435"/>
      <c r="D200" s="3"/>
      <c r="E200" s="3"/>
      <c r="F200" s="3"/>
      <c r="I200" s="524"/>
    </row>
    <row r="201" spans="1:9">
      <c r="A201" s="435"/>
      <c r="B201" s="519" t="s">
        <v>2773</v>
      </c>
      <c r="D201" s="1311" t="s">
        <v>1937</v>
      </c>
      <c r="E201" s="1311"/>
      <c r="F201" s="1311"/>
      <c r="I201" s="524" t="s">
        <v>2135</v>
      </c>
    </row>
    <row r="202" spans="1:9">
      <c r="A202" s="435"/>
      <c r="B202" s="435"/>
      <c r="D202" s="1279" t="s">
        <v>2200</v>
      </c>
      <c r="E202" s="1279"/>
      <c r="F202" s="1279"/>
      <c r="I202" s="524"/>
    </row>
    <row r="203" spans="1:9">
      <c r="A203" s="435"/>
      <c r="B203" s="435"/>
      <c r="D203" s="57" t="s">
        <v>1938</v>
      </c>
      <c r="E203" s="1343" t="s">
        <v>2224</v>
      </c>
      <c r="F203" s="1343"/>
      <c r="I203" s="524"/>
    </row>
    <row r="204" spans="1:9">
      <c r="A204" s="435"/>
      <c r="B204" s="435"/>
      <c r="D204" s="3"/>
      <c r="E204" s="3"/>
      <c r="F204" s="3"/>
      <c r="I204" s="524"/>
    </row>
    <row r="205" spans="1:9">
      <c r="A205" s="435"/>
      <c r="B205" s="519" t="s">
        <v>2773</v>
      </c>
      <c r="D205" s="1311" t="s">
        <v>1939</v>
      </c>
      <c r="E205" s="1311"/>
      <c r="F205" s="1311"/>
      <c r="I205" s="524" t="s">
        <v>2136</v>
      </c>
    </row>
    <row r="206" spans="1:9">
      <c r="A206" s="435"/>
      <c r="B206" s="435"/>
      <c r="D206" s="1279" t="s">
        <v>2200</v>
      </c>
      <c r="E206" s="1279"/>
      <c r="F206" s="1279"/>
      <c r="I206" s="524"/>
    </row>
    <row r="207" spans="1:9">
      <c r="A207" s="435"/>
      <c r="B207" s="435"/>
      <c r="D207" s="57" t="s">
        <v>1936</v>
      </c>
      <c r="E207" s="1343" t="s">
        <v>2225</v>
      </c>
      <c r="F207" s="1343"/>
      <c r="I207" s="524"/>
    </row>
    <row r="208" spans="1:9">
      <c r="A208" s="435"/>
      <c r="B208" s="435"/>
      <c r="D208" s="423"/>
      <c r="E208" s="423"/>
      <c r="F208" s="423"/>
      <c r="I208" s="524"/>
    </row>
    <row r="209" spans="1:9" ht="14.25" customHeight="1">
      <c r="A209" s="518"/>
      <c r="B209" s="519" t="s">
        <v>2773</v>
      </c>
      <c r="D209" s="417" t="s">
        <v>2193</v>
      </c>
      <c r="E209" s="416"/>
      <c r="F209" s="416"/>
      <c r="I209" s="524" t="s">
        <v>2137</v>
      </c>
    </row>
    <row r="210" spans="1:9" ht="14.25">
      <c r="A210" s="518"/>
      <c r="B210" s="518"/>
      <c r="D210" s="1279" t="s">
        <v>2200</v>
      </c>
      <c r="E210" s="1279"/>
      <c r="F210" s="1279"/>
      <c r="I210" s="524"/>
    </row>
    <row r="211" spans="1:9">
      <c r="D211" s="416"/>
      <c r="E211" s="1343" t="s">
        <v>2226</v>
      </c>
      <c r="F211" s="1343"/>
      <c r="I211" s="524"/>
    </row>
    <row r="212" spans="1:9">
      <c r="D212" s="481"/>
      <c r="I212" s="524"/>
    </row>
    <row r="213" spans="1:9">
      <c r="B213" s="519" t="s">
        <v>2773</v>
      </c>
      <c r="D213" s="1311" t="s">
        <v>1940</v>
      </c>
      <c r="E213" s="1311"/>
      <c r="F213" s="1311"/>
      <c r="I213" s="524" t="s">
        <v>2138</v>
      </c>
    </row>
    <row r="214" spans="1:9">
      <c r="D214" s="1279" t="s">
        <v>2200</v>
      </c>
      <c r="E214" s="1279"/>
      <c r="F214" s="1279"/>
      <c r="I214" s="524"/>
    </row>
    <row r="215" spans="1:9">
      <c r="D215" s="57" t="s">
        <v>1936</v>
      </c>
      <c r="E215" s="1343" t="s">
        <v>2227</v>
      </c>
      <c r="F215" s="1343"/>
      <c r="I215" s="524"/>
    </row>
    <row r="216" spans="1:9">
      <c r="D216" s="485"/>
      <c r="E216" s="485"/>
      <c r="F216" s="485"/>
      <c r="I216" s="524"/>
    </row>
    <row r="217" spans="1:9" ht="14.25">
      <c r="A217" s="518"/>
      <c r="B217" s="519" t="s">
        <v>2773</v>
      </c>
      <c r="D217" s="1295" t="s">
        <v>1320</v>
      </c>
      <c r="E217" s="1295"/>
      <c r="F217" s="1295"/>
      <c r="I217" s="524"/>
    </row>
    <row r="218" spans="1:9" ht="14.45" customHeight="1">
      <c r="A218" s="518"/>
      <c r="B218" s="433"/>
      <c r="D218" s="1295"/>
      <c r="E218" s="1295"/>
      <c r="F218" s="1295"/>
      <c r="I218" s="524"/>
    </row>
    <row r="219" spans="1:9" ht="14.25">
      <c r="A219" s="518"/>
      <c r="D219" s="1295"/>
      <c r="E219" s="1295"/>
      <c r="F219" s="1295"/>
      <c r="I219" s="524"/>
    </row>
    <row r="220" spans="1:9" ht="14.25">
      <c r="A220" s="518"/>
      <c r="D220" s="1295"/>
      <c r="E220" s="1295"/>
      <c r="F220" s="1295"/>
      <c r="I220" s="524"/>
    </row>
    <row r="221" spans="1:9">
      <c r="D221" s="485"/>
      <c r="E221" s="485"/>
      <c r="F221" s="485"/>
      <c r="I221" s="524"/>
    </row>
    <row r="222" spans="1:9">
      <c r="A222" s="1283" t="s">
        <v>1072</v>
      </c>
      <c r="B222" s="1283"/>
      <c r="C222" s="1283"/>
      <c r="D222" s="1283"/>
      <c r="E222" s="1283"/>
      <c r="F222" s="1283"/>
      <c r="G222" s="1283"/>
      <c r="H222" s="1063"/>
      <c r="I222" s="1259"/>
    </row>
    <row r="223" spans="1:9" ht="12" customHeight="1">
      <c r="D223" s="480"/>
      <c r="E223" s="480"/>
      <c r="F223" s="480"/>
      <c r="I223" s="524"/>
    </row>
    <row r="224" spans="1:9">
      <c r="C224" s="520"/>
      <c r="D224" s="1294" t="s">
        <v>208</v>
      </c>
      <c r="E224" s="1294"/>
      <c r="F224" s="1294"/>
      <c r="I224" s="524"/>
    </row>
    <row r="225" spans="1:9">
      <c r="A225" s="516"/>
      <c r="B225" s="516"/>
      <c r="C225" s="516"/>
      <c r="D225" s="1296" t="s">
        <v>1201</v>
      </c>
      <c r="E225" s="1296"/>
      <c r="F225" s="1296"/>
      <c r="I225" s="524"/>
    </row>
    <row r="226" spans="1:9" ht="12" customHeight="1">
      <c r="A226" s="524"/>
      <c r="B226" s="524"/>
      <c r="C226" s="524"/>
      <c r="I226" s="524"/>
    </row>
    <row r="227" spans="1:9" ht="13.7" customHeight="1">
      <c r="A227" s="524"/>
      <c r="C227" s="524"/>
      <c r="D227" s="1294" t="s">
        <v>553</v>
      </c>
      <c r="E227" s="1294"/>
      <c r="F227" s="1294"/>
      <c r="I227" s="524" t="s">
        <v>2086</v>
      </c>
    </row>
    <row r="228" spans="1:9" ht="14.25">
      <c r="A228" s="518"/>
      <c r="B228" s="519" t="s">
        <v>2774</v>
      </c>
      <c r="D228" s="1295" t="s">
        <v>1941</v>
      </c>
      <c r="E228" s="1295"/>
      <c r="F228" s="1295"/>
      <c r="I228" s="524"/>
    </row>
    <row r="229" spans="1:9" ht="14.25" customHeight="1">
      <c r="A229" s="518"/>
      <c r="B229" s="518"/>
      <c r="D229" s="1295"/>
      <c r="E229" s="1295"/>
      <c r="F229" s="1295"/>
      <c r="I229" s="524"/>
    </row>
    <row r="230" spans="1:9" ht="14.25" customHeight="1">
      <c r="A230" s="518"/>
      <c r="B230" s="518"/>
      <c r="D230" s="1295"/>
      <c r="E230" s="1295"/>
      <c r="F230" s="1295"/>
      <c r="I230" s="524"/>
    </row>
    <row r="231" spans="1:9" ht="14.25">
      <c r="A231" s="518"/>
      <c r="B231" s="518"/>
      <c r="D231" s="1295"/>
      <c r="E231" s="1295"/>
      <c r="F231" s="1295"/>
      <c r="I231" s="524"/>
    </row>
    <row r="232" spans="1:9" ht="14.25">
      <c r="A232" s="518"/>
      <c r="B232" s="518"/>
      <c r="D232" s="479"/>
      <c r="E232" s="479"/>
      <c r="F232" s="479"/>
      <c r="I232" s="524"/>
    </row>
    <row r="233" spans="1:9" ht="14.25">
      <c r="A233" s="518"/>
      <c r="B233" s="519" t="s">
        <v>2774</v>
      </c>
      <c r="D233" s="1295" t="s">
        <v>1942</v>
      </c>
      <c r="E233" s="1295"/>
      <c r="F233" s="1295"/>
      <c r="I233" s="524" t="s">
        <v>2087</v>
      </c>
    </row>
    <row r="234" spans="1:9" ht="14.25">
      <c r="A234" s="518"/>
      <c r="B234" s="518"/>
      <c r="D234" s="1295"/>
      <c r="E234" s="1295"/>
      <c r="F234" s="1295"/>
      <c r="I234" s="524"/>
    </row>
    <row r="235" spans="1:9" ht="14.25">
      <c r="A235" s="518"/>
      <c r="B235" s="518"/>
      <c r="D235" s="1295"/>
      <c r="E235" s="1295"/>
      <c r="F235" s="1295"/>
      <c r="I235" s="524"/>
    </row>
    <row r="236" spans="1:9" ht="14.25">
      <c r="A236" s="518"/>
      <c r="B236" s="518"/>
      <c r="D236" s="1295"/>
      <c r="E236" s="1295"/>
      <c r="F236" s="1295"/>
      <c r="I236" s="524"/>
    </row>
    <row r="237" spans="1:9" ht="14.25" customHeight="1">
      <c r="A237" s="518"/>
      <c r="B237" s="518"/>
      <c r="D237" s="1295"/>
      <c r="E237" s="1295"/>
      <c r="F237" s="1295"/>
      <c r="I237" s="524"/>
    </row>
    <row r="238" spans="1:9" ht="14.25" customHeight="1">
      <c r="A238" s="518"/>
      <c r="B238" s="518"/>
      <c r="D238" s="479"/>
      <c r="E238" s="479"/>
      <c r="F238" s="479"/>
      <c r="I238" s="524"/>
    </row>
    <row r="239" spans="1:9" ht="14.25">
      <c r="A239" s="518"/>
      <c r="B239" s="518"/>
      <c r="D239" s="1295" t="s">
        <v>1197</v>
      </c>
      <c r="E239" s="1295"/>
      <c r="F239" s="1295"/>
      <c r="I239" s="524" t="s">
        <v>2086</v>
      </c>
    </row>
    <row r="240" spans="1:9" ht="14.25">
      <c r="A240" s="518"/>
      <c r="B240" s="518"/>
      <c r="D240" s="1295"/>
      <c r="E240" s="1295"/>
      <c r="F240" s="1295"/>
      <c r="I240" s="524"/>
    </row>
    <row r="241" spans="1:9" ht="14.25">
      <c r="A241" s="518"/>
      <c r="B241" s="518"/>
      <c r="D241" s="1295"/>
      <c r="E241" s="1295"/>
      <c r="F241" s="1295"/>
      <c r="I241" s="524"/>
    </row>
    <row r="242" spans="1:9" ht="14.25">
      <c r="A242" s="518"/>
      <c r="B242" s="518"/>
      <c r="D242" s="1295"/>
      <c r="E242" s="1295"/>
      <c r="F242" s="1295"/>
      <c r="I242" s="524"/>
    </row>
    <row r="243" spans="1:9" ht="14.25">
      <c r="A243" s="518"/>
      <c r="B243" s="518"/>
      <c r="D243" s="1295"/>
      <c r="E243" s="1295"/>
      <c r="F243" s="1295"/>
      <c r="I243" s="524"/>
    </row>
    <row r="244" spans="1:9" ht="14.25">
      <c r="A244" s="518"/>
      <c r="B244" s="518"/>
      <c r="D244" s="480"/>
      <c r="E244" s="480"/>
      <c r="F244" s="480"/>
      <c r="I244" s="524"/>
    </row>
    <row r="245" spans="1:9" ht="14.25">
      <c r="A245" s="518"/>
      <c r="B245" s="519" t="s">
        <v>2774</v>
      </c>
      <c r="D245" s="1295" t="s">
        <v>2365</v>
      </c>
      <c r="E245" s="1295"/>
      <c r="F245" s="1295"/>
      <c r="I245" s="524" t="s">
        <v>2125</v>
      </c>
    </row>
    <row r="246" spans="1:9" ht="14.25">
      <c r="A246" s="518"/>
      <c r="B246" s="518"/>
      <c r="D246" s="1295"/>
      <c r="E246" s="1295"/>
      <c r="F246" s="1295"/>
      <c r="I246" s="524"/>
    </row>
    <row r="247" spans="1:9" ht="14.25">
      <c r="A247" s="518"/>
      <c r="B247" s="518"/>
      <c r="D247" s="1295"/>
      <c r="E247" s="1295"/>
      <c r="F247" s="1295"/>
      <c r="I247" s="524"/>
    </row>
    <row r="248" spans="1:9" ht="14.25">
      <c r="A248" s="518"/>
      <c r="B248" s="518"/>
      <c r="E248" s="1071" t="s">
        <v>2194</v>
      </c>
      <c r="I248" s="524"/>
    </row>
    <row r="249" spans="1:9" ht="14.25">
      <c r="A249" s="518"/>
      <c r="B249" s="518"/>
      <c r="D249" s="480"/>
      <c r="E249" s="480"/>
      <c r="F249" s="480"/>
      <c r="I249" s="524"/>
    </row>
    <row r="250" spans="1:9" ht="14.45" customHeight="1">
      <c r="A250" s="518"/>
      <c r="B250" s="519" t="s">
        <v>2773</v>
      </c>
      <c r="D250" s="1295" t="s">
        <v>2366</v>
      </c>
      <c r="E250" s="1295"/>
      <c r="F250" s="1295"/>
      <c r="I250" s="524" t="s">
        <v>2143</v>
      </c>
    </row>
    <row r="251" spans="1:9" ht="14.25">
      <c r="A251" s="518"/>
      <c r="B251" s="518"/>
      <c r="D251" s="1295"/>
      <c r="E251" s="1295"/>
      <c r="F251" s="1295"/>
      <c r="I251" s="524"/>
    </row>
    <row r="252" spans="1:9" ht="14.25">
      <c r="A252" s="518"/>
      <c r="B252" s="518"/>
      <c r="D252" s="1295"/>
      <c r="E252" s="1295"/>
      <c r="F252" s="1295"/>
      <c r="I252" s="524"/>
    </row>
    <row r="253" spans="1:9" ht="14.25">
      <c r="A253" s="518"/>
      <c r="B253" s="518"/>
      <c r="D253" s="1295"/>
      <c r="E253" s="1295"/>
      <c r="F253" s="1295"/>
      <c r="I253" s="524"/>
    </row>
    <row r="254" spans="1:9" ht="14.25">
      <c r="A254" s="518"/>
      <c r="B254" s="518"/>
      <c r="D254" s="1295"/>
      <c r="E254" s="1295"/>
      <c r="F254" s="1295"/>
      <c r="I254" s="524"/>
    </row>
    <row r="255" spans="1:9" ht="14.25">
      <c r="A255" s="518"/>
      <c r="B255" s="518"/>
      <c r="D255" s="479"/>
      <c r="E255" s="479"/>
      <c r="F255" s="479"/>
      <c r="I255" s="524"/>
    </row>
    <row r="256" spans="1:9" ht="14.25">
      <c r="A256" s="518"/>
      <c r="B256" s="519" t="s">
        <v>2774</v>
      </c>
      <c r="D256" s="423" t="s">
        <v>2367</v>
      </c>
      <c r="E256" s="479"/>
      <c r="F256" s="479"/>
      <c r="I256" s="524" t="s">
        <v>2124</v>
      </c>
    </row>
    <row r="257" spans="1:9" ht="14.25">
      <c r="A257" s="518"/>
      <c r="B257" s="518"/>
      <c r="E257" s="1071" t="s">
        <v>2195</v>
      </c>
      <c r="I257" s="524"/>
    </row>
    <row r="258" spans="1:9">
      <c r="D258" s="480"/>
      <c r="E258" s="480"/>
      <c r="F258" s="480"/>
      <c r="I258" s="524"/>
    </row>
    <row r="259" spans="1:9" ht="14.25">
      <c r="A259" s="518"/>
      <c r="B259" s="519" t="s">
        <v>2774</v>
      </c>
      <c r="D259" s="1295" t="s">
        <v>1199</v>
      </c>
      <c r="E259" s="1295"/>
      <c r="F259" s="1295"/>
      <c r="I259" s="524"/>
    </row>
    <row r="260" spans="1:9" ht="14.25">
      <c r="A260" s="518"/>
      <c r="B260" s="518"/>
      <c r="D260" s="1295"/>
      <c r="E260" s="1295"/>
      <c r="F260" s="1295"/>
      <c r="I260" s="524"/>
    </row>
    <row r="261" spans="1:9">
      <c r="D261" s="525"/>
      <c r="I261" s="524"/>
    </row>
    <row r="262" spans="1:9">
      <c r="A262" s="1283" t="s">
        <v>1073</v>
      </c>
      <c r="B262" s="1283"/>
      <c r="C262" s="1283"/>
      <c r="D262" s="1283"/>
      <c r="E262" s="1283"/>
      <c r="F262" s="1283"/>
      <c r="G262" s="1283"/>
      <c r="H262" s="1063"/>
      <c r="I262" s="1259"/>
    </row>
    <row r="263" spans="1:9">
      <c r="D263" s="525"/>
      <c r="I263" s="524"/>
    </row>
    <row r="264" spans="1:9">
      <c r="C264" s="520"/>
      <c r="D264" s="1294" t="s">
        <v>1202</v>
      </c>
      <c r="E264" s="1294"/>
      <c r="F264" s="1294"/>
      <c r="I264" s="524"/>
    </row>
    <row r="265" spans="1:9">
      <c r="A265" s="516"/>
      <c r="B265" s="516"/>
      <c r="C265" s="516"/>
      <c r="D265" s="480"/>
      <c r="E265" s="480"/>
      <c r="F265" s="480"/>
      <c r="I265" s="524"/>
    </row>
    <row r="266" spans="1:9">
      <c r="A266" s="517"/>
      <c r="B266" s="517"/>
      <c r="C266" s="517"/>
      <c r="D266" s="1294" t="s">
        <v>269</v>
      </c>
      <c r="E266" s="1294"/>
      <c r="F266" s="1294"/>
      <c r="I266" s="524" t="s">
        <v>2126</v>
      </c>
    </row>
    <row r="267" spans="1:9" ht="14.45" customHeight="1">
      <c r="A267" s="518"/>
      <c r="B267" s="519" t="s">
        <v>2774</v>
      </c>
      <c r="D267" s="1295" t="s">
        <v>1300</v>
      </c>
      <c r="E267" s="1295"/>
      <c r="F267" s="1295"/>
      <c r="I267" s="524"/>
    </row>
    <row r="268" spans="1:9">
      <c r="D268" s="1295"/>
      <c r="E268" s="1295"/>
      <c r="F268" s="1295"/>
      <c r="I268" s="524"/>
    </row>
    <row r="269" spans="1:9">
      <c r="E269" s="1071" t="s">
        <v>2196</v>
      </c>
      <c r="I269" s="524"/>
    </row>
    <row r="270" spans="1:9">
      <c r="D270" s="480"/>
      <c r="E270" s="480"/>
      <c r="F270" s="480"/>
      <c r="I270" s="524"/>
    </row>
    <row r="271" spans="1:9" ht="14.45" customHeight="1">
      <c r="A271" s="518"/>
      <c r="B271" s="519" t="s">
        <v>2773</v>
      </c>
      <c r="D271" s="1295" t="s">
        <v>2368</v>
      </c>
      <c r="E271" s="1295"/>
      <c r="F271" s="1295"/>
      <c r="I271" s="524" t="s">
        <v>2144</v>
      </c>
    </row>
    <row r="272" spans="1:9">
      <c r="D272" s="1295"/>
      <c r="E272" s="1295"/>
      <c r="F272" s="1295"/>
      <c r="I272" s="524"/>
    </row>
    <row r="273" spans="1:9">
      <c r="D273" s="1295"/>
      <c r="E273" s="1295"/>
      <c r="F273" s="1295"/>
      <c r="I273" s="524"/>
    </row>
    <row r="274" spans="1:9">
      <c r="D274" s="1295"/>
      <c r="E274" s="1295"/>
      <c r="F274" s="1295"/>
      <c r="I274" s="524"/>
    </row>
    <row r="275" spans="1:9">
      <c r="D275" s="1295"/>
      <c r="E275" s="1295"/>
      <c r="F275" s="1295"/>
      <c r="I275" s="524"/>
    </row>
    <row r="276" spans="1:9">
      <c r="D276" s="1295"/>
      <c r="E276" s="1295"/>
      <c r="F276" s="1295"/>
      <c r="I276" s="524"/>
    </row>
    <row r="277" spans="1:9">
      <c r="D277" s="480"/>
      <c r="E277" s="480"/>
      <c r="F277" s="480"/>
      <c r="I277" s="524"/>
    </row>
    <row r="278" spans="1:9" ht="14.25">
      <c r="A278" s="518"/>
      <c r="B278" s="519" t="s">
        <v>2773</v>
      </c>
      <c r="D278" s="1295" t="s">
        <v>1205</v>
      </c>
      <c r="E278" s="1295"/>
      <c r="F278" s="1295"/>
      <c r="I278" s="524"/>
    </row>
    <row r="279" spans="1:9">
      <c r="D279" s="1295"/>
      <c r="E279" s="1295"/>
      <c r="F279" s="1295"/>
      <c r="I279" s="524"/>
    </row>
    <row r="280" spans="1:9">
      <c r="D280" s="1295"/>
      <c r="E280" s="1295"/>
      <c r="F280" s="1295"/>
      <c r="I280" s="524"/>
    </row>
    <row r="281" spans="1:9">
      <c r="D281" s="526"/>
      <c r="E281" s="480"/>
      <c r="F281" s="480"/>
      <c r="I281" s="524"/>
    </row>
    <row r="282" spans="1:9">
      <c r="A282" s="1283" t="s">
        <v>1074</v>
      </c>
      <c r="B282" s="1283"/>
      <c r="C282" s="1283"/>
      <c r="D282" s="1283"/>
      <c r="E282" s="1283"/>
      <c r="F282" s="1283"/>
      <c r="G282" s="1283"/>
      <c r="H282" s="1063"/>
      <c r="I282" s="1259"/>
    </row>
    <row r="283" spans="1:9">
      <c r="D283" s="526"/>
      <c r="E283" s="480"/>
      <c r="F283" s="480"/>
      <c r="I283" s="524"/>
    </row>
    <row r="284" spans="1:9">
      <c r="C284" s="516"/>
      <c r="D284" s="1297" t="s">
        <v>1207</v>
      </c>
      <c r="E284" s="1297"/>
      <c r="F284" s="1297"/>
      <c r="I284" s="524"/>
    </row>
    <row r="285" spans="1:9">
      <c r="C285" s="516"/>
      <c r="D285" s="1297"/>
      <c r="E285" s="1297"/>
      <c r="F285" s="1297"/>
      <c r="I285" s="524"/>
    </row>
    <row r="286" spans="1:9">
      <c r="A286" s="517"/>
      <c r="B286" s="517"/>
      <c r="C286" s="517"/>
      <c r="D286" s="435"/>
      <c r="I286" s="524"/>
    </row>
    <row r="287" spans="1:9">
      <c r="C287" s="517"/>
      <c r="D287" s="1294" t="s">
        <v>209</v>
      </c>
      <c r="E287" s="1294"/>
      <c r="F287" s="1294"/>
      <c r="I287" s="524"/>
    </row>
    <row r="288" spans="1:9" ht="15.75" customHeight="1">
      <c r="A288" s="518"/>
      <c r="B288" s="518"/>
      <c r="D288" s="1346" t="s">
        <v>1208</v>
      </c>
      <c r="E288" s="1346"/>
      <c r="F288" s="1346"/>
      <c r="I288" s="524"/>
    </row>
    <row r="289" spans="1:9">
      <c r="E289" s="480"/>
      <c r="F289" s="480"/>
      <c r="I289" s="524"/>
    </row>
    <row r="290" spans="1:9" ht="14.25">
      <c r="A290" s="518"/>
      <c r="B290" s="519" t="s">
        <v>2773</v>
      </c>
      <c r="D290" s="1295" t="s">
        <v>1209</v>
      </c>
      <c r="E290" s="1295"/>
      <c r="F290" s="1295"/>
      <c r="I290" s="524" t="s">
        <v>2088</v>
      </c>
    </row>
    <row r="291" spans="1:9" ht="14.25">
      <c r="A291" s="518"/>
      <c r="B291" s="518"/>
      <c r="D291" s="1295"/>
      <c r="E291" s="1295"/>
      <c r="F291" s="1295"/>
      <c r="I291" s="524"/>
    </row>
    <row r="292" spans="1:9">
      <c r="D292" s="480"/>
      <c r="E292" s="480"/>
      <c r="F292" s="480"/>
      <c r="I292" s="524"/>
    </row>
    <row r="293" spans="1:9" ht="14.25">
      <c r="A293" s="518"/>
      <c r="B293" s="519" t="s">
        <v>2773</v>
      </c>
      <c r="D293" s="1295" t="s">
        <v>1210</v>
      </c>
      <c r="E293" s="1295"/>
      <c r="F293" s="1295"/>
      <c r="I293" s="524" t="s">
        <v>2088</v>
      </c>
    </row>
    <row r="294" spans="1:9" ht="14.25">
      <c r="A294" s="518"/>
      <c r="B294" s="518"/>
      <c r="D294" s="1295"/>
      <c r="E294" s="1295"/>
      <c r="F294" s="1295"/>
      <c r="I294" s="524"/>
    </row>
    <row r="295" spans="1:9" ht="14.25">
      <c r="A295" s="518"/>
      <c r="B295" s="518"/>
      <c r="D295" s="1295"/>
      <c r="E295" s="1295"/>
      <c r="F295" s="1295"/>
      <c r="I295" s="524"/>
    </row>
    <row r="296" spans="1:9">
      <c r="D296" s="480"/>
      <c r="E296" s="480"/>
      <c r="F296" s="480"/>
      <c r="I296" s="524"/>
    </row>
    <row r="297" spans="1:9" ht="14.25">
      <c r="A297" s="518"/>
      <c r="B297" s="519" t="s">
        <v>2773</v>
      </c>
      <c r="D297" s="1295" t="s">
        <v>1211</v>
      </c>
      <c r="E297" s="1295"/>
      <c r="F297" s="1295"/>
      <c r="I297" s="524" t="s">
        <v>2088</v>
      </c>
    </row>
    <row r="298" spans="1:9" ht="14.25">
      <c r="A298" s="518"/>
      <c r="B298" s="518"/>
      <c r="D298" s="1295"/>
      <c r="E298" s="1295"/>
      <c r="F298" s="1295"/>
      <c r="I298" s="524"/>
    </row>
    <row r="299" spans="1:9">
      <c r="A299" s="524"/>
      <c r="B299" s="524"/>
      <c r="E299" s="480"/>
      <c r="F299" s="480"/>
      <c r="I299" s="524"/>
    </row>
    <row r="300" spans="1:9">
      <c r="A300" s="1283" t="s">
        <v>1075</v>
      </c>
      <c r="B300" s="1283"/>
      <c r="C300" s="1283"/>
      <c r="D300" s="1283"/>
      <c r="E300" s="1283"/>
      <c r="F300" s="1283"/>
      <c r="G300" s="1283"/>
      <c r="H300" s="1063"/>
      <c r="I300" s="1259"/>
    </row>
    <row r="301" spans="1:9">
      <c r="A301" s="524"/>
      <c r="B301" s="524"/>
      <c r="D301" s="480"/>
      <c r="E301" s="480"/>
      <c r="F301" s="480"/>
      <c r="I301" s="524"/>
    </row>
    <row r="302" spans="1:9">
      <c r="C302" s="524"/>
      <c r="D302" s="1294" t="s">
        <v>689</v>
      </c>
      <c r="E302" s="1294"/>
      <c r="F302" s="1294"/>
      <c r="I302" s="524"/>
    </row>
    <row r="303" spans="1:9">
      <c r="C303" s="524"/>
      <c r="D303" s="1296" t="s">
        <v>1212</v>
      </c>
      <c r="E303" s="1296"/>
      <c r="F303" s="1296"/>
      <c r="I303" s="524"/>
    </row>
    <row r="304" spans="1:9">
      <c r="C304" s="524"/>
      <c r="D304" s="527"/>
      <c r="I304" s="524"/>
    </row>
    <row r="305" spans="1:9">
      <c r="B305" s="519" t="s">
        <v>2773</v>
      </c>
      <c r="D305" s="1296" t="s">
        <v>1213</v>
      </c>
      <c r="E305" s="1296"/>
      <c r="F305" s="1296"/>
      <c r="I305" s="524" t="s">
        <v>2089</v>
      </c>
    </row>
    <row r="306" spans="1:9" ht="14.25">
      <c r="A306" s="518"/>
      <c r="B306" s="518"/>
      <c r="D306" s="528"/>
      <c r="E306" s="529"/>
      <c r="F306" s="529"/>
      <c r="I306" s="524"/>
    </row>
    <row r="307" spans="1:9" ht="13.7" customHeight="1">
      <c r="B307" s="519" t="s">
        <v>2773</v>
      </c>
      <c r="D307" s="1349" t="s">
        <v>1323</v>
      </c>
      <c r="E307" s="1349"/>
      <c r="F307" s="1349"/>
      <c r="I307" s="524" t="s">
        <v>2089</v>
      </c>
    </row>
    <row r="308" spans="1:9" ht="14.25">
      <c r="A308" s="518"/>
      <c r="B308" s="518"/>
      <c r="D308" s="1349"/>
      <c r="E308" s="1349"/>
      <c r="F308" s="1349"/>
      <c r="I308" s="524"/>
    </row>
    <row r="309" spans="1:9" ht="14.25">
      <c r="A309" s="518"/>
      <c r="B309" s="518"/>
      <c r="D309" s="1349"/>
      <c r="E309" s="1349"/>
      <c r="F309" s="1349"/>
      <c r="I309" s="524"/>
    </row>
    <row r="310" spans="1:9" ht="14.25">
      <c r="A310" s="518"/>
      <c r="B310" s="518"/>
      <c r="D310" s="1349"/>
      <c r="E310" s="1349"/>
      <c r="F310" s="1349"/>
      <c r="I310" s="524"/>
    </row>
    <row r="311" spans="1:9" ht="14.25">
      <c r="A311" s="518"/>
      <c r="B311" s="518"/>
      <c r="D311" s="1349"/>
      <c r="E311" s="1349"/>
      <c r="F311" s="1349"/>
      <c r="I311" s="524"/>
    </row>
    <row r="312" spans="1:9" ht="14.25">
      <c r="A312" s="518"/>
      <c r="B312" s="518"/>
      <c r="D312" s="528"/>
      <c r="E312" s="529"/>
      <c r="F312" s="529"/>
      <c r="I312" s="524"/>
    </row>
    <row r="313" spans="1:9" ht="13.7" customHeight="1">
      <c r="B313" s="519" t="s">
        <v>2773</v>
      </c>
      <c r="D313" s="1349" t="s">
        <v>1215</v>
      </c>
      <c r="E313" s="1349"/>
      <c r="F313" s="1349"/>
      <c r="I313" s="524" t="s">
        <v>2089</v>
      </c>
    </row>
    <row r="314" spans="1:9">
      <c r="D314" s="1349"/>
      <c r="E314" s="1349"/>
      <c r="F314" s="1349"/>
      <c r="I314" s="524"/>
    </row>
    <row r="315" spans="1:9" ht="14.25">
      <c r="A315" s="518"/>
      <c r="B315" s="518"/>
      <c r="D315" s="528"/>
      <c r="E315" s="529"/>
      <c r="F315" s="529"/>
      <c r="I315" s="524"/>
    </row>
    <row r="316" spans="1:9">
      <c r="B316" s="519" t="s">
        <v>2773</v>
      </c>
      <c r="D316" s="1296" t="s">
        <v>1216</v>
      </c>
      <c r="E316" s="1296"/>
      <c r="F316" s="1296"/>
      <c r="I316" s="524" t="s">
        <v>2075</v>
      </c>
    </row>
    <row r="317" spans="1:9">
      <c r="E317" s="480"/>
      <c r="F317" s="480"/>
      <c r="I317" s="524"/>
    </row>
    <row r="318" spans="1:9" ht="14.25">
      <c r="A318" s="518"/>
      <c r="B318" s="519" t="s">
        <v>2773</v>
      </c>
      <c r="D318" s="1295" t="s">
        <v>2387</v>
      </c>
      <c r="E318" s="1295"/>
      <c r="F318" s="1295"/>
      <c r="I318" s="524" t="s">
        <v>2090</v>
      </c>
    </row>
    <row r="319" spans="1:9" ht="14.25">
      <c r="A319" s="518"/>
      <c r="B319" s="518"/>
      <c r="D319" s="1295"/>
      <c r="E319" s="1295"/>
      <c r="F319" s="1295"/>
      <c r="I319" s="524"/>
    </row>
    <row r="320" spans="1:9" ht="14.25">
      <c r="A320" s="518"/>
      <c r="B320" s="518"/>
      <c r="D320" s="1295"/>
      <c r="E320" s="1295"/>
      <c r="F320" s="1295"/>
      <c r="I320" s="524"/>
    </row>
    <row r="321" spans="1:9" ht="14.25">
      <c r="A321" s="518"/>
      <c r="B321" s="518"/>
      <c r="D321" s="1295"/>
      <c r="E321" s="1295"/>
      <c r="F321" s="1295"/>
      <c r="I321" s="524"/>
    </row>
    <row r="322" spans="1:9" ht="14.25">
      <c r="A322" s="518"/>
      <c r="B322" s="518"/>
      <c r="D322" s="1295"/>
      <c r="E322" s="1295"/>
      <c r="F322" s="1295"/>
      <c r="I322" s="524"/>
    </row>
    <row r="323" spans="1:9" ht="14.25">
      <c r="A323" s="518"/>
      <c r="B323" s="518"/>
      <c r="D323" s="1295"/>
      <c r="E323" s="1295"/>
      <c r="F323" s="1295"/>
      <c r="I323" s="524"/>
    </row>
    <row r="324" spans="1:9" ht="14.25">
      <c r="A324" s="518"/>
      <c r="B324" s="518"/>
      <c r="D324" s="1295"/>
      <c r="E324" s="1295"/>
      <c r="F324" s="1295"/>
      <c r="I324" s="524"/>
    </row>
    <row r="325" spans="1:9" ht="14.25">
      <c r="A325" s="518"/>
      <c r="B325" s="518"/>
      <c r="D325" s="1295"/>
      <c r="E325" s="1295"/>
      <c r="F325" s="1295"/>
      <c r="I325" s="524"/>
    </row>
    <row r="326" spans="1:9" ht="14.25">
      <c r="A326" s="518"/>
      <c r="B326" s="518"/>
      <c r="D326" s="1295"/>
      <c r="E326" s="1295"/>
      <c r="F326" s="1295"/>
      <c r="I326" s="524"/>
    </row>
    <row r="327" spans="1:9" ht="14.25">
      <c r="A327" s="518"/>
      <c r="B327" s="518"/>
      <c r="D327" s="1295"/>
      <c r="E327" s="1295"/>
      <c r="F327" s="1295"/>
      <c r="I327" s="524"/>
    </row>
    <row r="328" spans="1:9" ht="14.25">
      <c r="A328" s="518"/>
      <c r="B328" s="518"/>
      <c r="D328" s="1295"/>
      <c r="E328" s="1295"/>
      <c r="F328" s="1295"/>
      <c r="I328" s="524"/>
    </row>
    <row r="329" spans="1:9" ht="14.25">
      <c r="A329" s="518"/>
      <c r="B329" s="518"/>
      <c r="D329" s="1295"/>
      <c r="E329" s="1295"/>
      <c r="F329" s="1295"/>
      <c r="I329" s="524"/>
    </row>
    <row r="330" spans="1:9" ht="14.25">
      <c r="A330" s="518"/>
      <c r="B330" s="518"/>
      <c r="D330" s="1295"/>
      <c r="E330" s="1295"/>
      <c r="F330" s="1295"/>
      <c r="I330" s="524"/>
    </row>
    <row r="331" spans="1:9" ht="14.25">
      <c r="A331" s="518"/>
      <c r="B331" s="518"/>
      <c r="D331" s="1295"/>
      <c r="E331" s="1295"/>
      <c r="F331" s="1295"/>
      <c r="I331" s="524"/>
    </row>
    <row r="332" spans="1:9" ht="14.25">
      <c r="A332" s="518"/>
      <c r="B332" s="518"/>
      <c r="D332" s="1295"/>
      <c r="E332" s="1295"/>
      <c r="F332" s="1295"/>
      <c r="I332" s="524"/>
    </row>
    <row r="333" spans="1:9">
      <c r="D333" s="480"/>
      <c r="E333" s="480"/>
      <c r="F333" s="480"/>
      <c r="I333" s="524"/>
    </row>
    <row r="334" spans="1:9" ht="14.25">
      <c r="A334" s="518"/>
      <c r="B334" s="519" t="s">
        <v>2773</v>
      </c>
      <c r="D334" s="1295" t="s">
        <v>1218</v>
      </c>
      <c r="E334" s="1295"/>
      <c r="F334" s="1295"/>
      <c r="I334" s="524" t="s">
        <v>2090</v>
      </c>
    </row>
    <row r="335" spans="1:9">
      <c r="D335" s="1295"/>
      <c r="E335" s="1295"/>
      <c r="F335" s="1295"/>
      <c r="I335" s="524"/>
    </row>
    <row r="336" spans="1:9">
      <c r="D336" s="1295"/>
      <c r="E336" s="1295"/>
      <c r="F336" s="1295"/>
      <c r="I336" s="524"/>
    </row>
    <row r="337" spans="1:9">
      <c r="D337" s="1295"/>
      <c r="E337" s="1295"/>
      <c r="F337" s="1295"/>
      <c r="I337" s="524"/>
    </row>
    <row r="338" spans="1:9">
      <c r="D338" s="1295"/>
      <c r="E338" s="1295"/>
      <c r="F338" s="1295"/>
      <c r="I338" s="524"/>
    </row>
    <row r="339" spans="1:9">
      <c r="D339" s="1295"/>
      <c r="E339" s="1295"/>
      <c r="F339" s="1295"/>
      <c r="I339" s="524"/>
    </row>
    <row r="340" spans="1:9">
      <c r="D340" s="1295"/>
      <c r="E340" s="1295"/>
      <c r="F340" s="1295"/>
      <c r="I340" s="524"/>
    </row>
    <row r="341" spans="1:9">
      <c r="D341" s="1295"/>
      <c r="E341" s="1295"/>
      <c r="F341" s="1295"/>
      <c r="I341" s="524"/>
    </row>
    <row r="342" spans="1:9">
      <c r="D342" s="1295"/>
      <c r="E342" s="1295"/>
      <c r="F342" s="1295"/>
      <c r="I342" s="524"/>
    </row>
    <row r="343" spans="1:9">
      <c r="D343" s="480"/>
      <c r="E343" s="480"/>
      <c r="F343" s="480"/>
      <c r="I343" s="524"/>
    </row>
    <row r="344" spans="1:9" ht="14.25" customHeight="1">
      <c r="A344" s="518"/>
      <c r="B344" s="519" t="s">
        <v>2773</v>
      </c>
      <c r="D344" s="1295" t="s">
        <v>2201</v>
      </c>
      <c r="E344" s="1295"/>
      <c r="F344" s="1295"/>
      <c r="I344" s="524" t="s">
        <v>2127</v>
      </c>
    </row>
    <row r="345" spans="1:9">
      <c r="D345" s="1295"/>
      <c r="E345" s="1295"/>
      <c r="F345" s="1295"/>
      <c r="I345" s="524"/>
    </row>
    <row r="346" spans="1:9">
      <c r="D346" s="1295"/>
      <c r="E346" s="1295"/>
      <c r="F346" s="1295"/>
      <c r="I346" s="524"/>
    </row>
    <row r="347" spans="1:9">
      <c r="D347" s="1295"/>
      <c r="E347" s="1295"/>
      <c r="F347" s="1295"/>
      <c r="I347" s="524"/>
    </row>
    <row r="348" spans="1:9">
      <c r="D348" s="417" t="s">
        <v>2200</v>
      </c>
      <c r="E348" s="416"/>
      <c r="F348" s="416"/>
      <c r="I348" s="524"/>
    </row>
    <row r="349" spans="1:9">
      <c r="D349" s="416"/>
      <c r="E349" s="96" t="s">
        <v>2197</v>
      </c>
      <c r="G349" s="96"/>
      <c r="I349" s="524"/>
    </row>
    <row r="350" spans="1:9">
      <c r="D350" s="479"/>
      <c r="E350" s="479"/>
      <c r="F350" s="479"/>
      <c r="I350" s="524"/>
    </row>
    <row r="351" spans="1:9" ht="13.5" thickBot="1">
      <c r="A351" s="1057"/>
      <c r="B351" s="1057"/>
      <c r="C351" s="1057"/>
      <c r="D351" s="1345" t="s">
        <v>996</v>
      </c>
      <c r="E351" s="1345"/>
      <c r="F351" s="1345"/>
      <c r="G351" s="1062"/>
      <c r="H351" s="1062"/>
      <c r="I351" s="1262"/>
    </row>
    <row r="352" spans="1:9" ht="13.5" thickTop="1">
      <c r="D352" s="1350" t="s">
        <v>1220</v>
      </c>
      <c r="E352" s="1350"/>
      <c r="F352" s="1350"/>
      <c r="I352" s="524"/>
    </row>
    <row r="353" spans="1:9">
      <c r="D353" s="480"/>
      <c r="E353" s="480"/>
      <c r="F353" s="480"/>
      <c r="I353" s="524"/>
    </row>
    <row r="354" spans="1:9">
      <c r="A354" s="510"/>
      <c r="B354" s="510"/>
      <c r="C354" s="510"/>
      <c r="D354" s="481"/>
      <c r="E354" s="481"/>
      <c r="F354" s="480"/>
      <c r="I354" s="524" t="s">
        <v>2091</v>
      </c>
    </row>
    <row r="355" spans="1:9" ht="14.25">
      <c r="A355" s="518"/>
      <c r="B355" s="519" t="s">
        <v>2773</v>
      </c>
      <c r="C355" s="521"/>
      <c r="D355" s="1296" t="s">
        <v>2199</v>
      </c>
      <c r="E355" s="1296"/>
      <c r="F355" s="1296"/>
      <c r="I355" s="1352" t="s">
        <v>2141</v>
      </c>
    </row>
    <row r="356" spans="1:9" ht="12.75" customHeight="1">
      <c r="D356" s="1072"/>
      <c r="E356" s="96" t="s">
        <v>2198</v>
      </c>
      <c r="F356" s="1072"/>
      <c r="I356" s="1353"/>
    </row>
    <row r="357" spans="1:9">
      <c r="D357" s="1295" t="s">
        <v>1344</v>
      </c>
      <c r="E357" s="1295"/>
      <c r="F357" s="1295"/>
      <c r="I357" s="1353"/>
    </row>
    <row r="358" spans="1:9">
      <c r="D358" s="1295"/>
      <c r="E358" s="1295"/>
      <c r="F358" s="1295"/>
      <c r="I358" s="1353"/>
    </row>
    <row r="359" spans="1:9">
      <c r="D359" s="1295"/>
      <c r="E359" s="1295"/>
      <c r="F359" s="1295"/>
      <c r="I359" s="1354"/>
    </row>
    <row r="360" spans="1:9" ht="14.25">
      <c r="A360" s="518"/>
      <c r="B360" s="519" t="s">
        <v>2773</v>
      </c>
      <c r="C360" s="510"/>
      <c r="D360" s="1281" t="s">
        <v>2369</v>
      </c>
      <c r="E360" s="1281"/>
      <c r="F360" s="1281"/>
      <c r="I360" s="514"/>
    </row>
    <row r="361" spans="1:9">
      <c r="A361" s="510"/>
      <c r="B361" s="510"/>
      <c r="C361" s="510"/>
      <c r="D361" s="481"/>
      <c r="E361" s="481"/>
      <c r="F361" s="480"/>
      <c r="I361" s="524"/>
    </row>
    <row r="362" spans="1:9">
      <c r="A362" s="510"/>
      <c r="B362" s="519" t="s">
        <v>2773</v>
      </c>
      <c r="C362" s="510"/>
      <c r="D362" s="1277" t="s">
        <v>2370</v>
      </c>
      <c r="E362" s="1277"/>
      <c r="F362" s="1277"/>
      <c r="I362" s="524"/>
    </row>
    <row r="363" spans="1:9">
      <c r="A363" s="510"/>
      <c r="B363" s="510"/>
      <c r="C363" s="510"/>
      <c r="D363" s="1277"/>
      <c r="E363" s="1277"/>
      <c r="F363" s="1277"/>
      <c r="I363" s="524"/>
    </row>
    <row r="364" spans="1:9">
      <c r="A364" s="510"/>
      <c r="B364" s="510"/>
      <c r="C364" s="510"/>
      <c r="D364" s="1277"/>
      <c r="E364" s="1277"/>
      <c r="F364" s="1277"/>
      <c r="I364" s="524"/>
    </row>
    <row r="365" spans="1:9">
      <c r="A365" s="510"/>
      <c r="B365" s="510"/>
      <c r="C365" s="510"/>
      <c r="D365" s="1277"/>
      <c r="E365" s="1277"/>
      <c r="F365" s="1277"/>
      <c r="I365" s="524"/>
    </row>
    <row r="366" spans="1:9">
      <c r="A366" s="510"/>
      <c r="B366" s="510"/>
      <c r="C366" s="510"/>
      <c r="D366" s="1277"/>
      <c r="E366" s="1277"/>
      <c r="F366" s="1277"/>
      <c r="I366" s="524"/>
    </row>
    <row r="367" spans="1:9">
      <c r="A367" s="510"/>
      <c r="B367" s="510"/>
      <c r="C367" s="510"/>
      <c r="D367" s="1277"/>
      <c r="E367" s="1277"/>
      <c r="F367" s="1277"/>
      <c r="I367" s="524"/>
    </row>
    <row r="368" spans="1:9">
      <c r="A368" s="510"/>
      <c r="B368" s="510"/>
      <c r="C368" s="510"/>
      <c r="D368" s="1277"/>
      <c r="E368" s="1277"/>
      <c r="F368" s="1277"/>
      <c r="I368" s="524"/>
    </row>
    <row r="369" spans="1:9">
      <c r="A369" s="510"/>
      <c r="B369" s="510"/>
      <c r="C369" s="510"/>
      <c r="D369" s="1277"/>
      <c r="E369" s="1277"/>
      <c r="F369" s="1277"/>
      <c r="I369" s="524"/>
    </row>
    <row r="370" spans="1:9">
      <c r="A370" s="510"/>
      <c r="B370" s="510"/>
      <c r="C370" s="510"/>
      <c r="D370" s="1277"/>
      <c r="E370" s="1277"/>
      <c r="F370" s="1277"/>
      <c r="I370" s="524"/>
    </row>
    <row r="371" spans="1:9">
      <c r="A371" s="510"/>
      <c r="B371" s="510"/>
      <c r="C371" s="510"/>
      <c r="D371" s="1277"/>
      <c r="E371" s="1277"/>
      <c r="F371" s="1277"/>
      <c r="I371" s="524"/>
    </row>
    <row r="372" spans="1:9">
      <c r="A372" s="510"/>
      <c r="B372" s="510"/>
      <c r="C372" s="510"/>
      <c r="D372" s="1277"/>
      <c r="E372" s="1277"/>
      <c r="F372" s="1277"/>
      <c r="I372" s="524"/>
    </row>
    <row r="373" spans="1:9">
      <c r="A373" s="510"/>
      <c r="B373" s="510"/>
      <c r="C373" s="510"/>
      <c r="D373" s="1277"/>
      <c r="E373" s="1277"/>
      <c r="F373" s="1277"/>
      <c r="I373" s="524"/>
    </row>
    <row r="374" spans="1:9">
      <c r="A374" s="510"/>
      <c r="B374" s="510"/>
      <c r="C374" s="510"/>
      <c r="D374" s="485"/>
      <c r="E374" s="485"/>
      <c r="F374" s="485"/>
      <c r="I374" s="524"/>
    </row>
    <row r="375" spans="1:9" ht="12.6" customHeight="1">
      <c r="A375" s="510"/>
      <c r="B375" s="519" t="s">
        <v>2773</v>
      </c>
      <c r="C375" s="510"/>
      <c r="D375" s="1325" t="s">
        <v>1325</v>
      </c>
      <c r="E375" s="1325"/>
      <c r="F375" s="1325"/>
      <c r="I375" s="524"/>
    </row>
    <row r="376" spans="1:9">
      <c r="A376" s="510"/>
      <c r="B376" s="510"/>
      <c r="C376" s="510"/>
      <c r="D376" s="1325"/>
      <c r="E376" s="1325"/>
      <c r="F376" s="1325"/>
      <c r="I376" s="524"/>
    </row>
    <row r="377" spans="1:9">
      <c r="A377" s="510"/>
      <c r="B377" s="510"/>
      <c r="C377" s="510"/>
      <c r="D377" s="1325"/>
      <c r="E377" s="1325"/>
      <c r="F377" s="1325"/>
      <c r="I377" s="524"/>
    </row>
    <row r="378" spans="1:9">
      <c r="A378" s="510"/>
      <c r="B378" s="510"/>
      <c r="C378" s="510"/>
      <c r="D378" s="1325"/>
      <c r="E378" s="1325"/>
      <c r="F378" s="1325"/>
      <c r="I378" s="524"/>
    </row>
    <row r="379" spans="1:9">
      <c r="A379" s="510"/>
      <c r="B379" s="510"/>
      <c r="C379" s="510"/>
      <c r="D379" s="558"/>
      <c r="E379" s="558"/>
      <c r="F379" s="558"/>
      <c r="I379" s="524"/>
    </row>
    <row r="380" spans="1:9">
      <c r="A380" s="510"/>
      <c r="B380" s="519" t="s">
        <v>2773</v>
      </c>
      <c r="C380" s="510"/>
      <c r="D380" s="433" t="s">
        <v>2023</v>
      </c>
      <c r="E380" s="558"/>
      <c r="F380" s="558"/>
      <c r="I380" s="524"/>
    </row>
    <row r="381" spans="1:9">
      <c r="A381" s="510"/>
      <c r="B381" s="510"/>
      <c r="C381" s="510"/>
      <c r="D381" s="433" t="s">
        <v>2024</v>
      </c>
      <c r="E381" s="558"/>
      <c r="F381" s="558"/>
      <c r="I381" s="524"/>
    </row>
    <row r="382" spans="1:9">
      <c r="A382" s="510"/>
      <c r="B382" s="510"/>
      <c r="C382" s="510"/>
      <c r="D382" s="433" t="s">
        <v>2025</v>
      </c>
      <c r="E382" s="558"/>
      <c r="F382" s="558"/>
      <c r="I382" s="524"/>
    </row>
    <row r="383" spans="1:9">
      <c r="A383" s="510"/>
      <c r="B383" s="510"/>
      <c r="C383" s="510"/>
      <c r="D383" s="433" t="s">
        <v>2026</v>
      </c>
      <c r="E383" s="558"/>
      <c r="F383" s="558"/>
      <c r="I383" s="524"/>
    </row>
    <row r="384" spans="1:9">
      <c r="A384" s="510"/>
      <c r="B384" s="510"/>
      <c r="C384" s="510"/>
      <c r="D384" s="433" t="s">
        <v>2027</v>
      </c>
      <c r="E384" s="558"/>
      <c r="F384" s="558"/>
      <c r="I384" s="524"/>
    </row>
    <row r="385" spans="1:9">
      <c r="A385" s="510"/>
      <c r="B385" s="510"/>
      <c r="C385" s="510"/>
      <c r="D385" s="433" t="s">
        <v>2028</v>
      </c>
      <c r="E385" s="558"/>
      <c r="F385" s="558"/>
      <c r="I385" s="524"/>
    </row>
    <row r="386" spans="1:9">
      <c r="A386" s="510"/>
      <c r="B386" s="510"/>
      <c r="C386" s="510"/>
      <c r="E386" s="481"/>
      <c r="F386" s="480"/>
      <c r="I386" s="524"/>
    </row>
    <row r="387" spans="1:9" ht="14.25">
      <c r="A387" s="518"/>
      <c r="B387" s="519" t="s">
        <v>2773</v>
      </c>
      <c r="C387" s="510"/>
      <c r="D387" s="1277" t="s">
        <v>1223</v>
      </c>
      <c r="E387" s="1277"/>
      <c r="F387" s="1277"/>
      <c r="I387" s="524"/>
    </row>
    <row r="388" spans="1:9">
      <c r="A388" s="510"/>
      <c r="B388" s="510"/>
      <c r="C388" s="510"/>
      <c r="D388" s="1277"/>
      <c r="E388" s="1277"/>
      <c r="F388" s="1277"/>
      <c r="I388" s="524"/>
    </row>
    <row r="389" spans="1:9">
      <c r="A389" s="510"/>
      <c r="B389" s="510"/>
      <c r="C389" s="510"/>
      <c r="D389" s="1277"/>
      <c r="E389" s="1277"/>
      <c r="F389" s="1277"/>
      <c r="I389" s="524"/>
    </row>
    <row r="390" spans="1:9">
      <c r="A390" s="510"/>
      <c r="B390" s="510"/>
      <c r="C390" s="510"/>
      <c r="D390" s="1277"/>
      <c r="E390" s="1277"/>
      <c r="F390" s="1277"/>
      <c r="I390" s="524"/>
    </row>
    <row r="391" spans="1:9">
      <c r="A391" s="510"/>
      <c r="B391" s="510"/>
      <c r="C391" s="510"/>
      <c r="D391" s="481"/>
      <c r="E391" s="481"/>
      <c r="F391" s="480"/>
      <c r="I391" s="524"/>
    </row>
    <row r="392" spans="1:9">
      <c r="A392" s="510"/>
      <c r="B392" s="510"/>
      <c r="C392" s="510"/>
      <c r="D392" s="1277" t="s">
        <v>1224</v>
      </c>
      <c r="E392" s="1277"/>
      <c r="F392" s="1277"/>
      <c r="I392" s="524"/>
    </row>
    <row r="393" spans="1:9">
      <c r="A393" s="510"/>
      <c r="B393" s="510"/>
      <c r="C393" s="510"/>
      <c r="D393" s="1277"/>
      <c r="E393" s="1277"/>
      <c r="F393" s="1277"/>
      <c r="I393" s="524"/>
    </row>
    <row r="394" spans="1:9">
      <c r="A394" s="510"/>
      <c r="B394" s="510"/>
      <c r="C394" s="510"/>
      <c r="D394" s="1277"/>
      <c r="E394" s="1277"/>
      <c r="F394" s="1277"/>
      <c r="I394" s="524"/>
    </row>
    <row r="395" spans="1:9">
      <c r="A395" s="510"/>
      <c r="B395" s="510"/>
      <c r="C395" s="510"/>
      <c r="D395" s="1277"/>
      <c r="E395" s="1277"/>
      <c r="F395" s="1277"/>
      <c r="I395" s="524"/>
    </row>
    <row r="396" spans="1:9" ht="18" customHeight="1">
      <c r="A396" s="510"/>
      <c r="B396" s="510"/>
      <c r="C396" s="510"/>
      <c r="D396" s="1277"/>
      <c r="E396" s="1277"/>
      <c r="F396" s="1277"/>
      <c r="I396" s="524"/>
    </row>
    <row r="397" spans="1:9">
      <c r="A397" s="510"/>
      <c r="B397" s="510"/>
      <c r="C397" s="510"/>
      <c r="D397" s="1277"/>
      <c r="E397" s="1277"/>
      <c r="F397" s="1277"/>
      <c r="I397" s="524"/>
    </row>
    <row r="398" spans="1:9">
      <c r="A398" s="510"/>
      <c r="B398" s="510"/>
      <c r="C398" s="510"/>
      <c r="D398" s="1277"/>
      <c r="E398" s="1277"/>
      <c r="F398" s="1277"/>
      <c r="I398" s="524"/>
    </row>
    <row r="399" spans="1:9">
      <c r="A399" s="510"/>
      <c r="B399" s="510"/>
      <c r="C399" s="510"/>
      <c r="D399" s="1277"/>
      <c r="E399" s="1277"/>
      <c r="F399" s="1277"/>
      <c r="I399" s="524"/>
    </row>
    <row r="400" spans="1:9" ht="8.25" customHeight="1">
      <c r="A400" s="510"/>
      <c r="B400" s="510"/>
      <c r="C400" s="510"/>
      <c r="D400" s="1277"/>
      <c r="E400" s="1277"/>
      <c r="F400" s="1277"/>
      <c r="I400" s="524"/>
    </row>
    <row r="401" spans="1:9" ht="13.7" customHeight="1">
      <c r="A401" s="510"/>
      <c r="B401" s="510"/>
      <c r="C401" s="510"/>
      <c r="D401" s="1277" t="s">
        <v>1225</v>
      </c>
      <c r="E401" s="1277"/>
      <c r="F401" s="1277"/>
      <c r="I401" s="524"/>
    </row>
    <row r="402" spans="1:9">
      <c r="A402" s="510"/>
      <c r="B402" s="510"/>
      <c r="C402" s="510"/>
      <c r="D402" s="1277"/>
      <c r="E402" s="1277"/>
      <c r="F402" s="1277"/>
      <c r="I402" s="524"/>
    </row>
    <row r="403" spans="1:9">
      <c r="A403" s="510"/>
      <c r="B403" s="510"/>
      <c r="C403" s="510"/>
      <c r="D403" s="1277"/>
      <c r="E403" s="1277"/>
      <c r="F403" s="1277"/>
      <c r="I403" s="524"/>
    </row>
    <row r="404" spans="1:9">
      <c r="A404" s="510"/>
      <c r="B404" s="510"/>
      <c r="C404" s="510"/>
      <c r="D404" s="1277"/>
      <c r="E404" s="1277"/>
      <c r="F404" s="1277"/>
      <c r="I404" s="524"/>
    </row>
    <row r="405" spans="1:9">
      <c r="A405" s="510"/>
      <c r="B405" s="510"/>
      <c r="C405" s="510"/>
      <c r="D405" s="1277"/>
      <c r="E405" s="1277"/>
      <c r="F405" s="1277"/>
      <c r="I405" s="524"/>
    </row>
    <row r="406" spans="1:9">
      <c r="A406" s="510"/>
      <c r="B406" s="510"/>
      <c r="C406" s="510"/>
      <c r="D406" s="1277"/>
      <c r="E406" s="1277"/>
      <c r="F406" s="1277"/>
      <c r="I406" s="524"/>
    </row>
    <row r="407" spans="1:9">
      <c r="A407" s="510"/>
      <c r="B407" s="510"/>
      <c r="C407" s="510"/>
      <c r="D407" s="1277"/>
      <c r="E407" s="1277"/>
      <c r="F407" s="1277"/>
      <c r="I407" s="524"/>
    </row>
    <row r="408" spans="1:9">
      <c r="A408" s="510"/>
      <c r="B408" s="510"/>
      <c r="C408" s="510"/>
      <c r="D408" s="1277"/>
      <c r="E408" s="1277"/>
      <c r="F408" s="1277"/>
      <c r="I408" s="524"/>
    </row>
    <row r="409" spans="1:9">
      <c r="A409" s="510"/>
      <c r="B409" s="510"/>
      <c r="C409" s="510"/>
      <c r="D409" s="1277"/>
      <c r="E409" s="1277"/>
      <c r="F409" s="1277"/>
      <c r="I409" s="524"/>
    </row>
    <row r="410" spans="1:9">
      <c r="A410" s="510"/>
      <c r="B410" s="510"/>
      <c r="C410" s="510"/>
      <c r="D410" s="1277"/>
      <c r="E410" s="1277"/>
      <c r="F410" s="1277"/>
      <c r="I410" s="524"/>
    </row>
    <row r="411" spans="1:9">
      <c r="A411" s="510"/>
      <c r="B411" s="510"/>
      <c r="C411" s="510"/>
      <c r="D411" s="1277"/>
      <c r="E411" s="1277"/>
      <c r="F411" s="1277"/>
      <c r="I411" s="524"/>
    </row>
    <row r="412" spans="1:9">
      <c r="A412" s="510"/>
      <c r="B412" s="510"/>
      <c r="C412" s="510"/>
      <c r="D412" s="1277"/>
      <c r="E412" s="1277"/>
      <c r="F412" s="1277"/>
      <c r="I412" s="524"/>
    </row>
    <row r="413" spans="1:9">
      <c r="A413" s="510"/>
      <c r="B413" s="510"/>
      <c r="C413" s="530"/>
      <c r="D413" s="1277"/>
      <c r="E413" s="1277"/>
      <c r="F413" s="1277"/>
      <c r="I413" s="524"/>
    </row>
    <row r="414" spans="1:9">
      <c r="A414" s="510"/>
      <c r="B414" s="510"/>
      <c r="C414" s="530"/>
      <c r="D414" s="1277"/>
      <c r="E414" s="1277"/>
      <c r="F414" s="1277"/>
      <c r="I414" s="524"/>
    </row>
    <row r="415" spans="1:9">
      <c r="A415" s="510"/>
      <c r="B415" s="510"/>
      <c r="C415" s="510"/>
      <c r="D415" s="1277"/>
      <c r="E415" s="1277"/>
      <c r="F415" s="1277"/>
      <c r="I415" s="524"/>
    </row>
    <row r="416" spans="1:9">
      <c r="A416" s="510"/>
      <c r="B416" s="510"/>
      <c r="C416" s="530"/>
      <c r="D416" s="1277"/>
      <c r="E416" s="1277"/>
      <c r="F416" s="1277"/>
      <c r="I416" s="524"/>
    </row>
    <row r="417" spans="1:9">
      <c r="A417" s="510"/>
      <c r="B417" s="510"/>
      <c r="C417" s="530"/>
      <c r="D417" s="1277"/>
      <c r="E417" s="1277"/>
      <c r="F417" s="1277"/>
      <c r="I417" s="524"/>
    </row>
    <row r="418" spans="1:9">
      <c r="A418" s="510"/>
      <c r="B418" s="510"/>
      <c r="C418" s="530"/>
      <c r="D418" s="1277"/>
      <c r="E418" s="1277"/>
      <c r="F418" s="1277"/>
      <c r="I418" s="524"/>
    </row>
    <row r="419" spans="1:9">
      <c r="A419" s="510"/>
      <c r="B419" s="510"/>
      <c r="C419" s="510"/>
      <c r="D419" s="481"/>
      <c r="E419" s="481"/>
      <c r="F419" s="480"/>
      <c r="I419" s="524"/>
    </row>
    <row r="420" spans="1:9">
      <c r="A420" s="510"/>
      <c r="B420" s="519" t="s">
        <v>2773</v>
      </c>
      <c r="C420" s="510"/>
      <c r="D420" s="1277" t="s">
        <v>1226</v>
      </c>
      <c r="E420" s="1277"/>
      <c r="F420" s="1277"/>
      <c r="I420" s="524"/>
    </row>
    <row r="421" spans="1:9">
      <c r="A421" s="510"/>
      <c r="B421" s="510"/>
      <c r="C421" s="510"/>
      <c r="D421" s="1277"/>
      <c r="E421" s="1277"/>
      <c r="F421" s="1277"/>
      <c r="I421" s="524"/>
    </row>
    <row r="422" spans="1:9">
      <c r="A422" s="510"/>
      <c r="B422" s="510"/>
      <c r="C422" s="510"/>
      <c r="D422" s="485"/>
      <c r="E422" s="485"/>
      <c r="F422" s="485"/>
      <c r="I422" s="524"/>
    </row>
    <row r="423" spans="1:9" ht="14.45" customHeight="1">
      <c r="A423" s="518"/>
      <c r="B423" s="519" t="s">
        <v>2773</v>
      </c>
      <c r="D423" s="1277" t="s">
        <v>2128</v>
      </c>
      <c r="E423" s="1277"/>
      <c r="F423" s="1277"/>
      <c r="I423" s="524"/>
    </row>
    <row r="424" spans="1:9" ht="14.45" customHeight="1">
      <c r="A424" s="518"/>
      <c r="D424" s="1277"/>
      <c r="E424" s="1277"/>
      <c r="F424" s="1277"/>
      <c r="I424" s="524"/>
    </row>
    <row r="425" spans="1:9" ht="14.45" customHeight="1">
      <c r="A425" s="518"/>
      <c r="D425" s="1277"/>
      <c r="E425" s="1277"/>
      <c r="F425" s="1277"/>
      <c r="I425" s="524"/>
    </row>
    <row r="426" spans="1:9" ht="14.45" customHeight="1">
      <c r="A426" s="518"/>
      <c r="D426" s="1277"/>
      <c r="E426" s="1277"/>
      <c r="F426" s="1277"/>
      <c r="I426" s="524"/>
    </row>
    <row r="427" spans="1:9" ht="14.45" customHeight="1">
      <c r="A427" s="518"/>
      <c r="D427" s="1277"/>
      <c r="E427" s="1277"/>
      <c r="F427" s="1277"/>
      <c r="I427" s="524"/>
    </row>
    <row r="428" spans="1:9" ht="14.45" customHeight="1">
      <c r="A428" s="518"/>
      <c r="D428" s="416"/>
      <c r="E428" s="416"/>
      <c r="F428" s="416"/>
      <c r="I428" s="524"/>
    </row>
    <row r="429" spans="1:9" ht="13.7" customHeight="1">
      <c r="A429" s="518"/>
      <c r="B429" s="519" t="s">
        <v>2773</v>
      </c>
      <c r="C429" s="510"/>
      <c r="D429" s="1277" t="s">
        <v>1345</v>
      </c>
      <c r="E429" s="1277"/>
      <c r="F429" s="1277"/>
      <c r="I429" s="524"/>
    </row>
    <row r="430" spans="1:9" ht="14.25">
      <c r="A430" s="531"/>
      <c r="B430" s="531"/>
      <c r="C430" s="510"/>
      <c r="D430" s="1277"/>
      <c r="E430" s="1277"/>
      <c r="F430" s="1277"/>
      <c r="I430" s="524"/>
    </row>
    <row r="431" spans="1:9" ht="14.25">
      <c r="A431" s="531"/>
      <c r="B431" s="531"/>
      <c r="C431" s="510"/>
      <c r="D431" s="1277"/>
      <c r="E431" s="1277"/>
      <c r="F431" s="1277"/>
      <c r="I431" s="524"/>
    </row>
    <row r="432" spans="1:9" ht="14.25">
      <c r="A432" s="531"/>
      <c r="B432" s="531"/>
      <c r="C432" s="510"/>
      <c r="D432" s="1277"/>
      <c r="E432" s="1277"/>
      <c r="F432" s="1277"/>
      <c r="I432" s="524"/>
    </row>
    <row r="433" spans="1:9" ht="15.75" customHeight="1">
      <c r="A433" s="531"/>
      <c r="B433" s="531"/>
      <c r="C433" s="510"/>
      <c r="D433" s="1348" t="s">
        <v>2388</v>
      </c>
      <c r="E433" s="1277"/>
      <c r="F433" s="1277"/>
      <c r="I433" s="524"/>
    </row>
    <row r="434" spans="1:9">
      <c r="D434" s="480"/>
      <c r="E434" s="480"/>
      <c r="F434" s="480"/>
      <c r="I434" s="524"/>
    </row>
    <row r="435" spans="1:9" ht="14.25">
      <c r="A435" s="518"/>
      <c r="B435" s="519" t="s">
        <v>2773</v>
      </c>
      <c r="C435" s="521"/>
      <c r="D435" s="1295" t="s">
        <v>2371</v>
      </c>
      <c r="E435" s="1295"/>
      <c r="F435" s="1295"/>
      <c r="I435" s="524"/>
    </row>
    <row r="436" spans="1:9" ht="14.25">
      <c r="A436" s="518"/>
      <c r="B436" s="518"/>
      <c r="D436" s="1295"/>
      <c r="E436" s="1295"/>
      <c r="F436" s="1295"/>
      <c r="I436" s="524"/>
    </row>
    <row r="437" spans="1:9">
      <c r="D437" s="1295"/>
      <c r="E437" s="1295"/>
      <c r="F437" s="1295"/>
      <c r="I437" s="524"/>
    </row>
    <row r="438" spans="1:9">
      <c r="D438" s="1295"/>
      <c r="E438" s="1295"/>
      <c r="F438" s="1295"/>
      <c r="I438" s="524"/>
    </row>
    <row r="439" spans="1:9">
      <c r="D439" s="1295"/>
      <c r="E439" s="1295"/>
      <c r="F439" s="1295"/>
      <c r="I439" s="524"/>
    </row>
    <row r="440" spans="1:9">
      <c r="D440" s="1295"/>
      <c r="E440" s="1295"/>
      <c r="F440" s="1295"/>
      <c r="I440" s="524"/>
    </row>
    <row r="441" spans="1:9">
      <c r="D441" s="1295"/>
      <c r="E441" s="1295"/>
      <c r="F441" s="1295"/>
      <c r="I441" s="524"/>
    </row>
    <row r="442" spans="1:9">
      <c r="D442" s="1295"/>
      <c r="E442" s="1295"/>
      <c r="F442" s="1295"/>
      <c r="I442" s="524"/>
    </row>
    <row r="443" spans="1:9">
      <c r="D443" s="1295"/>
      <c r="E443" s="1295"/>
      <c r="F443" s="1295"/>
      <c r="I443" s="524"/>
    </row>
    <row r="444" spans="1:9">
      <c r="D444" s="1295"/>
      <c r="E444" s="1295"/>
      <c r="F444" s="1295"/>
      <c r="I444" s="524"/>
    </row>
    <row r="445" spans="1:9">
      <c r="D445" s="1295"/>
      <c r="E445" s="1295"/>
      <c r="F445" s="1295"/>
      <c r="I445" s="524"/>
    </row>
    <row r="446" spans="1:9">
      <c r="D446" s="1295"/>
      <c r="E446" s="1295"/>
      <c r="F446" s="1295"/>
      <c r="I446" s="524"/>
    </row>
    <row r="447" spans="1:9">
      <c r="D447" s="1295"/>
      <c r="E447" s="1295"/>
      <c r="F447" s="1295"/>
      <c r="I447" s="524"/>
    </row>
    <row r="448" spans="1:9">
      <c r="A448" s="433"/>
      <c r="B448" s="433"/>
      <c r="C448" s="433"/>
      <c r="D448" s="1295"/>
      <c r="E448" s="1295"/>
      <c r="F448" s="1295"/>
      <c r="I448" s="524"/>
    </row>
    <row r="449" spans="1:9">
      <c r="A449" s="433"/>
      <c r="B449" s="433"/>
      <c r="C449" s="433"/>
      <c r="D449" s="1295"/>
      <c r="E449" s="1295"/>
      <c r="F449" s="1295"/>
      <c r="I449" s="524"/>
    </row>
    <row r="450" spans="1:9">
      <c r="A450" s="433"/>
      <c r="B450" s="433"/>
      <c r="C450" s="433"/>
      <c r="D450" s="1295"/>
      <c r="E450" s="1295"/>
      <c r="F450" s="1295"/>
      <c r="I450" s="524"/>
    </row>
    <row r="451" spans="1:9">
      <c r="A451" s="433"/>
      <c r="B451" s="433"/>
      <c r="C451" s="433"/>
      <c r="D451" s="1295"/>
      <c r="E451" s="1295"/>
      <c r="F451" s="1295"/>
      <c r="I451" s="524"/>
    </row>
    <row r="452" spans="1:9">
      <c r="A452" s="433"/>
      <c r="B452" s="433"/>
      <c r="C452" s="433"/>
      <c r="D452" s="1295"/>
      <c r="E452" s="1295"/>
      <c r="F452" s="1295"/>
      <c r="I452" s="524"/>
    </row>
    <row r="453" spans="1:9">
      <c r="A453" s="433"/>
      <c r="B453" s="433"/>
      <c r="C453" s="433"/>
      <c r="D453" s="1295"/>
      <c r="E453" s="1295"/>
      <c r="F453" s="1295"/>
      <c r="I453" s="524"/>
    </row>
    <row r="454" spans="1:9">
      <c r="A454" s="433"/>
      <c r="B454" s="433"/>
      <c r="C454" s="433"/>
      <c r="D454" s="1295"/>
      <c r="E454" s="1295"/>
      <c r="F454" s="1295"/>
      <c r="I454" s="524"/>
    </row>
    <row r="455" spans="1:9">
      <c r="A455" s="433"/>
      <c r="B455" s="433"/>
      <c r="C455" s="433"/>
      <c r="D455" s="1295"/>
      <c r="E455" s="1295"/>
      <c r="F455" s="1295"/>
      <c r="I455" s="524"/>
    </row>
    <row r="456" spans="1:9">
      <c r="A456" s="433"/>
      <c r="B456" s="433"/>
      <c r="C456" s="433"/>
      <c r="D456" s="1295"/>
      <c r="E456" s="1295"/>
      <c r="F456" s="1295"/>
      <c r="I456" s="524"/>
    </row>
    <row r="457" spans="1:9">
      <c r="A457" s="433"/>
      <c r="B457" s="433"/>
      <c r="C457" s="433"/>
      <c r="D457" s="1295"/>
      <c r="E457" s="1295"/>
      <c r="F457" s="1295"/>
      <c r="I457" s="524"/>
    </row>
    <row r="458" spans="1:9">
      <c r="A458" s="433"/>
      <c r="B458" s="433"/>
      <c r="C458" s="433"/>
      <c r="D458" s="1295"/>
      <c r="E458" s="1295"/>
      <c r="F458" s="1295"/>
      <c r="I458" s="524"/>
    </row>
    <row r="459" spans="1:9">
      <c r="A459" s="433"/>
      <c r="B459" s="433"/>
      <c r="C459" s="433"/>
      <c r="D459" s="1295"/>
      <c r="E459" s="1295"/>
      <c r="F459" s="1295"/>
      <c r="I459" s="524"/>
    </row>
    <row r="460" spans="1:9">
      <c r="A460" s="433"/>
      <c r="B460" s="433"/>
      <c r="C460" s="433"/>
      <c r="D460" s="1295"/>
      <c r="E460" s="1295"/>
      <c r="F460" s="1295"/>
      <c r="I460" s="524"/>
    </row>
    <row r="461" spans="1:9">
      <c r="A461" s="433"/>
      <c r="B461" s="433"/>
      <c r="C461" s="433"/>
      <c r="D461" s="1295"/>
      <c r="E461" s="1295"/>
      <c r="F461" s="1295"/>
      <c r="I461" s="524"/>
    </row>
    <row r="462" spans="1:9">
      <c r="A462" s="433"/>
      <c r="B462" s="433"/>
      <c r="C462" s="433"/>
      <c r="D462" s="1295"/>
      <c r="E462" s="1295"/>
      <c r="F462" s="1295"/>
      <c r="I462" s="524"/>
    </row>
    <row r="463" spans="1:9">
      <c r="A463" s="433"/>
      <c r="B463" s="433"/>
      <c r="C463" s="433"/>
      <c r="D463" s="1295"/>
      <c r="E463" s="1295"/>
      <c r="F463" s="1295"/>
      <c r="I463" s="524"/>
    </row>
    <row r="464" spans="1:9">
      <c r="D464" s="1295"/>
      <c r="E464" s="1295"/>
      <c r="F464" s="1295"/>
      <c r="I464" s="524"/>
    </row>
    <row r="465" spans="1:9" ht="40.700000000000003" customHeight="1">
      <c r="D465" s="1295"/>
      <c r="E465" s="1295"/>
      <c r="F465" s="1295"/>
      <c r="I465" s="524"/>
    </row>
    <row r="466" spans="1:9">
      <c r="D466" s="480"/>
      <c r="E466" s="480"/>
      <c r="F466" s="480"/>
      <c r="I466" s="524"/>
    </row>
    <row r="467" spans="1:9" ht="14.25">
      <c r="A467" s="518"/>
      <c r="B467" s="519" t="s">
        <v>2773</v>
      </c>
      <c r="C467" s="521"/>
      <c r="D467" s="1295" t="s">
        <v>1231</v>
      </c>
      <c r="E467" s="1295"/>
      <c r="F467" s="1295"/>
      <c r="I467" s="524"/>
    </row>
    <row r="468" spans="1:9">
      <c r="D468" s="1295"/>
      <c r="E468" s="1295"/>
      <c r="F468" s="1295"/>
      <c r="I468" s="524"/>
    </row>
    <row r="469" spans="1:9">
      <c r="D469" s="1295"/>
      <c r="E469" s="1295"/>
      <c r="F469" s="1295"/>
      <c r="I469" s="524"/>
    </row>
    <row r="470" spans="1:9">
      <c r="D470" s="479"/>
      <c r="E470" s="479"/>
      <c r="F470" s="479"/>
      <c r="I470" s="524"/>
    </row>
    <row r="471" spans="1:9" ht="14.25">
      <c r="B471" s="519" t="s">
        <v>2773</v>
      </c>
      <c r="C471" s="518"/>
      <c r="D471" s="1295" t="s">
        <v>1301</v>
      </c>
      <c r="E471" s="1295"/>
      <c r="F471" s="1295"/>
      <c r="I471" s="524"/>
    </row>
    <row r="472" spans="1:9">
      <c r="D472" s="1295"/>
      <c r="E472" s="1295"/>
      <c r="F472" s="1295"/>
      <c r="I472" s="524"/>
    </row>
    <row r="473" spans="1:9">
      <c r="D473" s="480"/>
      <c r="E473" s="480"/>
      <c r="F473" s="480"/>
      <c r="I473" s="524"/>
    </row>
    <row r="474" spans="1:9" ht="14.25">
      <c r="B474" s="519" t="s">
        <v>2773</v>
      </c>
      <c r="C474" s="518"/>
      <c r="D474" s="1295" t="s">
        <v>1233</v>
      </c>
      <c r="E474" s="1295"/>
      <c r="F474" s="1295"/>
      <c r="I474" s="524"/>
    </row>
    <row r="475" spans="1:9">
      <c r="D475" s="1295"/>
      <c r="E475" s="1295"/>
      <c r="F475" s="1295"/>
      <c r="I475" s="524"/>
    </row>
    <row r="476" spans="1:9">
      <c r="D476" s="1295"/>
      <c r="E476" s="1295"/>
      <c r="F476" s="1295"/>
      <c r="I476" s="524"/>
    </row>
    <row r="477" spans="1:9">
      <c r="D477" s="1295"/>
      <c r="E477" s="1295"/>
      <c r="F477" s="1295"/>
      <c r="I477" s="524"/>
    </row>
    <row r="478" spans="1:9">
      <c r="B478" s="519" t="s">
        <v>2773</v>
      </c>
      <c r="D478" s="1295"/>
      <c r="E478" s="1295"/>
      <c r="F478" s="1295"/>
      <c r="I478" s="524"/>
    </row>
    <row r="479" spans="1:9">
      <c r="A479" s="433"/>
      <c r="B479" s="433"/>
      <c r="C479" s="433"/>
      <c r="D479" s="1295"/>
      <c r="E479" s="1295"/>
      <c r="F479" s="1295"/>
      <c r="I479" s="524"/>
    </row>
    <row r="480" spans="1:9">
      <c r="A480" s="433"/>
      <c r="C480" s="433"/>
      <c r="D480" s="1295"/>
      <c r="E480" s="1295"/>
      <c r="F480" s="1295"/>
      <c r="I480" s="524"/>
    </row>
    <row r="481" spans="1:9">
      <c r="A481" s="433"/>
      <c r="B481" s="519" t="s">
        <v>2773</v>
      </c>
      <c r="C481" s="433"/>
      <c r="D481" s="1295"/>
      <c r="E481" s="1295"/>
      <c r="F481" s="1295"/>
      <c r="I481" s="524"/>
    </row>
    <row r="482" spans="1:9">
      <c r="A482" s="433"/>
      <c r="B482" s="433"/>
      <c r="C482" s="433"/>
      <c r="D482" s="1295"/>
      <c r="E482" s="1295"/>
      <c r="F482" s="1295"/>
      <c r="I482" s="524"/>
    </row>
    <row r="483" spans="1:9">
      <c r="A483" s="433"/>
      <c r="C483" s="433"/>
      <c r="D483" s="1295"/>
      <c r="E483" s="1295"/>
      <c r="F483" s="1295"/>
      <c r="I483" s="524"/>
    </row>
    <row r="484" spans="1:9">
      <c r="A484" s="433"/>
      <c r="C484" s="433"/>
      <c r="D484" s="1295"/>
      <c r="E484" s="1295"/>
      <c r="F484" s="1295"/>
      <c r="I484" s="524"/>
    </row>
    <row r="485" spans="1:9">
      <c r="A485" s="433"/>
      <c r="C485" s="433"/>
      <c r="D485" s="1295"/>
      <c r="E485" s="1295"/>
      <c r="F485" s="1295"/>
      <c r="I485" s="524"/>
    </row>
    <row r="486" spans="1:9">
      <c r="A486" s="433"/>
      <c r="B486" s="519" t="s">
        <v>2773</v>
      </c>
      <c r="C486" s="433"/>
      <c r="D486" s="1295"/>
      <c r="E486" s="1295"/>
      <c r="F486" s="1295"/>
      <c r="I486" s="524"/>
    </row>
    <row r="487" spans="1:9">
      <c r="A487" s="433"/>
      <c r="C487" s="433"/>
      <c r="D487" s="1295"/>
      <c r="E487" s="1295"/>
      <c r="F487" s="1295"/>
      <c r="I487" s="524"/>
    </row>
    <row r="488" spans="1:9">
      <c r="A488" s="433"/>
      <c r="B488" s="519" t="s">
        <v>2773</v>
      </c>
      <c r="C488" s="433"/>
      <c r="D488" s="1295" t="s">
        <v>1234</v>
      </c>
      <c r="E488" s="1295"/>
      <c r="F488" s="1295"/>
      <c r="I488" s="524"/>
    </row>
    <row r="489" spans="1:9">
      <c r="A489" s="433"/>
      <c r="B489" s="433"/>
      <c r="C489" s="433"/>
      <c r="D489" s="1295"/>
      <c r="E489" s="1295"/>
      <c r="F489" s="1295"/>
      <c r="I489" s="524"/>
    </row>
    <row r="490" spans="1:9">
      <c r="A490" s="433"/>
      <c r="B490" s="433"/>
      <c r="C490" s="433"/>
      <c r="D490" s="1295"/>
      <c r="E490" s="1295"/>
      <c r="F490" s="1295"/>
      <c r="I490" s="524"/>
    </row>
    <row r="491" spans="1:9">
      <c r="A491" s="433"/>
      <c r="B491" s="433"/>
      <c r="C491" s="433"/>
      <c r="D491" s="1295"/>
      <c r="E491" s="1295"/>
      <c r="F491" s="1295"/>
      <c r="I491" s="524"/>
    </row>
    <row r="492" spans="1:9">
      <c r="D492" s="1295"/>
      <c r="E492" s="1295"/>
      <c r="F492" s="1295"/>
      <c r="I492" s="524"/>
    </row>
    <row r="493" spans="1:9">
      <c r="D493" s="480"/>
      <c r="E493" s="480"/>
      <c r="F493" s="480"/>
      <c r="I493" s="524"/>
    </row>
    <row r="494" spans="1:9">
      <c r="B494" s="519" t="s">
        <v>2773</v>
      </c>
      <c r="D494" s="1296" t="s">
        <v>1235</v>
      </c>
      <c r="E494" s="1296"/>
      <c r="F494" s="1296"/>
      <c r="I494" s="524"/>
    </row>
    <row r="495" spans="1:9">
      <c r="A495" s="480"/>
      <c r="B495" s="480"/>
      <c r="I495" s="524"/>
    </row>
    <row r="496" spans="1:9">
      <c r="A496" s="1283" t="s">
        <v>1076</v>
      </c>
      <c r="B496" s="1283"/>
      <c r="C496" s="1283"/>
      <c r="D496" s="1283"/>
      <c r="E496" s="1283"/>
      <c r="F496" s="1283"/>
      <c r="G496" s="1283"/>
      <c r="H496" s="1063"/>
      <c r="I496" s="1259"/>
    </row>
    <row r="497" spans="1:9">
      <c r="A497" s="480"/>
      <c r="B497" s="480"/>
      <c r="I497" s="524"/>
    </row>
    <row r="498" spans="1:9">
      <c r="D498" s="1280" t="s">
        <v>894</v>
      </c>
      <c r="E498" s="1280"/>
      <c r="F498" s="1280"/>
      <c r="I498" s="524"/>
    </row>
    <row r="499" spans="1:9" ht="14.25">
      <c r="A499" s="518"/>
      <c r="B499" s="518"/>
      <c r="D499" s="1281" t="s">
        <v>1236</v>
      </c>
      <c r="E499" s="1281"/>
      <c r="F499" s="1281"/>
      <c r="I499" s="524"/>
    </row>
    <row r="500" spans="1:9" ht="14.25">
      <c r="A500" s="518"/>
      <c r="B500" s="518"/>
      <c r="D500" s="481"/>
      <c r="I500" s="524"/>
    </row>
    <row r="501" spans="1:9" ht="14.25">
      <c r="A501" s="518"/>
      <c r="B501" s="519" t="s">
        <v>2773</v>
      </c>
      <c r="D501" s="1277" t="s">
        <v>1237</v>
      </c>
      <c r="E501" s="1277"/>
      <c r="F501" s="1277"/>
      <c r="I501" s="524" t="s">
        <v>2092</v>
      </c>
    </row>
    <row r="502" spans="1:9" ht="14.25">
      <c r="A502" s="518"/>
      <c r="B502" s="518"/>
      <c r="D502" s="1277"/>
      <c r="E502" s="1277"/>
      <c r="F502" s="1277"/>
      <c r="I502" s="524"/>
    </row>
    <row r="503" spans="1:9" ht="14.25">
      <c r="A503" s="518"/>
      <c r="B503" s="518"/>
      <c r="D503" s="480"/>
      <c r="I503" s="524"/>
    </row>
    <row r="504" spans="1:9" ht="12.75" customHeight="1">
      <c r="B504" s="519" t="s">
        <v>2773</v>
      </c>
      <c r="D504" s="1282" t="s">
        <v>1381</v>
      </c>
      <c r="E504" s="1282"/>
      <c r="F504" s="1282"/>
      <c r="I504" s="524" t="s">
        <v>2093</v>
      </c>
    </row>
    <row r="505" spans="1:9" ht="14.25">
      <c r="A505" s="518"/>
      <c r="D505" s="1282"/>
      <c r="E505" s="1282"/>
      <c r="F505" s="1282"/>
      <c r="I505" s="524"/>
    </row>
    <row r="506" spans="1:9" ht="14.25">
      <c r="A506" s="518"/>
      <c r="B506" s="518"/>
      <c r="D506" s="1282"/>
      <c r="E506" s="1282"/>
      <c r="F506" s="1282"/>
      <c r="I506" s="524"/>
    </row>
    <row r="507" spans="1:9" ht="14.25">
      <c r="A507" s="518"/>
      <c r="B507" s="518"/>
      <c r="D507" s="1282"/>
      <c r="E507" s="1282"/>
      <c r="F507" s="1282"/>
      <c r="I507" s="524"/>
    </row>
    <row r="508" spans="1:9" ht="14.25">
      <c r="A508" s="518"/>
      <c r="D508" s="554"/>
      <c r="E508" s="554"/>
      <c r="F508" s="554"/>
      <c r="I508" s="524"/>
    </row>
    <row r="509" spans="1:9" ht="14.25">
      <c r="A509" s="518"/>
      <c r="B509" s="519" t="s">
        <v>2773</v>
      </c>
      <c r="D509" s="1296" t="s">
        <v>1240</v>
      </c>
      <c r="E509" s="1296"/>
      <c r="F509" s="1296"/>
      <c r="I509" s="524" t="s">
        <v>2094</v>
      </c>
    </row>
    <row r="510" spans="1:9" ht="14.25">
      <c r="A510" s="518"/>
      <c r="B510" s="518"/>
      <c r="D510" s="480"/>
      <c r="I510" s="524"/>
    </row>
    <row r="511" spans="1:9" ht="14.25">
      <c r="A511" s="518"/>
      <c r="B511" s="519" t="s">
        <v>2773</v>
      </c>
      <c r="D511" s="1295" t="s">
        <v>1241</v>
      </c>
      <c r="E511" s="1295"/>
      <c r="F511" s="1295"/>
      <c r="I511" s="524" t="s">
        <v>2094</v>
      </c>
    </row>
    <row r="512" spans="1:9" ht="14.25">
      <c r="A512" s="518"/>
      <c r="D512" s="1295"/>
      <c r="E512" s="1295"/>
      <c r="F512" s="1295"/>
      <c r="I512" s="524"/>
    </row>
    <row r="513" spans="1:9">
      <c r="A513" s="524"/>
      <c r="B513" s="524"/>
      <c r="D513" s="481"/>
      <c r="I513" s="524"/>
    </row>
    <row r="514" spans="1:9">
      <c r="A514" s="524"/>
      <c r="B514" s="519" t="s">
        <v>2773</v>
      </c>
      <c r="D514" s="1296" t="s">
        <v>1242</v>
      </c>
      <c r="E514" s="1296"/>
      <c r="F514" s="1296"/>
      <c r="I514" s="524" t="s">
        <v>2147</v>
      </c>
    </row>
    <row r="515" spans="1:9" ht="14.25">
      <c r="A515" s="518"/>
      <c r="B515" s="518"/>
      <c r="D515" s="480"/>
      <c r="I515" s="524"/>
    </row>
    <row r="516" spans="1:9">
      <c r="A516" s="1283" t="s">
        <v>1077</v>
      </c>
      <c r="B516" s="1283"/>
      <c r="C516" s="1283"/>
      <c r="D516" s="1283"/>
      <c r="E516" s="1283"/>
      <c r="F516" s="1283"/>
      <c r="G516" s="1283"/>
      <c r="H516" s="1063"/>
      <c r="I516" s="1259"/>
    </row>
    <row r="517" spans="1:9" ht="12" customHeight="1">
      <c r="A517" s="518"/>
      <c r="B517" s="518"/>
      <c r="D517" s="480"/>
      <c r="I517" s="524"/>
    </row>
    <row r="518" spans="1:9">
      <c r="C518" s="516"/>
      <c r="D518" s="1294" t="s">
        <v>801</v>
      </c>
      <c r="E518" s="1294"/>
      <c r="F518" s="1294"/>
      <c r="I518" s="524"/>
    </row>
    <row r="519" spans="1:9">
      <c r="C519" s="516"/>
      <c r="D519" s="540" t="s">
        <v>1303</v>
      </c>
      <c r="E519" s="540"/>
      <c r="F519" s="540"/>
      <c r="I519" s="524"/>
    </row>
    <row r="520" spans="1:9">
      <c r="C520" s="516"/>
      <c r="D520" s="540" t="s">
        <v>1304</v>
      </c>
      <c r="E520" s="540"/>
      <c r="F520" s="540"/>
      <c r="I520" s="524"/>
    </row>
    <row r="521" spans="1:9">
      <c r="C521" s="516"/>
      <c r="D521" s="515"/>
      <c r="E521" s="515"/>
      <c r="F521" s="515"/>
      <c r="I521" s="524"/>
    </row>
    <row r="522" spans="1:9" ht="13.7" customHeight="1">
      <c r="A522" s="517"/>
      <c r="B522" s="519" t="s">
        <v>2774</v>
      </c>
      <c r="C522" s="517"/>
      <c r="D522" s="1277" t="s">
        <v>2372</v>
      </c>
      <c r="E522" s="1277"/>
      <c r="F522" s="1277"/>
      <c r="I522" s="524" t="s">
        <v>2129</v>
      </c>
    </row>
    <row r="523" spans="1:9">
      <c r="A523" s="517"/>
      <c r="B523" s="517"/>
      <c r="C523" s="517"/>
      <c r="D523" s="1277"/>
      <c r="E523" s="1277"/>
      <c r="F523" s="1277"/>
      <c r="I523" s="524"/>
    </row>
    <row r="524" spans="1:9">
      <c r="A524" s="517"/>
      <c r="B524" s="517"/>
      <c r="C524" s="517"/>
      <c r="D524" s="485"/>
      <c r="E524" s="485"/>
      <c r="F524" s="485"/>
      <c r="I524" s="514"/>
    </row>
    <row r="525" spans="1:9" ht="12.75" customHeight="1">
      <c r="A525" s="517"/>
      <c r="B525" s="519" t="s">
        <v>2773</v>
      </c>
      <c r="D525" s="417" t="s">
        <v>2202</v>
      </c>
      <c r="E525" s="416"/>
      <c r="F525" s="416"/>
      <c r="I525" s="524" t="s">
        <v>2095</v>
      </c>
    </row>
    <row r="526" spans="1:9">
      <c r="A526" s="517"/>
      <c r="B526" s="517"/>
      <c r="C526" s="517"/>
      <c r="D526" s="416"/>
      <c r="E526" s="96" t="s">
        <v>2203</v>
      </c>
      <c r="I526" s="524"/>
    </row>
    <row r="527" spans="1:9">
      <c r="A527" s="517"/>
      <c r="B527" s="517"/>
      <c r="D527" s="1325" t="s">
        <v>2373</v>
      </c>
      <c r="E527" s="1325"/>
      <c r="F527" s="1325"/>
      <c r="I527" s="524"/>
    </row>
    <row r="528" spans="1:9">
      <c r="A528" s="517"/>
      <c r="B528" s="517"/>
      <c r="D528" s="1325"/>
      <c r="E528" s="1325"/>
      <c r="F528" s="1325"/>
      <c r="I528" s="524"/>
    </row>
    <row r="529" spans="1:9">
      <c r="A529" s="517"/>
      <c r="B529" s="517"/>
      <c r="C529" s="517"/>
      <c r="D529" s="1325"/>
      <c r="E529" s="1325"/>
      <c r="F529" s="1325"/>
      <c r="I529" s="524"/>
    </row>
    <row r="530" spans="1:9">
      <c r="A530" s="517"/>
      <c r="B530" s="517"/>
      <c r="C530" s="517"/>
      <c r="D530" s="532"/>
      <c r="F530" s="480"/>
      <c r="I530" s="524"/>
    </row>
    <row r="531" spans="1:9" ht="13.35" customHeight="1">
      <c r="A531" s="517"/>
      <c r="B531" s="519" t="s">
        <v>2773</v>
      </c>
      <c r="C531" s="517"/>
      <c r="D531" s="1295" t="s">
        <v>2374</v>
      </c>
      <c r="E531" s="1295"/>
      <c r="F531" s="1295"/>
      <c r="I531" s="524" t="s">
        <v>2095</v>
      </c>
    </row>
    <row r="532" spans="1:9">
      <c r="A532" s="517"/>
      <c r="B532" s="517"/>
      <c r="C532" s="517"/>
      <c r="D532" s="1295"/>
      <c r="E532" s="1295"/>
      <c r="F532" s="1295"/>
      <c r="I532" s="524"/>
    </row>
    <row r="533" spans="1:9" ht="12" customHeight="1">
      <c r="A533" s="480"/>
      <c r="B533" s="480"/>
      <c r="C533" s="521"/>
      <c r="D533" s="480"/>
      <c r="F533" s="482"/>
      <c r="I533" s="524"/>
    </row>
    <row r="534" spans="1:9">
      <c r="A534" s="1283" t="s">
        <v>1078</v>
      </c>
      <c r="B534" s="1283"/>
      <c r="C534" s="1283"/>
      <c r="D534" s="1283"/>
      <c r="E534" s="1283"/>
      <c r="F534" s="1283"/>
      <c r="G534" s="1283"/>
      <c r="H534" s="1063"/>
      <c r="I534" s="1259"/>
    </row>
    <row r="535" spans="1:9">
      <c r="A535" s="480"/>
      <c r="B535" s="480"/>
      <c r="C535" s="521"/>
      <c r="F535" s="482"/>
      <c r="I535" s="524"/>
    </row>
    <row r="536" spans="1:9">
      <c r="B536" s="1298" t="s">
        <v>447</v>
      </c>
      <c r="C536" s="1298"/>
      <c r="D536" s="1298"/>
      <c r="E536" s="1298"/>
      <c r="F536" s="1298"/>
      <c r="I536" s="524"/>
    </row>
    <row r="537" spans="1:9">
      <c r="A537" s="480"/>
      <c r="B537" s="480"/>
      <c r="C537" s="521"/>
      <c r="D537" s="480"/>
      <c r="F537" s="480"/>
      <c r="I537" s="524"/>
    </row>
    <row r="538" spans="1:9">
      <c r="A538" s="1314" t="s">
        <v>1079</v>
      </c>
      <c r="B538" s="1314"/>
      <c r="C538" s="1314"/>
      <c r="D538" s="1314"/>
      <c r="E538" s="1314"/>
      <c r="F538" s="1314"/>
      <c r="G538" s="1314"/>
      <c r="H538" s="1063"/>
      <c r="I538" s="1259"/>
    </row>
    <row r="539" spans="1:9">
      <c r="A539" s="480"/>
      <c r="B539" s="480"/>
      <c r="C539" s="521"/>
      <c r="D539" s="480"/>
      <c r="F539" s="480"/>
      <c r="I539" s="524"/>
    </row>
    <row r="540" spans="1:9">
      <c r="C540" s="521"/>
      <c r="D540" s="1294" t="s">
        <v>690</v>
      </c>
      <c r="E540" s="1294"/>
      <c r="F540" s="1294"/>
      <c r="I540" s="524"/>
    </row>
    <row r="541" spans="1:9">
      <c r="C541" s="521"/>
      <c r="D541" s="1296" t="s">
        <v>1136</v>
      </c>
      <c r="E541" s="1296"/>
      <c r="F541" s="1296"/>
      <c r="I541" s="524"/>
    </row>
    <row r="542" spans="1:9">
      <c r="C542" s="521"/>
      <c r="D542" s="480"/>
      <c r="E542" s="480"/>
      <c r="F542" s="480"/>
      <c r="I542" s="524"/>
    </row>
    <row r="543" spans="1:9" ht="13.7" customHeight="1">
      <c r="A543" s="518"/>
      <c r="B543" s="519" t="s">
        <v>2774</v>
      </c>
      <c r="C543" s="521"/>
      <c r="D543" s="1296" t="s">
        <v>895</v>
      </c>
      <c r="E543" s="1296"/>
      <c r="F543" s="1296"/>
      <c r="I543" s="524" t="s">
        <v>2145</v>
      </c>
    </row>
    <row r="544" spans="1:9" ht="13.7" customHeight="1">
      <c r="A544" s="521"/>
      <c r="B544" s="521"/>
      <c r="C544" s="521"/>
      <c r="D544" s="480"/>
      <c r="I544" s="524"/>
    </row>
    <row r="545" spans="1:9" ht="14.25">
      <c r="A545" s="518"/>
      <c r="B545" s="519" t="s">
        <v>2774</v>
      </c>
      <c r="C545" s="521"/>
      <c r="D545" s="1295" t="s">
        <v>1137</v>
      </c>
      <c r="E545" s="1295"/>
      <c r="F545" s="1295"/>
      <c r="I545" s="524" t="s">
        <v>2145</v>
      </c>
    </row>
    <row r="546" spans="1:9">
      <c r="A546" s="521"/>
      <c r="B546" s="521"/>
      <c r="C546" s="521"/>
      <c r="D546" s="1295"/>
      <c r="E546" s="1295"/>
      <c r="F546" s="1295"/>
      <c r="I546" s="524"/>
    </row>
    <row r="547" spans="1:9">
      <c r="A547" s="521"/>
      <c r="B547" s="521"/>
      <c r="C547" s="521"/>
      <c r="D547" s="480"/>
      <c r="E547" s="480"/>
      <c r="F547" s="480"/>
      <c r="I547" s="524"/>
    </row>
    <row r="548" spans="1:9" ht="14.25">
      <c r="A548" s="518"/>
      <c r="B548" s="519" t="s">
        <v>2774</v>
      </c>
      <c r="C548" s="521"/>
      <c r="D548" s="1295" t="s">
        <v>1138</v>
      </c>
      <c r="E548" s="1295"/>
      <c r="F548" s="1295"/>
      <c r="I548" s="524" t="s">
        <v>2096</v>
      </c>
    </row>
    <row r="549" spans="1:9">
      <c r="A549" s="521"/>
      <c r="B549" s="521"/>
      <c r="C549" s="521"/>
      <c r="D549" s="1295"/>
      <c r="E549" s="1295"/>
      <c r="F549" s="1295"/>
      <c r="I549" s="524"/>
    </row>
    <row r="550" spans="1:9">
      <c r="A550" s="521"/>
      <c r="B550" s="521"/>
      <c r="C550" s="521"/>
      <c r="D550" s="480"/>
      <c r="E550" s="480"/>
      <c r="F550" s="480"/>
      <c r="I550" s="524"/>
    </row>
    <row r="551" spans="1:9" ht="14.25">
      <c r="A551" s="518"/>
      <c r="B551" s="519" t="s">
        <v>2774</v>
      </c>
      <c r="C551" s="521"/>
      <c r="D551" s="1295" t="s">
        <v>1139</v>
      </c>
      <c r="E551" s="1295"/>
      <c r="F551" s="1295"/>
      <c r="I551" s="524" t="s">
        <v>2097</v>
      </c>
    </row>
    <row r="552" spans="1:9">
      <c r="A552" s="521"/>
      <c r="B552" s="521"/>
      <c r="C552" s="521"/>
      <c r="D552" s="1295"/>
      <c r="E552" s="1295"/>
      <c r="F552" s="1295"/>
      <c r="I552" s="524"/>
    </row>
    <row r="553" spans="1:9">
      <c r="A553" s="521"/>
      <c r="B553" s="521"/>
      <c r="C553" s="521"/>
      <c r="D553" s="480"/>
      <c r="E553" s="480"/>
      <c r="F553" s="480"/>
      <c r="I553" s="524"/>
    </row>
    <row r="554" spans="1:9" ht="14.25">
      <c r="A554" s="518"/>
      <c r="B554" s="519" t="s">
        <v>2774</v>
      </c>
      <c r="C554" s="521"/>
      <c r="D554" s="1295" t="s">
        <v>1140</v>
      </c>
      <c r="E554" s="1295"/>
      <c r="F554" s="1295"/>
      <c r="I554" s="524" t="s">
        <v>2146</v>
      </c>
    </row>
    <row r="555" spans="1:9">
      <c r="A555" s="521"/>
      <c r="B555" s="521"/>
      <c r="C555" s="521"/>
      <c r="D555" s="1295"/>
      <c r="E555" s="1295"/>
      <c r="F555" s="1295"/>
      <c r="I555" s="524"/>
    </row>
    <row r="556" spans="1:9">
      <c r="A556" s="521"/>
      <c r="B556" s="521"/>
      <c r="C556" s="521"/>
      <c r="D556" s="1295"/>
      <c r="E556" s="1295"/>
      <c r="F556" s="1295"/>
      <c r="I556" s="524"/>
    </row>
    <row r="557" spans="1:9">
      <c r="A557" s="521"/>
      <c r="B557" s="521"/>
      <c r="C557" s="521"/>
      <c r="D557" s="480"/>
      <c r="E557" s="480"/>
      <c r="F557" s="480"/>
      <c r="I557" s="524"/>
    </row>
    <row r="558" spans="1:9" ht="14.25">
      <c r="A558" s="518"/>
      <c r="B558" s="519" t="s">
        <v>2773</v>
      </c>
      <c r="C558" s="521"/>
      <c r="D558" s="1295" t="s">
        <v>1258</v>
      </c>
      <c r="E558" s="1295"/>
      <c r="F558" s="1295"/>
      <c r="I558" s="524" t="s">
        <v>2145</v>
      </c>
    </row>
    <row r="559" spans="1:9">
      <c r="A559" s="521"/>
      <c r="B559" s="521"/>
      <c r="C559" s="521"/>
      <c r="D559" s="1295"/>
      <c r="E559" s="1295"/>
      <c r="F559" s="1295"/>
      <c r="I559" s="524"/>
    </row>
    <row r="560" spans="1:9">
      <c r="A560" s="521"/>
      <c r="B560" s="521"/>
      <c r="C560" s="521"/>
      <c r="D560" s="480"/>
      <c r="E560" s="480"/>
      <c r="F560" s="480"/>
      <c r="I560" s="524"/>
    </row>
    <row r="561" spans="1:9" ht="14.25">
      <c r="A561" s="518"/>
      <c r="B561" s="519" t="s">
        <v>2774</v>
      </c>
      <c r="C561" s="521"/>
      <c r="D561" s="1295" t="s">
        <v>1142</v>
      </c>
      <c r="E561" s="1295"/>
      <c r="F561" s="1295"/>
      <c r="I561" s="524" t="s">
        <v>2145</v>
      </c>
    </row>
    <row r="562" spans="1:9">
      <c r="A562" s="521"/>
      <c r="B562" s="521"/>
      <c r="C562" s="521"/>
      <c r="D562" s="1295"/>
      <c r="E562" s="1295"/>
      <c r="F562" s="1295"/>
      <c r="I562" s="524"/>
    </row>
    <row r="563" spans="1:9">
      <c r="A563" s="521"/>
      <c r="B563" s="521"/>
      <c r="C563" s="521"/>
      <c r="D563" s="480"/>
      <c r="E563" s="480"/>
      <c r="F563" s="480"/>
      <c r="I563" s="524"/>
    </row>
    <row r="564" spans="1:9" ht="14.25">
      <c r="A564" s="518"/>
      <c r="B564" s="519" t="s">
        <v>2774</v>
      </c>
      <c r="C564" s="521"/>
      <c r="D564" s="1296" t="s">
        <v>1143</v>
      </c>
      <c r="E564" s="1296"/>
      <c r="F564" s="1296"/>
      <c r="I564" s="524" t="s">
        <v>2148</v>
      </c>
    </row>
    <row r="565" spans="1:9">
      <c r="A565" s="524"/>
      <c r="B565" s="524"/>
      <c r="C565" s="521"/>
      <c r="D565" s="1296" t="s">
        <v>2205</v>
      </c>
      <c r="E565" s="1296"/>
      <c r="F565" s="1296"/>
      <c r="I565" s="524"/>
    </row>
    <row r="566" spans="1:9">
      <c r="A566" s="524"/>
      <c r="B566" s="524"/>
      <c r="C566" s="521"/>
      <c r="E566" s="96" t="s">
        <v>2204</v>
      </c>
      <c r="F566" s="435"/>
      <c r="I566" s="524"/>
    </row>
    <row r="567" spans="1:9" ht="14.25">
      <c r="A567" s="518"/>
      <c r="B567" s="518"/>
      <c r="C567" s="521"/>
      <c r="E567" s="480"/>
      <c r="F567" s="480"/>
      <c r="I567" s="524"/>
    </row>
    <row r="568" spans="1:9" ht="14.25">
      <c r="A568" s="518"/>
      <c r="B568" s="519" t="s">
        <v>2774</v>
      </c>
      <c r="C568" s="521"/>
      <c r="D568" s="1296" t="s">
        <v>1145</v>
      </c>
      <c r="E568" s="1296"/>
      <c r="F568" s="1296"/>
      <c r="I568" s="524" t="s">
        <v>2098</v>
      </c>
    </row>
    <row r="569" spans="1:9">
      <c r="C569" s="521"/>
      <c r="D569" s="1295" t="s">
        <v>1146</v>
      </c>
      <c r="E569" s="1295"/>
      <c r="F569" s="1295"/>
      <c r="I569" s="524"/>
    </row>
    <row r="570" spans="1:9">
      <c r="A570" s="521"/>
      <c r="B570" s="521"/>
      <c r="C570" s="521"/>
      <c r="D570" s="1295"/>
      <c r="E570" s="1295"/>
      <c r="F570" s="1295"/>
      <c r="I570" s="524"/>
    </row>
    <row r="571" spans="1:9">
      <c r="A571" s="521"/>
      <c r="B571" s="521"/>
      <c r="C571" s="521"/>
      <c r="D571" s="1295"/>
      <c r="E571" s="1295"/>
      <c r="F571" s="1295"/>
      <c r="I571" s="524"/>
    </row>
    <row r="572" spans="1:9">
      <c r="A572" s="521"/>
      <c r="B572" s="521"/>
      <c r="C572" s="521"/>
      <c r="D572" s="480"/>
      <c r="E572" s="480"/>
      <c r="F572" s="480"/>
      <c r="I572" s="524"/>
    </row>
    <row r="573" spans="1:9" ht="14.25">
      <c r="A573" s="518"/>
      <c r="B573" s="519" t="s">
        <v>2774</v>
      </c>
      <c r="C573" s="521"/>
      <c r="D573" s="1295" t="s">
        <v>2375</v>
      </c>
      <c r="E573" s="1295"/>
      <c r="F573" s="1295"/>
      <c r="I573" s="524" t="s">
        <v>2099</v>
      </c>
    </row>
    <row r="574" spans="1:9" ht="14.25">
      <c r="A574" s="518"/>
      <c r="B574" s="518"/>
      <c r="C574" s="521"/>
      <c r="D574" s="1295"/>
      <c r="E574" s="1295"/>
      <c r="F574" s="1295"/>
      <c r="I574" s="524"/>
    </row>
    <row r="575" spans="1:9" ht="14.25">
      <c r="A575" s="518"/>
      <c r="B575" s="518"/>
      <c r="C575" s="521"/>
      <c r="D575" s="1295"/>
      <c r="E575" s="1295"/>
      <c r="F575" s="1295"/>
      <c r="I575" s="524"/>
    </row>
    <row r="576" spans="1:9" ht="14.25">
      <c r="A576" s="518"/>
      <c r="B576" s="518"/>
      <c r="C576" s="521"/>
      <c r="D576" s="1295"/>
      <c r="E576" s="1295"/>
      <c r="F576" s="1295"/>
      <c r="I576" s="524"/>
    </row>
    <row r="577" spans="1:9" ht="14.25">
      <c r="A577" s="518"/>
      <c r="B577" s="518"/>
      <c r="C577" s="521"/>
      <c r="D577" s="480"/>
      <c r="E577" s="480"/>
      <c r="F577" s="480"/>
      <c r="I577" s="524"/>
    </row>
    <row r="578" spans="1:9">
      <c r="A578" s="1283" t="s">
        <v>1080</v>
      </c>
      <c r="B578" s="1283"/>
      <c r="C578" s="1283"/>
      <c r="D578" s="1283"/>
      <c r="E578" s="1283"/>
      <c r="F578" s="1283"/>
      <c r="G578" s="1283"/>
      <c r="H578" s="1063"/>
      <c r="I578" s="1259"/>
    </row>
    <row r="579" spans="1:9">
      <c r="A579" s="521"/>
      <c r="B579" s="521"/>
      <c r="C579" s="521"/>
      <c r="E579" s="480"/>
      <c r="F579" s="480"/>
      <c r="I579" s="524"/>
    </row>
    <row r="580" spans="1:9" ht="12.75" customHeight="1">
      <c r="C580" s="516"/>
      <c r="D580" s="1297" t="s">
        <v>210</v>
      </c>
      <c r="E580" s="1297"/>
      <c r="F580" s="1297"/>
      <c r="I580" s="524"/>
    </row>
    <row r="581" spans="1:9">
      <c r="A581" s="517"/>
      <c r="B581" s="517"/>
      <c r="C581" s="517"/>
      <c r="D581" s="1282" t="s">
        <v>1096</v>
      </c>
      <c r="E581" s="1282"/>
      <c r="F581" s="1282"/>
      <c r="I581" s="524"/>
    </row>
    <row r="582" spans="1:9">
      <c r="A582" s="433"/>
      <c r="B582" s="433"/>
      <c r="C582" s="517"/>
      <c r="D582" s="533"/>
      <c r="I582" s="524" t="s">
        <v>2100</v>
      </c>
    </row>
    <row r="583" spans="1:9">
      <c r="A583" s="517"/>
      <c r="B583" s="519" t="s">
        <v>2774</v>
      </c>
      <c r="D583" s="1282" t="s">
        <v>901</v>
      </c>
      <c r="E583" s="1282"/>
      <c r="F583" s="1282"/>
      <c r="I583" s="524"/>
    </row>
    <row r="584" spans="1:9">
      <c r="A584" s="524"/>
      <c r="B584" s="524"/>
      <c r="D584" s="510"/>
      <c r="I584" s="524"/>
    </row>
    <row r="585" spans="1:9">
      <c r="A585" s="524"/>
      <c r="B585" s="519" t="s">
        <v>2774</v>
      </c>
      <c r="D585" s="1282" t="s">
        <v>2376</v>
      </c>
      <c r="E585" s="1282"/>
      <c r="F585" s="1282"/>
      <c r="I585" s="524" t="s">
        <v>2102</v>
      </c>
    </row>
    <row r="586" spans="1:9">
      <c r="A586" s="524"/>
      <c r="B586" s="524"/>
      <c r="D586" s="1282"/>
      <c r="E586" s="1282"/>
      <c r="F586" s="1282"/>
      <c r="I586" s="524" t="s">
        <v>2101</v>
      </c>
    </row>
    <row r="587" spans="1:9">
      <c r="A587" s="524"/>
      <c r="B587" s="524"/>
      <c r="D587" s="1282"/>
      <c r="E587" s="1282"/>
      <c r="F587" s="1282"/>
      <c r="I587" s="524"/>
    </row>
    <row r="588" spans="1:9">
      <c r="A588" s="524"/>
      <c r="B588" s="524"/>
      <c r="D588" s="1282"/>
      <c r="E588" s="1282"/>
      <c r="F588" s="1282"/>
      <c r="I588" s="524"/>
    </row>
    <row r="589" spans="1:9">
      <c r="A589" s="524"/>
      <c r="B589" s="519" t="s">
        <v>2773</v>
      </c>
      <c r="D589" s="1282" t="s">
        <v>1098</v>
      </c>
      <c r="E589" s="1282"/>
      <c r="F589" s="1282"/>
      <c r="I589" s="524"/>
    </row>
    <row r="590" spans="1:9">
      <c r="A590" s="524"/>
      <c r="B590" s="524"/>
      <c r="D590" s="1282"/>
      <c r="E590" s="1282"/>
      <c r="F590" s="1282"/>
      <c r="I590" s="524"/>
    </row>
    <row r="591" spans="1:9">
      <c r="A591" s="524"/>
      <c r="B591" s="524"/>
      <c r="D591" s="1282"/>
      <c r="E591" s="1282"/>
      <c r="F591" s="1282"/>
      <c r="I591" s="524"/>
    </row>
    <row r="592" spans="1:9">
      <c r="A592" s="524"/>
      <c r="B592" s="524"/>
      <c r="D592" s="1282"/>
      <c r="E592" s="1282"/>
      <c r="F592" s="1282"/>
      <c r="I592" s="524"/>
    </row>
    <row r="593" spans="1:9">
      <c r="A593" s="524"/>
      <c r="B593" s="524"/>
      <c r="D593" s="473"/>
      <c r="E593" s="473"/>
      <c r="F593" s="473"/>
      <c r="I593" s="524"/>
    </row>
    <row r="594" spans="1:9">
      <c r="A594" s="524"/>
      <c r="B594" s="519" t="s">
        <v>2774</v>
      </c>
      <c r="D594" s="1282" t="s">
        <v>2377</v>
      </c>
      <c r="E594" s="1282"/>
      <c r="F594" s="1282"/>
      <c r="I594" s="524"/>
    </row>
    <row r="595" spans="1:9">
      <c r="A595" s="524"/>
      <c r="B595" s="524"/>
      <c r="D595" s="1282"/>
      <c r="E595" s="1282"/>
      <c r="F595" s="1282"/>
      <c r="I595" s="524"/>
    </row>
    <row r="596" spans="1:9">
      <c r="A596" s="524"/>
      <c r="B596" s="524"/>
      <c r="D596" s="533"/>
      <c r="I596" s="524"/>
    </row>
    <row r="597" spans="1:9">
      <c r="A597" s="524"/>
      <c r="B597" s="519" t="s">
        <v>2773</v>
      </c>
      <c r="D597" s="1282" t="s">
        <v>1100</v>
      </c>
      <c r="E597" s="1282"/>
      <c r="F597" s="1282"/>
      <c r="I597" s="524" t="s">
        <v>2149</v>
      </c>
    </row>
    <row r="598" spans="1:9">
      <c r="A598" s="524"/>
      <c r="B598" s="524"/>
      <c r="D598" s="1282"/>
      <c r="E598" s="1282"/>
      <c r="F598" s="1282"/>
      <c r="I598" s="524"/>
    </row>
    <row r="599" spans="1:9" ht="14.25">
      <c r="A599" s="518"/>
      <c r="B599" s="518"/>
      <c r="D599" s="533"/>
      <c r="I599" s="524"/>
    </row>
    <row r="600" spans="1:9">
      <c r="A600" s="1283" t="s">
        <v>1081</v>
      </c>
      <c r="B600" s="1283"/>
      <c r="C600" s="1283"/>
      <c r="D600" s="1283"/>
      <c r="E600" s="1283"/>
      <c r="F600" s="1283"/>
      <c r="G600" s="1283"/>
      <c r="H600" s="1063"/>
      <c r="I600" s="1259"/>
    </row>
    <row r="601" spans="1:9">
      <c r="I601" s="524"/>
    </row>
    <row r="602" spans="1:9">
      <c r="D602" s="1294" t="s">
        <v>1181</v>
      </c>
      <c r="E602" s="1294"/>
      <c r="F602" s="1294"/>
      <c r="I602" s="524"/>
    </row>
    <row r="603" spans="1:9">
      <c r="D603" s="1317" t="s">
        <v>1182</v>
      </c>
      <c r="E603" s="1317"/>
      <c r="F603" s="1317"/>
      <c r="I603" s="524"/>
    </row>
    <row r="604" spans="1:9">
      <c r="D604" s="478"/>
      <c r="I604" s="524"/>
    </row>
    <row r="605" spans="1:9" ht="14.25" customHeight="1">
      <c r="A605" s="518"/>
      <c r="B605" s="519" t="s">
        <v>2774</v>
      </c>
      <c r="D605" s="1335" t="s">
        <v>2206</v>
      </c>
      <c r="E605" s="1335"/>
      <c r="F605" s="1335"/>
      <c r="I605" s="524" t="s">
        <v>2130</v>
      </c>
    </row>
    <row r="606" spans="1:9">
      <c r="D606" s="1335"/>
      <c r="E606" s="1335"/>
      <c r="F606" s="1335"/>
      <c r="I606" s="524"/>
    </row>
    <row r="607" spans="1:9">
      <c r="D607" s="416"/>
      <c r="E607" s="1071" t="s">
        <v>2207</v>
      </c>
      <c r="F607" s="416"/>
      <c r="I607" s="524"/>
    </row>
    <row r="608" spans="1:9">
      <c r="I608" s="524"/>
    </row>
    <row r="609" spans="1:9">
      <c r="A609" s="1283" t="s">
        <v>1082</v>
      </c>
      <c r="B609" s="1283"/>
      <c r="C609" s="1283"/>
      <c r="D609" s="1283"/>
      <c r="E609" s="1283"/>
      <c r="F609" s="1283"/>
      <c r="G609" s="1283"/>
      <c r="H609" s="1063"/>
      <c r="I609" s="1259"/>
    </row>
    <row r="610" spans="1:9">
      <c r="A610" s="480"/>
      <c r="B610" s="480"/>
      <c r="I610" s="524"/>
    </row>
    <row r="611" spans="1:9">
      <c r="A611" s="516"/>
      <c r="B611" s="516"/>
      <c r="C611" s="516"/>
      <c r="D611" s="1318" t="s">
        <v>1184</v>
      </c>
      <c r="E611" s="1318"/>
      <c r="F611" s="1318"/>
      <c r="I611" s="524"/>
    </row>
    <row r="612" spans="1:9">
      <c r="A612" s="516"/>
      <c r="B612" s="516"/>
      <c r="C612" s="516"/>
      <c r="D612" s="1318"/>
      <c r="E612" s="1318"/>
      <c r="F612" s="1318"/>
      <c r="I612" s="524"/>
    </row>
    <row r="613" spans="1:9">
      <c r="C613" s="517"/>
      <c r="D613" s="1317" t="s">
        <v>1185</v>
      </c>
      <c r="E613" s="1317"/>
      <c r="F613" s="1317"/>
      <c r="I613" s="524"/>
    </row>
    <row r="614" spans="1:9">
      <c r="C614" s="517"/>
      <c r="D614" s="478"/>
      <c r="E614" s="478"/>
      <c r="F614" s="478"/>
      <c r="I614" s="524"/>
    </row>
    <row r="615" spans="1:9" ht="12.75" customHeight="1">
      <c r="A615" s="524"/>
      <c r="B615" s="519" t="s">
        <v>2774</v>
      </c>
      <c r="D615" s="1293" t="s">
        <v>1186</v>
      </c>
      <c r="E615" s="1293"/>
      <c r="F615" s="1293"/>
      <c r="I615" s="524" t="s">
        <v>2150</v>
      </c>
    </row>
    <row r="616" spans="1:9">
      <c r="D616" s="1293"/>
      <c r="E616" s="1293"/>
      <c r="F616" s="1293"/>
      <c r="I616" s="524"/>
    </row>
    <row r="617" spans="1:9">
      <c r="I617" s="524"/>
    </row>
    <row r="618" spans="1:9">
      <c r="B618" s="519" t="s">
        <v>2774</v>
      </c>
      <c r="D618" s="1293" t="s">
        <v>1187</v>
      </c>
      <c r="E618" s="1293"/>
      <c r="F618" s="1293"/>
      <c r="I618" s="524" t="s">
        <v>2103</v>
      </c>
    </row>
    <row r="619" spans="1:9">
      <c r="C619" s="534"/>
      <c r="D619" s="1293"/>
      <c r="E619" s="1293"/>
      <c r="F619" s="1293"/>
      <c r="I619" s="524"/>
    </row>
    <row r="620" spans="1:9">
      <c r="C620" s="534"/>
      <c r="I620" s="524"/>
    </row>
    <row r="621" spans="1:9">
      <c r="B621" s="519" t="s">
        <v>2773</v>
      </c>
      <c r="C621" s="534"/>
      <c r="D621" s="1293" t="s">
        <v>1188</v>
      </c>
      <c r="E621" s="1293"/>
      <c r="F621" s="1293"/>
      <c r="I621" s="524" t="s">
        <v>2151</v>
      </c>
    </row>
    <row r="622" spans="1:9">
      <c r="C622" s="534"/>
      <c r="D622" s="1293"/>
      <c r="E622" s="1293"/>
      <c r="F622" s="1293"/>
      <c r="I622" s="534" t="s">
        <v>2152</v>
      </c>
    </row>
    <row r="623" spans="1:9">
      <c r="C623" s="534"/>
      <c r="I623" s="524"/>
    </row>
    <row r="624" spans="1:9">
      <c r="A624" s="1283" t="s">
        <v>1083</v>
      </c>
      <c r="B624" s="1283"/>
      <c r="C624" s="1283"/>
      <c r="D624" s="1283"/>
      <c r="E624" s="1283"/>
      <c r="F624" s="1283"/>
      <c r="G624" s="1283"/>
      <c r="H624" s="1063"/>
      <c r="I624" s="1259"/>
    </row>
    <row r="625" spans="1:9">
      <c r="A625" s="516"/>
      <c r="B625" s="516"/>
      <c r="C625" s="516"/>
      <c r="I625" s="524"/>
    </row>
    <row r="626" spans="1:9">
      <c r="C626" s="524"/>
      <c r="D626" s="1294" t="s">
        <v>1189</v>
      </c>
      <c r="E626" s="1294"/>
      <c r="F626" s="1294"/>
      <c r="I626" s="524"/>
    </row>
    <row r="627" spans="1:9">
      <c r="A627" s="524"/>
      <c r="B627" s="524"/>
      <c r="D627" s="435"/>
      <c r="I627" s="524"/>
    </row>
    <row r="628" spans="1:9" ht="14.25" customHeight="1">
      <c r="A628" s="518"/>
      <c r="B628" s="519" t="s">
        <v>2774</v>
      </c>
      <c r="D628" s="1335" t="s">
        <v>2378</v>
      </c>
      <c r="E628" s="1335"/>
      <c r="F628" s="1335"/>
      <c r="I628" s="524" t="s">
        <v>2131</v>
      </c>
    </row>
    <row r="629" spans="1:9">
      <c r="D629" s="1335"/>
      <c r="E629" s="1335"/>
      <c r="F629" s="1335"/>
      <c r="I629" s="524"/>
    </row>
    <row r="630" spans="1:9">
      <c r="D630" s="416"/>
      <c r="E630" s="1071" t="s">
        <v>2209</v>
      </c>
      <c r="F630" s="416"/>
      <c r="I630" s="524"/>
    </row>
    <row r="631" spans="1:9">
      <c r="D631" s="1295" t="s">
        <v>2208</v>
      </c>
      <c r="E631" s="1295"/>
      <c r="F631" s="1295"/>
      <c r="I631" s="524"/>
    </row>
    <row r="632" spans="1:9">
      <c r="D632" s="1295"/>
      <c r="E632" s="1295"/>
      <c r="F632" s="1295"/>
      <c r="I632" s="524"/>
    </row>
    <row r="633" spans="1:9">
      <c r="D633" s="1295"/>
      <c r="E633" s="1295"/>
      <c r="F633" s="1295"/>
      <c r="I633" s="524"/>
    </row>
    <row r="634" spans="1:9">
      <c r="D634" s="479"/>
      <c r="E634" s="479"/>
      <c r="F634" s="479"/>
      <c r="I634" s="524"/>
    </row>
    <row r="635" spans="1:9" ht="14.25">
      <c r="A635" s="518"/>
      <c r="B635" s="519" t="s">
        <v>2774</v>
      </c>
      <c r="D635" s="1295" t="s">
        <v>1191</v>
      </c>
      <c r="E635" s="1295"/>
      <c r="F635" s="1295"/>
      <c r="I635" s="524" t="s">
        <v>2153</v>
      </c>
    </row>
    <row r="636" spans="1:9">
      <c r="A636" s="521"/>
      <c r="B636" s="521"/>
      <c r="C636" s="521"/>
      <c r="D636" s="1295"/>
      <c r="E636" s="1295"/>
      <c r="F636" s="1295"/>
      <c r="I636" s="524"/>
    </row>
    <row r="637" spans="1:9">
      <c r="A637" s="521"/>
      <c r="B637" s="521"/>
      <c r="C637" s="521"/>
      <c r="D637" s="480"/>
      <c r="E637" s="480"/>
      <c r="F637" s="480"/>
      <c r="I637" s="524"/>
    </row>
    <row r="638" spans="1:9" ht="14.25">
      <c r="A638" s="518"/>
      <c r="B638" s="519" t="s">
        <v>2773</v>
      </c>
      <c r="C638" s="521"/>
      <c r="D638" s="1295" t="s">
        <v>1330</v>
      </c>
      <c r="E638" s="1295"/>
      <c r="F638" s="1295"/>
      <c r="I638" s="524" t="s">
        <v>2104</v>
      </c>
    </row>
    <row r="639" spans="1:9" ht="14.25">
      <c r="A639" s="518"/>
      <c r="B639" s="518"/>
      <c r="C639" s="521"/>
      <c r="D639" s="1295"/>
      <c r="E639" s="1295"/>
      <c r="F639" s="1295"/>
      <c r="I639" s="524"/>
    </row>
    <row r="640" spans="1:9" ht="14.25">
      <c r="A640" s="518"/>
      <c r="B640" s="518"/>
      <c r="C640" s="521"/>
      <c r="D640" s="1295"/>
      <c r="E640" s="1295"/>
      <c r="F640" s="1295"/>
      <c r="I640" s="524"/>
    </row>
    <row r="641" spans="1:9">
      <c r="A641" s="521"/>
      <c r="B641" s="519" t="s">
        <v>2773</v>
      </c>
      <c r="C641" s="521"/>
      <c r="D641" s="1296" t="s">
        <v>1193</v>
      </c>
      <c r="E641" s="1296"/>
      <c r="F641" s="1296"/>
      <c r="I641" s="524" t="s">
        <v>2104</v>
      </c>
    </row>
    <row r="642" spans="1:9">
      <c r="A642" s="521"/>
      <c r="B642" s="521"/>
      <c r="C642" s="521"/>
      <c r="D642" s="480"/>
      <c r="E642" s="480"/>
      <c r="F642" s="480"/>
      <c r="I642" s="524"/>
    </row>
    <row r="643" spans="1:9">
      <c r="A643" s="1283" t="s">
        <v>1084</v>
      </c>
      <c r="B643" s="1283"/>
      <c r="C643" s="1283"/>
      <c r="D643" s="1283"/>
      <c r="E643" s="1283"/>
      <c r="F643" s="1283"/>
      <c r="G643" s="1283"/>
      <c r="H643" s="1063"/>
      <c r="I643" s="1259"/>
    </row>
    <row r="644" spans="1:9">
      <c r="A644" s="480"/>
      <c r="B644" s="480"/>
      <c r="C644" s="521"/>
      <c r="D644" s="480"/>
      <c r="E644" s="480"/>
      <c r="F644" s="480"/>
      <c r="I644" s="524"/>
    </row>
    <row r="645" spans="1:9">
      <c r="C645" s="516"/>
      <c r="D645" s="1294" t="s">
        <v>1243</v>
      </c>
      <c r="E645" s="1294"/>
      <c r="F645" s="1294"/>
      <c r="I645" s="524"/>
    </row>
    <row r="646" spans="1:9">
      <c r="A646" s="517"/>
      <c r="B646" s="517"/>
      <c r="C646" s="517"/>
      <c r="D646" s="1296" t="s">
        <v>1244</v>
      </c>
      <c r="E646" s="1296"/>
      <c r="F646" s="1296"/>
      <c r="I646" s="524"/>
    </row>
    <row r="647" spans="1:9">
      <c r="A647" s="517"/>
      <c r="B647" s="517"/>
      <c r="C647" s="517"/>
      <c r="D647" s="480"/>
      <c r="E647" s="480"/>
      <c r="F647" s="480"/>
      <c r="I647" s="524"/>
    </row>
    <row r="648" spans="1:9" ht="12.75" customHeight="1">
      <c r="B648" s="519" t="s">
        <v>2774</v>
      </c>
      <c r="C648" s="521"/>
      <c r="D648" s="1295" t="s">
        <v>1389</v>
      </c>
      <c r="E648" s="1295"/>
      <c r="F648" s="1295"/>
      <c r="I648" s="524" t="s">
        <v>2156</v>
      </c>
    </row>
    <row r="649" spans="1:9">
      <c r="D649" s="1295"/>
      <c r="E649" s="1295"/>
      <c r="F649" s="1295"/>
      <c r="I649" s="524"/>
    </row>
    <row r="650" spans="1:9">
      <c r="D650" s="1295"/>
      <c r="E650" s="1295"/>
      <c r="F650" s="1295"/>
      <c r="I650" s="524"/>
    </row>
    <row r="651" spans="1:9">
      <c r="D651" s="1295"/>
      <c r="E651" s="1295"/>
      <c r="F651" s="1295"/>
      <c r="I651" s="524"/>
    </row>
    <row r="652" spans="1:9" ht="14.45" customHeight="1">
      <c r="A652" s="518"/>
      <c r="B652" s="518"/>
      <c r="C652" s="521"/>
      <c r="D652" s="416"/>
      <c r="E652" s="416"/>
      <c r="F652" s="416"/>
      <c r="I652" s="524"/>
    </row>
    <row r="653" spans="1:9" ht="12.75" customHeight="1">
      <c r="A653" s="517"/>
      <c r="B653" s="519" t="s">
        <v>2774</v>
      </c>
      <c r="C653" s="521"/>
      <c r="D653" s="1295" t="s">
        <v>1391</v>
      </c>
      <c r="E653" s="1295"/>
      <c r="F653" s="1295"/>
      <c r="I653" s="524" t="s">
        <v>2156</v>
      </c>
    </row>
    <row r="654" spans="1:9" ht="14.25">
      <c r="A654" s="517"/>
      <c r="B654" s="518"/>
      <c r="C654" s="521"/>
      <c r="D654" s="1295"/>
      <c r="E654" s="1295"/>
      <c r="F654" s="1295"/>
      <c r="I654" s="524"/>
    </row>
    <row r="655" spans="1:9" ht="14.25">
      <c r="A655" s="517"/>
      <c r="B655" s="518"/>
      <c r="C655" s="521"/>
      <c r="D655" s="1295"/>
      <c r="E655" s="1295"/>
      <c r="F655" s="1295"/>
      <c r="I655" s="524"/>
    </row>
    <row r="656" spans="1:9" ht="14.25">
      <c r="A656" s="517"/>
      <c r="B656" s="518"/>
      <c r="C656" s="521"/>
      <c r="D656" s="1295"/>
      <c r="E656" s="1295"/>
      <c r="F656" s="1295"/>
      <c r="I656" s="524"/>
    </row>
    <row r="657" spans="1:9" ht="14.25">
      <c r="A657" s="517"/>
      <c r="B657" s="518"/>
      <c r="C657" s="521"/>
      <c r="D657" s="1295"/>
      <c r="E657" s="1295"/>
      <c r="F657" s="1295"/>
      <c r="I657" s="524"/>
    </row>
    <row r="658" spans="1:9" ht="14.25" customHeight="1">
      <c r="A658" s="517"/>
      <c r="B658" s="518"/>
      <c r="C658" s="521"/>
      <c r="F658" s="417"/>
      <c r="I658" s="524"/>
    </row>
    <row r="659" spans="1:9" ht="12.75" customHeight="1">
      <c r="A659" s="517"/>
      <c r="B659" s="519" t="s">
        <v>2774</v>
      </c>
      <c r="C659" s="521"/>
      <c r="D659" s="1295" t="s">
        <v>1390</v>
      </c>
      <c r="E659" s="1295"/>
      <c r="F659" s="1295"/>
      <c r="I659" s="524" t="s">
        <v>2156</v>
      </c>
    </row>
    <row r="660" spans="1:9" ht="14.25">
      <c r="A660" s="517"/>
      <c r="B660" s="518"/>
      <c r="C660" s="521"/>
      <c r="D660" s="1295"/>
      <c r="E660" s="1295"/>
      <c r="F660" s="1295"/>
      <c r="I660" s="524"/>
    </row>
    <row r="661" spans="1:9" ht="14.25">
      <c r="A661" s="518"/>
      <c r="B661" s="518"/>
      <c r="C661" s="521"/>
      <c r="D661" s="1295"/>
      <c r="E661" s="1295"/>
      <c r="F661" s="1295"/>
      <c r="I661" s="524"/>
    </row>
    <row r="662" spans="1:9" ht="14.25">
      <c r="A662" s="518"/>
      <c r="B662" s="518"/>
      <c r="C662" s="521"/>
      <c r="D662" s="1295"/>
      <c r="E662" s="1295"/>
      <c r="F662" s="1295"/>
      <c r="I662" s="524"/>
    </row>
    <row r="663" spans="1:9" ht="14.25">
      <c r="A663" s="518"/>
      <c r="B663" s="518"/>
      <c r="C663" s="521"/>
      <c r="D663" s="479"/>
      <c r="E663" s="479"/>
      <c r="F663" s="479"/>
      <c r="I663" s="524"/>
    </row>
    <row r="664" spans="1:9" ht="12.75" customHeight="1">
      <c r="A664" s="517"/>
      <c r="B664" s="519" t="s">
        <v>2773</v>
      </c>
      <c r="C664" s="521"/>
      <c r="D664" s="1295" t="s">
        <v>2379</v>
      </c>
      <c r="E664" s="1295"/>
      <c r="F664" s="1295"/>
      <c r="I664" s="524" t="s">
        <v>2156</v>
      </c>
    </row>
    <row r="665" spans="1:9" ht="12.75" customHeight="1">
      <c r="A665" s="517"/>
      <c r="B665" s="518"/>
      <c r="C665" s="521"/>
      <c r="D665" s="1295"/>
      <c r="E665" s="1295"/>
      <c r="F665" s="1295"/>
      <c r="I665" s="524"/>
    </row>
    <row r="666" spans="1:9" ht="12.75" customHeight="1">
      <c r="A666" s="517"/>
      <c r="B666" s="518"/>
      <c r="C666" s="521"/>
      <c r="D666" s="1295"/>
      <c r="E666" s="1295"/>
      <c r="F666" s="1295"/>
      <c r="I666" s="524"/>
    </row>
    <row r="667" spans="1:9" ht="12.75" customHeight="1">
      <c r="A667" s="517"/>
      <c r="B667" s="518"/>
      <c r="C667" s="521"/>
      <c r="D667" s="1295"/>
      <c r="E667" s="1295"/>
      <c r="F667" s="1295"/>
      <c r="I667" s="524"/>
    </row>
    <row r="668" spans="1:9" ht="12.75" customHeight="1">
      <c r="A668" s="517"/>
      <c r="B668" s="518"/>
      <c r="C668" s="521"/>
      <c r="D668" s="1295"/>
      <c r="E668" s="1295"/>
      <c r="F668" s="1295"/>
      <c r="I668" s="524"/>
    </row>
    <row r="669" spans="1:9" ht="12.75" customHeight="1">
      <c r="A669" s="517"/>
      <c r="B669" s="518"/>
      <c r="C669" s="521"/>
      <c r="D669" s="1295"/>
      <c r="E669" s="1295"/>
      <c r="F669" s="1295"/>
      <c r="I669" s="524"/>
    </row>
    <row r="670" spans="1:9" ht="12.75" customHeight="1">
      <c r="A670" s="517"/>
      <c r="B670" s="518"/>
      <c r="C670" s="521"/>
      <c r="D670" s="1295"/>
      <c r="E670" s="1295"/>
      <c r="F670" s="1295"/>
      <c r="I670" s="524"/>
    </row>
    <row r="671" spans="1:9" ht="12.75" customHeight="1">
      <c r="A671" s="517"/>
      <c r="B671" s="518"/>
      <c r="C671" s="521"/>
      <c r="D671" s="1295"/>
      <c r="E671" s="1295"/>
      <c r="F671" s="1295"/>
      <c r="I671" s="524"/>
    </row>
    <row r="672" spans="1:9" ht="12.75" customHeight="1">
      <c r="A672" s="517"/>
      <c r="B672" s="518"/>
      <c r="C672" s="521"/>
      <c r="D672" s="1295"/>
      <c r="E672" s="1295"/>
      <c r="F672" s="1295"/>
      <c r="I672" s="524"/>
    </row>
    <row r="673" spans="1:11">
      <c r="A673" s="521"/>
      <c r="B673" s="521"/>
      <c r="C673" s="521"/>
      <c r="D673" s="480"/>
      <c r="E673" s="480"/>
      <c r="F673" s="480"/>
      <c r="I673" s="524"/>
    </row>
    <row r="674" spans="1:11">
      <c r="A674" s="1283" t="s">
        <v>1085</v>
      </c>
      <c r="B674" s="1283"/>
      <c r="C674" s="1283"/>
      <c r="D674" s="1283"/>
      <c r="E674" s="1283"/>
      <c r="F674" s="1283"/>
      <c r="G674" s="1283"/>
      <c r="H674" s="1065"/>
      <c r="I674" s="1263"/>
      <c r="J674" s="535"/>
      <c r="K674" s="535"/>
    </row>
    <row r="675" spans="1:11">
      <c r="A675" s="482"/>
      <c r="B675" s="482"/>
      <c r="C675" s="482"/>
      <c r="D675" s="482"/>
      <c r="E675" s="482"/>
      <c r="F675" s="482"/>
      <c r="G675" s="482"/>
      <c r="H675" s="535"/>
      <c r="I675" s="517"/>
      <c r="J675" s="535"/>
      <c r="K675" s="535"/>
    </row>
    <row r="676" spans="1:11">
      <c r="C676" s="516"/>
      <c r="D676" s="1294" t="s">
        <v>99</v>
      </c>
      <c r="E676" s="1294"/>
      <c r="F676" s="1294"/>
      <c r="H676" s="535"/>
      <c r="I676" s="517"/>
      <c r="J676" s="535"/>
      <c r="K676" s="535"/>
    </row>
    <row r="677" spans="1:11">
      <c r="A677" s="516"/>
      <c r="B677" s="516"/>
      <c r="C677" s="516"/>
      <c r="D677" s="1294" t="s">
        <v>123</v>
      </c>
      <c r="E677" s="1294"/>
      <c r="F677" s="1294"/>
      <c r="H677" s="535"/>
      <c r="I677" s="517"/>
      <c r="J677" s="535"/>
      <c r="K677" s="535"/>
    </row>
    <row r="678" spans="1:11">
      <c r="A678" s="517"/>
      <c r="B678" s="517"/>
      <c r="C678" s="517"/>
      <c r="D678" s="1296" t="s">
        <v>1121</v>
      </c>
      <c r="E678" s="1296"/>
      <c r="F678" s="1296"/>
      <c r="H678" s="535"/>
      <c r="I678" s="517"/>
      <c r="J678" s="535"/>
      <c r="K678" s="535"/>
    </row>
    <row r="679" spans="1:11">
      <c r="A679" s="517"/>
      <c r="B679" s="517"/>
      <c r="C679" s="517"/>
      <c r="H679" s="535"/>
      <c r="I679" s="517"/>
      <c r="J679" s="535"/>
      <c r="K679" s="535"/>
    </row>
    <row r="680" spans="1:11" ht="14.25">
      <c r="A680" s="518"/>
      <c r="B680" s="519" t="s">
        <v>2774</v>
      </c>
      <c r="C680" s="517"/>
      <c r="D680" s="1296" t="s">
        <v>897</v>
      </c>
      <c r="E680" s="1296"/>
      <c r="F680" s="1296"/>
      <c r="H680" s="535"/>
      <c r="I680" s="517" t="s">
        <v>2132</v>
      </c>
      <c r="J680" s="535"/>
      <c r="K680" s="535"/>
    </row>
    <row r="681" spans="1:11">
      <c r="A681" s="517"/>
      <c r="B681" s="517"/>
      <c r="C681" s="517"/>
      <c r="D681" s="1296" t="s">
        <v>907</v>
      </c>
      <c r="E681" s="1296"/>
      <c r="F681" s="1296"/>
      <c r="H681" s="535"/>
      <c r="I681" s="517"/>
      <c r="J681" s="535"/>
      <c r="K681" s="535"/>
    </row>
    <row r="682" spans="1:11" ht="12.75" customHeight="1">
      <c r="A682" s="517"/>
      <c r="B682" s="517"/>
      <c r="C682" s="517"/>
      <c r="E682" s="1071" t="s">
        <v>2211</v>
      </c>
      <c r="F682" s="451"/>
      <c r="H682" s="535"/>
      <c r="I682" s="517"/>
      <c r="J682" s="535"/>
      <c r="K682" s="535"/>
    </row>
    <row r="683" spans="1:11">
      <c r="A683" s="517"/>
      <c r="B683" s="517"/>
      <c r="C683" s="517"/>
      <c r="E683" s="535" t="s">
        <v>2210</v>
      </c>
      <c r="F683" s="451"/>
      <c r="I683" s="517"/>
      <c r="J683" s="535"/>
      <c r="K683" s="535"/>
    </row>
    <row r="684" spans="1:11">
      <c r="A684" s="517"/>
      <c r="B684" s="517"/>
      <c r="C684" s="517"/>
      <c r="D684" s="536"/>
      <c r="E684" s="480"/>
      <c r="H684" s="535"/>
      <c r="I684" s="517"/>
      <c r="J684" s="535"/>
      <c r="K684" s="535"/>
    </row>
    <row r="685" spans="1:11" ht="14.25">
      <c r="A685" s="518"/>
      <c r="B685" s="519" t="s">
        <v>2773</v>
      </c>
      <c r="C685" s="517"/>
      <c r="D685" s="1295" t="s">
        <v>2380</v>
      </c>
      <c r="E685" s="1295"/>
      <c r="F685" s="1295"/>
      <c r="H685" s="535"/>
      <c r="I685" s="517" t="s">
        <v>2154</v>
      </c>
      <c r="J685" s="535"/>
      <c r="K685" s="535"/>
    </row>
    <row r="686" spans="1:11">
      <c r="A686" s="524"/>
      <c r="B686" s="524"/>
      <c r="C686" s="517"/>
      <c r="D686" s="1295"/>
      <c r="E686" s="1295"/>
      <c r="F686" s="1295"/>
      <c r="H686" s="535"/>
      <c r="I686" s="517"/>
      <c r="J686" s="535"/>
      <c r="K686" s="535"/>
    </row>
    <row r="687" spans="1:11">
      <c r="A687" s="517"/>
      <c r="B687" s="517"/>
      <c r="C687" s="517"/>
      <c r="D687" s="1295"/>
      <c r="E687" s="1295"/>
      <c r="F687" s="1295"/>
      <c r="H687" s="535"/>
      <c r="I687" s="517"/>
      <c r="J687" s="535"/>
      <c r="K687" s="535"/>
    </row>
    <row r="688" spans="1:11">
      <c r="A688" s="517"/>
      <c r="B688" s="517"/>
      <c r="C688" s="517"/>
      <c r="H688" s="535"/>
      <c r="I688" s="517" t="s">
        <v>2133</v>
      </c>
      <c r="J688" s="535"/>
      <c r="K688" s="535"/>
    </row>
    <row r="689" spans="1:11" ht="14.25">
      <c r="A689" s="518"/>
      <c r="B689" s="519" t="s">
        <v>2774</v>
      </c>
      <c r="C689" s="517"/>
      <c r="D689" s="1296" t="s">
        <v>935</v>
      </c>
      <c r="E689" s="1296"/>
      <c r="F689" s="1296"/>
      <c r="H689" s="535"/>
      <c r="I689" s="517"/>
      <c r="J689" s="535"/>
      <c r="K689" s="535"/>
    </row>
    <row r="690" spans="1:11" ht="14.25">
      <c r="A690" s="518"/>
      <c r="B690" s="518"/>
      <c r="C690" s="517"/>
      <c r="D690" s="1296" t="s">
        <v>907</v>
      </c>
      <c r="E690" s="1296"/>
      <c r="F690" s="1296"/>
      <c r="H690" s="535"/>
      <c r="I690" s="517"/>
      <c r="J690" s="535"/>
      <c r="K690" s="535"/>
    </row>
    <row r="691" spans="1:11">
      <c r="A691" s="517"/>
      <c r="B691" s="517"/>
      <c r="C691" s="517"/>
      <c r="E691" s="1071" t="s">
        <v>2212</v>
      </c>
      <c r="F691" s="435"/>
      <c r="H691" s="535"/>
      <c r="I691" s="517"/>
      <c r="J691" s="535"/>
      <c r="K691" s="535"/>
    </row>
    <row r="692" spans="1:11">
      <c r="A692" s="517"/>
      <c r="B692" s="517"/>
      <c r="C692" s="517"/>
      <c r="D692" s="435"/>
      <c r="H692" s="535"/>
      <c r="I692" s="517"/>
      <c r="J692" s="535"/>
      <c r="K692" s="535"/>
    </row>
    <row r="693" spans="1:11" ht="14.25">
      <c r="A693" s="518"/>
      <c r="B693" s="519" t="s">
        <v>2774</v>
      </c>
      <c r="C693" s="517"/>
      <c r="D693" s="1295" t="s">
        <v>1134</v>
      </c>
      <c r="E693" s="1295"/>
      <c r="F693" s="1295"/>
      <c r="H693" s="535"/>
      <c r="I693" s="517" t="s">
        <v>2105</v>
      </c>
      <c r="J693" s="535"/>
      <c r="K693" s="535"/>
    </row>
    <row r="694" spans="1:11">
      <c r="A694" s="517"/>
      <c r="B694" s="517"/>
      <c r="C694" s="517"/>
      <c r="D694" s="1295"/>
      <c r="E694" s="1295"/>
      <c r="F694" s="1295"/>
      <c r="H694" s="535"/>
      <c r="I694" s="517"/>
      <c r="J694" s="535"/>
      <c r="K694" s="535"/>
    </row>
    <row r="695" spans="1:11">
      <c r="A695" s="517"/>
      <c r="B695" s="517"/>
      <c r="C695" s="517"/>
      <c r="D695" s="1295"/>
      <c r="E695" s="1295"/>
      <c r="F695" s="1295"/>
      <c r="H695" s="535"/>
      <c r="I695" s="517"/>
      <c r="J695" s="535"/>
      <c r="K695" s="535"/>
    </row>
    <row r="696" spans="1:11">
      <c r="A696" s="517"/>
      <c r="B696" s="517"/>
      <c r="C696" s="517"/>
      <c r="D696" s="1295"/>
      <c r="E696" s="1295"/>
      <c r="F696" s="1295"/>
      <c r="H696" s="535"/>
      <c r="I696" s="517"/>
      <c r="J696" s="535"/>
      <c r="K696" s="535"/>
    </row>
    <row r="697" spans="1:11">
      <c r="A697" s="517"/>
      <c r="B697" s="517"/>
      <c r="C697" s="517"/>
      <c r="D697" s="1295"/>
      <c r="E697" s="1295"/>
      <c r="F697" s="1295"/>
      <c r="H697" s="535"/>
      <c r="I697" s="517"/>
      <c r="J697" s="535"/>
      <c r="K697" s="535"/>
    </row>
    <row r="698" spans="1:11">
      <c r="A698" s="517"/>
      <c r="B698" s="517"/>
      <c r="C698" s="517"/>
      <c r="D698" s="1295"/>
      <c r="E698" s="1295"/>
      <c r="F698" s="1295"/>
      <c r="H698" s="535"/>
      <c r="I698" s="517"/>
      <c r="J698" s="535"/>
      <c r="K698" s="535"/>
    </row>
    <row r="699" spans="1:11">
      <c r="A699" s="517"/>
      <c r="B699" s="517"/>
      <c r="C699" s="517"/>
      <c r="D699" s="479"/>
      <c r="E699" s="479"/>
      <c r="F699" s="479"/>
      <c r="H699" s="535"/>
      <c r="I699" s="517"/>
      <c r="J699" s="535"/>
      <c r="K699" s="535"/>
    </row>
    <row r="700" spans="1:11">
      <c r="A700" s="517"/>
      <c r="B700" s="519" t="s">
        <v>2773</v>
      </c>
      <c r="C700" s="517"/>
      <c r="D700" s="1295" t="s">
        <v>1305</v>
      </c>
      <c r="E700" s="1295"/>
      <c r="F700" s="1295"/>
      <c r="H700" s="535"/>
      <c r="I700" s="517" t="s">
        <v>2105</v>
      </c>
      <c r="J700" s="535"/>
      <c r="K700" s="535"/>
    </row>
    <row r="701" spans="1:11">
      <c r="A701" s="517"/>
      <c r="B701" s="517"/>
      <c r="C701" s="517"/>
      <c r="D701" s="1295"/>
      <c r="E701" s="1295"/>
      <c r="F701" s="1295"/>
      <c r="H701" s="535"/>
      <c r="I701" s="517"/>
      <c r="J701" s="535"/>
      <c r="K701" s="535"/>
    </row>
    <row r="702" spans="1:11">
      <c r="A702" s="517"/>
      <c r="B702" s="517"/>
      <c r="C702" s="517"/>
      <c r="D702" s="479"/>
      <c r="E702" s="479"/>
      <c r="F702" s="479"/>
      <c r="H702" s="535"/>
      <c r="I702" s="517"/>
      <c r="J702" s="535"/>
      <c r="K702" s="535"/>
    </row>
    <row r="703" spans="1:11" ht="14.25">
      <c r="A703" s="518"/>
      <c r="B703" s="519" t="s">
        <v>2773</v>
      </c>
      <c r="C703" s="517"/>
      <c r="D703" s="1295" t="s">
        <v>1125</v>
      </c>
      <c r="E703" s="1295"/>
      <c r="F703" s="1295"/>
      <c r="H703" s="535"/>
      <c r="I703" s="517" t="s">
        <v>2105</v>
      </c>
      <c r="J703" s="535"/>
      <c r="K703" s="535"/>
    </row>
    <row r="704" spans="1:11">
      <c r="A704" s="517"/>
      <c r="B704" s="517"/>
      <c r="C704" s="517"/>
      <c r="D704" s="1295"/>
      <c r="E704" s="1295"/>
      <c r="F704" s="1295"/>
      <c r="H704" s="535"/>
      <c r="I704" s="517"/>
      <c r="J704" s="535"/>
      <c r="K704" s="535"/>
    </row>
    <row r="705" spans="1:11">
      <c r="A705" s="517"/>
      <c r="B705" s="517"/>
      <c r="C705" s="517"/>
      <c r="D705" s="1295"/>
      <c r="E705" s="1295"/>
      <c r="F705" s="1295"/>
      <c r="H705" s="535"/>
      <c r="I705" s="517"/>
      <c r="J705" s="535"/>
      <c r="K705" s="535"/>
    </row>
    <row r="706" spans="1:11" ht="15" customHeight="1">
      <c r="A706" s="517"/>
      <c r="B706" s="517"/>
      <c r="C706" s="517"/>
      <c r="D706" s="1295"/>
      <c r="E706" s="1295"/>
      <c r="F706" s="1295"/>
      <c r="H706" s="535"/>
      <c r="I706" s="517"/>
      <c r="J706" s="535"/>
      <c r="K706" s="535"/>
    </row>
    <row r="707" spans="1:11" ht="15" customHeight="1">
      <c r="A707" s="517"/>
      <c r="B707" s="517"/>
      <c r="C707" s="517"/>
      <c r="D707" s="1295"/>
      <c r="E707" s="1295"/>
      <c r="F707" s="1295"/>
      <c r="H707" s="535"/>
      <c r="I707" s="517"/>
      <c r="J707" s="535"/>
      <c r="K707" s="535"/>
    </row>
    <row r="708" spans="1:11">
      <c r="A708" s="517"/>
      <c r="B708" s="517"/>
      <c r="C708" s="517"/>
      <c r="D708" s="1295"/>
      <c r="E708" s="1295"/>
      <c r="F708" s="1295"/>
      <c r="H708" s="535"/>
      <c r="I708" s="517"/>
      <c r="J708" s="535"/>
      <c r="K708" s="535"/>
    </row>
    <row r="709" spans="1:11">
      <c r="A709" s="517"/>
      <c r="B709" s="517"/>
      <c r="C709" s="517"/>
      <c r="D709" s="1295"/>
      <c r="E709" s="1295"/>
      <c r="F709" s="1295"/>
      <c r="H709" s="535"/>
      <c r="I709" s="517"/>
      <c r="J709" s="535"/>
      <c r="K709" s="535"/>
    </row>
    <row r="710" spans="1:11">
      <c r="A710" s="517"/>
      <c r="B710" s="517"/>
      <c r="C710" s="517"/>
      <c r="D710" s="1295"/>
      <c r="E710" s="1295"/>
      <c r="F710" s="1295"/>
      <c r="H710" s="535"/>
      <c r="I710" s="517"/>
      <c r="J710" s="535"/>
      <c r="K710" s="535"/>
    </row>
    <row r="711" spans="1:11" ht="15" customHeight="1">
      <c r="A711" s="517"/>
      <c r="B711" s="517"/>
      <c r="C711" s="517"/>
      <c r="D711" s="1295"/>
      <c r="E711" s="1295"/>
      <c r="F711" s="1295"/>
      <c r="H711" s="535"/>
      <c r="I711" s="517"/>
      <c r="J711" s="535"/>
      <c r="K711" s="535"/>
    </row>
    <row r="712" spans="1:11">
      <c r="A712" s="517"/>
      <c r="B712" s="517"/>
      <c r="C712" s="517"/>
      <c r="D712" s="1295"/>
      <c r="E712" s="1295"/>
      <c r="F712" s="1295"/>
      <c r="H712" s="535"/>
      <c r="I712" s="517"/>
      <c r="J712" s="535"/>
      <c r="K712" s="535"/>
    </row>
    <row r="713" spans="1:11">
      <c r="A713" s="517"/>
      <c r="B713" s="517"/>
      <c r="C713" s="517"/>
      <c r="D713" s="1295"/>
      <c r="E713" s="1295"/>
      <c r="F713" s="1295"/>
      <c r="H713" s="535"/>
      <c r="I713" s="517"/>
      <c r="J713" s="535"/>
      <c r="K713" s="535"/>
    </row>
    <row r="714" spans="1:11">
      <c r="A714" s="517"/>
      <c r="B714" s="517"/>
      <c r="C714" s="517"/>
      <c r="D714" s="1295"/>
      <c r="E714" s="1295"/>
      <c r="F714" s="1295"/>
      <c r="H714" s="535"/>
      <c r="I714" s="517"/>
      <c r="J714" s="535"/>
      <c r="K714" s="535"/>
    </row>
    <row r="715" spans="1:11">
      <c r="A715" s="517"/>
      <c r="B715" s="517"/>
      <c r="C715" s="517"/>
      <c r="D715" s="1295"/>
      <c r="E715" s="1295"/>
      <c r="F715" s="1295"/>
      <c r="H715" s="535"/>
      <c r="I715" s="517"/>
      <c r="J715" s="535"/>
      <c r="K715" s="535"/>
    </row>
    <row r="716" spans="1:11">
      <c r="A716" s="517"/>
      <c r="B716" s="519" t="s">
        <v>2773</v>
      </c>
      <c r="C716" s="517"/>
      <c r="D716" s="1295" t="s">
        <v>1132</v>
      </c>
      <c r="E716" s="1295"/>
      <c r="F716" s="1295"/>
      <c r="H716" s="535"/>
      <c r="I716" s="517" t="s">
        <v>2155</v>
      </c>
      <c r="J716" s="535"/>
      <c r="K716" s="535"/>
    </row>
    <row r="717" spans="1:11">
      <c r="A717" s="517"/>
      <c r="B717" s="517"/>
      <c r="C717" s="517"/>
      <c r="D717" s="1295"/>
      <c r="E717" s="1295"/>
      <c r="F717" s="1295"/>
      <c r="H717" s="535"/>
      <c r="I717" s="517"/>
      <c r="J717" s="535"/>
      <c r="K717" s="535"/>
    </row>
    <row r="718" spans="1:11">
      <c r="A718" s="517"/>
      <c r="B718" s="517"/>
      <c r="C718" s="517"/>
      <c r="D718" s="479"/>
      <c r="E718" s="479"/>
      <c r="F718" s="479"/>
      <c r="H718" s="535"/>
      <c r="I718" s="517"/>
      <c r="J718" s="535"/>
      <c r="K718" s="535"/>
    </row>
    <row r="719" spans="1:11">
      <c r="A719" s="517"/>
      <c r="B719" s="519" t="s">
        <v>2773</v>
      </c>
      <c r="C719" s="517"/>
      <c r="D719" s="1295" t="s">
        <v>1126</v>
      </c>
      <c r="E719" s="1295"/>
      <c r="F719" s="1295"/>
      <c r="H719" s="535"/>
      <c r="I719" s="517" t="s">
        <v>2155</v>
      </c>
      <c r="J719" s="535"/>
      <c r="K719" s="535"/>
    </row>
    <row r="720" spans="1:11">
      <c r="A720" s="517"/>
      <c r="B720" s="517"/>
      <c r="C720" s="517"/>
      <c r="D720" s="1295"/>
      <c r="E720" s="1295"/>
      <c r="F720" s="1295"/>
      <c r="H720" s="535"/>
      <c r="I720" s="517"/>
      <c r="J720" s="535"/>
      <c r="K720" s="535"/>
    </row>
    <row r="721" spans="1:11">
      <c r="A721" s="517"/>
      <c r="B721" s="517"/>
      <c r="C721" s="517"/>
      <c r="D721" s="1295"/>
      <c r="E721" s="1295"/>
      <c r="F721" s="1295"/>
      <c r="H721" s="535"/>
      <c r="I721" s="517"/>
      <c r="J721" s="535"/>
      <c r="K721" s="535"/>
    </row>
    <row r="722" spans="1:11">
      <c r="A722" s="517"/>
      <c r="B722" s="517"/>
      <c r="C722" s="517"/>
      <c r="H722" s="535"/>
      <c r="I722" s="517"/>
      <c r="J722" s="535"/>
      <c r="K722" s="535"/>
    </row>
    <row r="723" spans="1:11">
      <c r="A723" s="517"/>
      <c r="B723" s="519" t="s">
        <v>2773</v>
      </c>
      <c r="C723" s="517"/>
      <c r="D723" s="1295" t="s">
        <v>1127</v>
      </c>
      <c r="E723" s="1295"/>
      <c r="F723" s="1295"/>
      <c r="H723" s="535"/>
      <c r="I723" s="517" t="s">
        <v>2155</v>
      </c>
      <c r="J723" s="535"/>
      <c r="K723" s="535"/>
    </row>
    <row r="724" spans="1:11">
      <c r="A724" s="517"/>
      <c r="B724" s="517"/>
      <c r="C724" s="517"/>
      <c r="D724" s="1295"/>
      <c r="E724" s="1295"/>
      <c r="F724" s="1295"/>
      <c r="H724" s="535"/>
      <c r="I724" s="517"/>
      <c r="J724" s="535"/>
      <c r="K724" s="535"/>
    </row>
    <row r="725" spans="1:11">
      <c r="A725" s="517"/>
      <c r="B725" s="517"/>
      <c r="C725" s="517"/>
      <c r="D725" s="1295"/>
      <c r="E725" s="1295"/>
      <c r="F725" s="1295"/>
      <c r="H725" s="535"/>
      <c r="I725" s="517"/>
      <c r="J725" s="535"/>
      <c r="K725" s="535"/>
    </row>
    <row r="726" spans="1:11">
      <c r="A726" s="517"/>
      <c r="B726" s="517"/>
      <c r="C726" s="517"/>
      <c r="H726" s="535"/>
      <c r="I726" s="517"/>
      <c r="J726" s="535"/>
      <c r="K726" s="535"/>
    </row>
    <row r="727" spans="1:11" ht="14.25">
      <c r="A727" s="518"/>
      <c r="B727" s="519" t="s">
        <v>2773</v>
      </c>
      <c r="C727" s="517"/>
      <c r="D727" s="1295" t="s">
        <v>1128</v>
      </c>
      <c r="E727" s="1295"/>
      <c r="F727" s="1295"/>
      <c r="H727" s="535"/>
      <c r="I727" s="517" t="s">
        <v>2106</v>
      </c>
      <c r="J727" s="535"/>
      <c r="K727" s="535"/>
    </row>
    <row r="728" spans="1:11">
      <c r="A728" s="517"/>
      <c r="B728" s="517"/>
      <c r="C728" s="517"/>
      <c r="D728" s="1295"/>
      <c r="E728" s="1295"/>
      <c r="F728" s="1295"/>
      <c r="H728" s="535"/>
      <c r="I728" s="517"/>
      <c r="J728" s="535"/>
      <c r="K728" s="535"/>
    </row>
    <row r="729" spans="1:11">
      <c r="A729" s="517"/>
      <c r="B729" s="517"/>
      <c r="C729" s="517"/>
      <c r="D729" s="1295"/>
      <c r="E729" s="1295"/>
      <c r="F729" s="1295"/>
      <c r="H729" s="535"/>
      <c r="I729" s="517"/>
      <c r="J729" s="535"/>
      <c r="K729" s="535"/>
    </row>
    <row r="730" spans="1:11">
      <c r="A730" s="517"/>
      <c r="B730" s="517"/>
      <c r="C730" s="517"/>
      <c r="D730" s="1295"/>
      <c r="E730" s="1295"/>
      <c r="F730" s="1295"/>
      <c r="H730" s="535"/>
      <c r="I730" s="517"/>
      <c r="J730" s="535"/>
      <c r="K730" s="535"/>
    </row>
    <row r="731" spans="1:11">
      <c r="A731" s="517"/>
      <c r="B731" s="517"/>
      <c r="C731" s="517"/>
      <c r="D731" s="526"/>
      <c r="H731" s="535"/>
      <c r="I731" s="517"/>
      <c r="J731" s="535"/>
      <c r="K731" s="535"/>
    </row>
    <row r="732" spans="1:11" ht="14.25">
      <c r="A732" s="518"/>
      <c r="B732" s="519" t="s">
        <v>2773</v>
      </c>
      <c r="C732" s="517"/>
      <c r="D732" s="1295" t="s">
        <v>2503</v>
      </c>
      <c r="E732" s="1295"/>
      <c r="F732" s="1295"/>
      <c r="H732" s="535"/>
      <c r="I732" s="517" t="s">
        <v>2122</v>
      </c>
      <c r="J732" s="535"/>
      <c r="K732" s="535"/>
    </row>
    <row r="733" spans="1:11">
      <c r="A733" s="517"/>
      <c r="B733" s="517"/>
      <c r="C733" s="517"/>
      <c r="D733" s="1295"/>
      <c r="E733" s="1295"/>
      <c r="F733" s="1295"/>
      <c r="H733" s="535"/>
      <c r="I733" s="517"/>
      <c r="J733" s="535"/>
      <c r="K733" s="535"/>
    </row>
    <row r="734" spans="1:11">
      <c r="A734" s="517"/>
      <c r="B734" s="517"/>
      <c r="C734" s="517"/>
      <c r="D734" s="1295"/>
      <c r="E734" s="1295"/>
      <c r="F734" s="1295"/>
      <c r="H734" s="535"/>
      <c r="I734" s="517"/>
      <c r="J734" s="535"/>
      <c r="K734" s="535"/>
    </row>
    <row r="735" spans="1:11">
      <c r="A735" s="517"/>
      <c r="B735" s="517"/>
      <c r="C735" s="517"/>
      <c r="D735" s="1295"/>
      <c r="E735" s="1295"/>
      <c r="F735" s="1295"/>
      <c r="H735" s="535"/>
      <c r="I735" s="517"/>
      <c r="J735" s="535"/>
      <c r="K735" s="535"/>
    </row>
    <row r="736" spans="1:11">
      <c r="A736" s="517"/>
      <c r="B736" s="517"/>
      <c r="C736" s="517"/>
      <c r="D736" s="1295"/>
      <c r="E736" s="1295"/>
      <c r="F736" s="1295"/>
      <c r="H736" s="535"/>
      <c r="I736" s="517"/>
      <c r="J736" s="535"/>
      <c r="K736" s="535"/>
    </row>
    <row r="737" spans="1:11">
      <c r="A737" s="517"/>
      <c r="B737" s="517"/>
      <c r="C737" s="517"/>
      <c r="D737" s="1295"/>
      <c r="E737" s="1295"/>
      <c r="F737" s="1295"/>
      <c r="H737" s="535"/>
      <c r="I737" s="517"/>
      <c r="J737" s="535"/>
      <c r="K737" s="535"/>
    </row>
    <row r="738" spans="1:11">
      <c r="A738" s="517"/>
      <c r="B738" s="517"/>
      <c r="C738" s="517"/>
      <c r="D738" s="1295"/>
      <c r="E738" s="1295"/>
      <c r="F738" s="1295"/>
      <c r="H738" s="535"/>
      <c r="I738" s="517"/>
      <c r="J738" s="535"/>
      <c r="K738" s="535"/>
    </row>
    <row r="739" spans="1:11">
      <c r="A739" s="517"/>
      <c r="B739" s="517"/>
      <c r="C739" s="517"/>
      <c r="D739" s="1312" t="s">
        <v>2389</v>
      </c>
      <c r="E739" s="1312"/>
      <c r="F739" s="1312"/>
      <c r="H739" s="535"/>
      <c r="I739" s="517"/>
      <c r="J739" s="535"/>
      <c r="K739" s="535"/>
    </row>
    <row r="740" spans="1:11">
      <c r="A740" s="517"/>
      <c r="B740" s="517"/>
      <c r="C740" s="517"/>
      <c r="D740" s="369"/>
      <c r="H740" s="535"/>
      <c r="I740" s="517"/>
      <c r="J740" s="535"/>
      <c r="K740" s="535"/>
    </row>
    <row r="741" spans="1:11">
      <c r="A741" s="1314" t="s">
        <v>1086</v>
      </c>
      <c r="B741" s="1314"/>
      <c r="C741" s="1314"/>
      <c r="D741" s="1314"/>
      <c r="E741" s="1314"/>
      <c r="F741" s="1314"/>
      <c r="G741" s="1314"/>
      <c r="H741" s="1065"/>
      <c r="I741" s="1263"/>
      <c r="J741" s="535"/>
      <c r="K741" s="535"/>
    </row>
    <row r="742" spans="1:11">
      <c r="A742" s="517"/>
      <c r="B742" s="517"/>
      <c r="C742" s="517"/>
      <c r="D742" s="526"/>
      <c r="G742" s="535"/>
      <c r="H742" s="535"/>
      <c r="I742" s="517"/>
      <c r="J742" s="535"/>
      <c r="K742" s="535"/>
    </row>
    <row r="743" spans="1:11" ht="13.7" customHeight="1">
      <c r="C743" s="517"/>
      <c r="D743" s="1297" t="s">
        <v>1102</v>
      </c>
      <c r="E743" s="1297"/>
      <c r="F743" s="1297"/>
      <c r="G743" s="535"/>
      <c r="H743" s="535"/>
      <c r="I743" s="517"/>
      <c r="J743" s="535"/>
      <c r="K743" s="535"/>
    </row>
    <row r="744" spans="1:11">
      <c r="A744" s="517"/>
      <c r="B744" s="517"/>
      <c r="C744" s="517"/>
      <c r="D744" s="1298" t="s">
        <v>1103</v>
      </c>
      <c r="E744" s="1298"/>
      <c r="F744" s="1298"/>
      <c r="G744" s="535"/>
      <c r="H744" s="535"/>
      <c r="I744" s="517"/>
      <c r="J744" s="535"/>
      <c r="K744" s="535"/>
    </row>
    <row r="745" spans="1:11">
      <c r="A745" s="517"/>
      <c r="B745" s="517"/>
      <c r="C745" s="517"/>
      <c r="G745" s="535"/>
      <c r="H745" s="535"/>
      <c r="I745" s="517"/>
      <c r="J745" s="535"/>
      <c r="K745" s="535"/>
    </row>
    <row r="746" spans="1:11" ht="14.25">
      <c r="A746" s="518"/>
      <c r="B746" s="519" t="s">
        <v>2774</v>
      </c>
      <c r="D746" s="1295" t="s">
        <v>1104</v>
      </c>
      <c r="E746" s="1295"/>
      <c r="F746" s="1295"/>
      <c r="G746" s="535"/>
      <c r="H746" s="535"/>
      <c r="I746" s="517" t="s">
        <v>2107</v>
      </c>
      <c r="J746" s="535"/>
      <c r="K746" s="535"/>
    </row>
    <row r="747" spans="1:11" ht="10.5" customHeight="1">
      <c r="D747" s="1295"/>
      <c r="E747" s="1295"/>
      <c r="F747" s="1295"/>
      <c r="G747" s="535"/>
      <c r="H747" s="535"/>
      <c r="I747" s="517"/>
      <c r="J747" s="535"/>
      <c r="K747" s="535"/>
    </row>
    <row r="748" spans="1:11">
      <c r="D748" s="1295"/>
      <c r="E748" s="1295"/>
      <c r="F748" s="1295"/>
      <c r="G748" s="535"/>
      <c r="H748" s="535"/>
      <c r="I748" s="517"/>
      <c r="J748" s="535"/>
      <c r="K748" s="535"/>
    </row>
    <row r="749" spans="1:11">
      <c r="D749" s="1295"/>
      <c r="E749" s="1295"/>
      <c r="F749" s="1295"/>
      <c r="G749" s="535"/>
      <c r="H749" s="535"/>
      <c r="I749" s="517"/>
      <c r="J749" s="535"/>
      <c r="K749" s="535"/>
    </row>
    <row r="750" spans="1:11">
      <c r="D750" s="1295"/>
      <c r="E750" s="1295"/>
      <c r="F750" s="1295"/>
      <c r="G750" s="535"/>
      <c r="H750" s="535"/>
      <c r="I750" s="517"/>
      <c r="J750" s="535"/>
      <c r="K750" s="535"/>
    </row>
    <row r="751" spans="1:11" ht="15.6" customHeight="1">
      <c r="D751" s="1295"/>
      <c r="E751" s="1295"/>
      <c r="F751" s="1295"/>
      <c r="G751" s="535"/>
      <c r="H751" s="535"/>
      <c r="I751" s="517"/>
      <c r="J751" s="535"/>
      <c r="K751" s="535"/>
    </row>
    <row r="752" spans="1:11">
      <c r="D752" s="533"/>
      <c r="E752" s="480"/>
      <c r="F752" s="480"/>
      <c r="G752" s="535"/>
      <c r="H752" s="535"/>
      <c r="I752" s="517"/>
      <c r="J752" s="535"/>
      <c r="K752" s="535"/>
    </row>
    <row r="753" spans="1:11" s="539" customFormat="1" ht="14.25">
      <c r="A753" s="537"/>
      <c r="B753" s="519" t="s">
        <v>2774</v>
      </c>
      <c r="C753" s="538"/>
      <c r="D753" s="1295" t="s">
        <v>1346</v>
      </c>
      <c r="E753" s="1295"/>
      <c r="F753" s="1295"/>
      <c r="I753" s="1264" t="s">
        <v>2107</v>
      </c>
    </row>
    <row r="754" spans="1:11" s="539" customFormat="1">
      <c r="A754" s="538"/>
      <c r="B754" s="538"/>
      <c r="C754" s="538"/>
      <c r="D754" s="1295"/>
      <c r="E754" s="1295"/>
      <c r="F754" s="1295"/>
      <c r="I754" s="1264"/>
    </row>
    <row r="755" spans="1:11" s="539" customFormat="1">
      <c r="A755" s="538"/>
      <c r="B755" s="538"/>
      <c r="C755" s="538"/>
      <c r="D755" s="1295"/>
      <c r="E755" s="1295"/>
      <c r="F755" s="1295"/>
      <c r="I755" s="1264"/>
    </row>
    <row r="756" spans="1:11" s="539" customFormat="1">
      <c r="A756" s="538"/>
      <c r="B756" s="538"/>
      <c r="C756" s="538"/>
      <c r="D756" s="1295"/>
      <c r="E756" s="1295"/>
      <c r="F756" s="1295"/>
      <c r="I756" s="1264"/>
    </row>
    <row r="757" spans="1:11" s="539" customFormat="1">
      <c r="A757" s="538"/>
      <c r="B757" s="538"/>
      <c r="C757" s="538"/>
      <c r="D757" s="533"/>
      <c r="I757" s="1264"/>
    </row>
    <row r="758" spans="1:11" s="539" customFormat="1" ht="14.25">
      <c r="A758" s="518"/>
      <c r="B758" s="519" t="s">
        <v>2773</v>
      </c>
      <c r="C758" s="538"/>
      <c r="D758" s="1293" t="s">
        <v>1347</v>
      </c>
      <c r="E758" s="1293"/>
      <c r="F758" s="1293"/>
      <c r="I758" s="1264" t="s">
        <v>2108</v>
      </c>
    </row>
    <row r="759" spans="1:11" s="539" customFormat="1">
      <c r="A759" s="538"/>
      <c r="B759" s="538"/>
      <c r="C759" s="538"/>
      <c r="D759" s="1293"/>
      <c r="E759" s="1293"/>
      <c r="F759" s="1293"/>
      <c r="I759" s="1264"/>
    </row>
    <row r="760" spans="1:11" s="539" customFormat="1">
      <c r="A760" s="538"/>
      <c r="B760" s="538"/>
      <c r="C760" s="538"/>
      <c r="D760" s="1293"/>
      <c r="E760" s="1293"/>
      <c r="F760" s="1293"/>
      <c r="I760" s="1264"/>
    </row>
    <row r="761" spans="1:11">
      <c r="D761" s="533"/>
      <c r="E761" s="480"/>
      <c r="F761" s="480"/>
      <c r="G761" s="535"/>
      <c r="H761" s="535"/>
      <c r="I761" s="517"/>
      <c r="J761" s="535"/>
      <c r="K761" s="535"/>
    </row>
    <row r="762" spans="1:11" ht="14.25">
      <c r="A762" s="518"/>
      <c r="B762" s="519" t="s">
        <v>2773</v>
      </c>
      <c r="D762" s="1295" t="s">
        <v>1302</v>
      </c>
      <c r="E762" s="1295"/>
      <c r="F762" s="1295"/>
      <c r="G762" s="535"/>
      <c r="H762" s="535"/>
      <c r="I762" s="517" t="s">
        <v>2107</v>
      </c>
      <c r="J762" s="535"/>
      <c r="K762" s="535"/>
    </row>
    <row r="763" spans="1:11">
      <c r="D763" s="1295"/>
      <c r="E763" s="1295"/>
      <c r="F763" s="1295"/>
      <c r="G763" s="535"/>
      <c r="H763" s="535"/>
      <c r="I763" s="517"/>
      <c r="J763" s="535"/>
      <c r="K763" s="535"/>
    </row>
    <row r="764" spans="1:11">
      <c r="D764" s="479"/>
      <c r="E764" s="479"/>
      <c r="F764" s="479"/>
      <c r="G764" s="535"/>
      <c r="H764" s="535"/>
      <c r="I764" s="517"/>
      <c r="J764" s="535"/>
      <c r="K764" s="535"/>
    </row>
    <row r="765" spans="1:11">
      <c r="B765" s="519" t="s">
        <v>2774</v>
      </c>
      <c r="D765" s="1295" t="s">
        <v>1319</v>
      </c>
      <c r="E765" s="1295"/>
      <c r="F765" s="1295"/>
      <c r="G765" s="535"/>
      <c r="H765" s="535"/>
      <c r="I765" s="517" t="s">
        <v>2107</v>
      </c>
      <c r="J765" s="535"/>
      <c r="K765" s="535"/>
    </row>
    <row r="766" spans="1:11">
      <c r="D766" s="1295"/>
      <c r="E766" s="1295"/>
      <c r="F766" s="1295"/>
      <c r="G766" s="535"/>
      <c r="H766" s="535"/>
      <c r="I766" s="517"/>
      <c r="J766" s="535"/>
      <c r="K766" s="535"/>
    </row>
    <row r="767" spans="1:11">
      <c r="D767" s="1295"/>
      <c r="E767" s="1295"/>
      <c r="F767" s="1295"/>
      <c r="G767" s="535"/>
      <c r="H767" s="535"/>
      <c r="I767" s="517"/>
      <c r="J767" s="535"/>
      <c r="K767" s="535"/>
    </row>
    <row r="768" spans="1:11">
      <c r="D768" s="479"/>
      <c r="E768" s="479"/>
      <c r="F768" s="479"/>
      <c r="G768" s="535"/>
      <c r="H768" s="535"/>
      <c r="I768" s="517"/>
      <c r="J768" s="535"/>
      <c r="K768" s="535"/>
    </row>
    <row r="769" spans="1:9">
      <c r="A769" s="1347" t="s">
        <v>1990</v>
      </c>
      <c r="B769" s="1347"/>
      <c r="C769" s="1347"/>
      <c r="D769" s="1347"/>
      <c r="E769" s="1347"/>
      <c r="F769" s="1347"/>
      <c r="G769" s="1347"/>
      <c r="H769" s="1063"/>
      <c r="I769" s="1259"/>
    </row>
    <row r="770" spans="1:9">
      <c r="A770" s="57"/>
      <c r="B770" s="57"/>
      <c r="C770" s="385"/>
      <c r="D770" s="3"/>
      <c r="E770" s="3"/>
      <c r="F770" s="3"/>
      <c r="G770" s="3"/>
      <c r="I770" s="524"/>
    </row>
    <row r="771" spans="1:9">
      <c r="A771" s="57"/>
      <c r="B771" s="57"/>
      <c r="C771" s="385"/>
      <c r="D771" s="1336" t="s">
        <v>2044</v>
      </c>
      <c r="E771" s="1336"/>
      <c r="F771" s="1336"/>
      <c r="G771" s="3"/>
      <c r="I771" s="524"/>
    </row>
    <row r="772" spans="1:9">
      <c r="A772" s="57"/>
      <c r="B772" s="57"/>
      <c r="C772" s="385"/>
      <c r="D772" s="1281" t="s">
        <v>1943</v>
      </c>
      <c r="E772" s="1281"/>
      <c r="F772" s="1281"/>
      <c r="G772" s="3"/>
      <c r="I772" s="524"/>
    </row>
    <row r="773" spans="1:9">
      <c r="A773" s="57"/>
      <c r="B773" s="57"/>
      <c r="C773" s="385"/>
      <c r="D773" s="481"/>
      <c r="E773" s="481"/>
      <c r="F773" s="481"/>
      <c r="G773" s="3"/>
      <c r="I773" s="524"/>
    </row>
    <row r="774" spans="1:9">
      <c r="A774" s="57"/>
      <c r="B774" s="519" t="s">
        <v>2774</v>
      </c>
      <c r="C774" s="385"/>
      <c r="D774" s="1308" t="s">
        <v>1944</v>
      </c>
      <c r="E774" s="1308"/>
      <c r="F774" s="1308"/>
      <c r="G774" s="3"/>
      <c r="I774" s="517" t="s">
        <v>2157</v>
      </c>
    </row>
    <row r="775" spans="1:9">
      <c r="A775" s="57"/>
      <c r="B775" s="57"/>
      <c r="C775" s="385"/>
      <c r="D775" s="1308"/>
      <c r="E775" s="1308"/>
      <c r="F775" s="1308"/>
      <c r="G775" s="3"/>
      <c r="I775" s="524"/>
    </row>
    <row r="776" spans="1:9">
      <c r="A776" s="175"/>
      <c r="B776" s="175"/>
      <c r="C776" s="175"/>
      <c r="D776" s="1308"/>
      <c r="E776" s="1308"/>
      <c r="F776" s="1308"/>
      <c r="G776" s="118"/>
      <c r="I776" s="524"/>
    </row>
    <row r="777" spans="1:9">
      <c r="A777" s="385"/>
      <c r="B777" s="385"/>
      <c r="C777" s="385"/>
      <c r="D777" s="174"/>
      <c r="E777" s="3"/>
      <c r="F777" s="3"/>
      <c r="G777" s="3"/>
      <c r="I777" s="524"/>
    </row>
    <row r="778" spans="1:9">
      <c r="A778" s="172"/>
      <c r="B778" s="519" t="s">
        <v>2774</v>
      </c>
      <c r="C778" s="172"/>
      <c r="D778" s="1308" t="s">
        <v>1945</v>
      </c>
      <c r="E778" s="1308"/>
      <c r="F778" s="1308"/>
      <c r="G778" s="3"/>
      <c r="I778" s="517" t="s">
        <v>2157</v>
      </c>
    </row>
    <row r="779" spans="1:9">
      <c r="A779" s="172"/>
      <c r="B779" s="172"/>
      <c r="C779" s="172"/>
      <c r="D779" s="1308"/>
      <c r="E779" s="1308"/>
      <c r="F779" s="1308"/>
      <c r="G779" s="3"/>
      <c r="I779" s="524"/>
    </row>
    <row r="780" spans="1:9">
      <c r="A780" s="172"/>
      <c r="B780" s="172"/>
      <c r="C780" s="172"/>
      <c r="D780" s="1308"/>
      <c r="E780" s="1308"/>
      <c r="F780" s="1308"/>
      <c r="G780" s="3"/>
      <c r="I780" s="524"/>
    </row>
    <row r="781" spans="1:9">
      <c r="A781" s="175"/>
      <c r="B781" s="175"/>
      <c r="C781" s="175"/>
      <c r="D781" s="3"/>
      <c r="E781" s="1023"/>
      <c r="F781" s="1023"/>
      <c r="G781" s="1023"/>
      <c r="I781" s="524"/>
    </row>
    <row r="782" spans="1:9" ht="14.25">
      <c r="A782" s="176"/>
      <c r="B782" s="519" t="s">
        <v>2773</v>
      </c>
      <c r="C782" s="1024"/>
      <c r="D782" s="1308" t="s">
        <v>1946</v>
      </c>
      <c r="E782" s="1308"/>
      <c r="F782" s="1308"/>
      <c r="G782" s="1023"/>
      <c r="I782" s="517" t="s">
        <v>2157</v>
      </c>
    </row>
    <row r="783" spans="1:9" ht="14.25">
      <c r="A783" s="176"/>
      <c r="B783" s="176"/>
      <c r="C783" s="1024"/>
      <c r="D783" s="1308"/>
      <c r="E783" s="1308"/>
      <c r="F783" s="1308"/>
      <c r="G783" s="1023"/>
      <c r="I783" s="524"/>
    </row>
    <row r="784" spans="1:9" ht="14.25">
      <c r="A784" s="176"/>
      <c r="B784" s="176"/>
      <c r="C784" s="1024"/>
      <c r="D784" s="1308"/>
      <c r="E784" s="1308"/>
      <c r="F784" s="1308"/>
      <c r="G784" s="1023"/>
      <c r="I784" s="524"/>
    </row>
    <row r="785" spans="1:9" ht="14.25">
      <c r="A785" s="176"/>
      <c r="B785" s="176"/>
      <c r="C785" s="1024"/>
      <c r="D785" s="118"/>
      <c r="E785" s="3"/>
      <c r="F785" s="3"/>
      <c r="G785" s="1023"/>
      <c r="I785" s="524"/>
    </row>
    <row r="786" spans="1:9" ht="14.25">
      <c r="A786" s="176"/>
      <c r="B786" s="519" t="s">
        <v>2773</v>
      </c>
      <c r="C786" s="1024"/>
      <c r="D786" s="1308" t="s">
        <v>1947</v>
      </c>
      <c r="E786" s="1308"/>
      <c r="F786" s="1308"/>
      <c r="G786" s="1023"/>
      <c r="I786" s="517" t="s">
        <v>2157</v>
      </c>
    </row>
    <row r="787" spans="1:9" ht="14.25">
      <c r="A787" s="176"/>
      <c r="B787" s="176"/>
      <c r="C787" s="1024"/>
      <c r="D787" s="1308"/>
      <c r="E787" s="1308"/>
      <c r="F787" s="1308"/>
      <c r="G787" s="1023"/>
      <c r="I787" s="524"/>
    </row>
    <row r="788" spans="1:9" ht="14.25">
      <c r="A788" s="176"/>
      <c r="B788" s="176"/>
      <c r="C788" s="1024"/>
      <c r="D788" s="1308"/>
      <c r="E788" s="1308"/>
      <c r="F788" s="1308"/>
      <c r="G788" s="1023"/>
      <c r="I788" s="524"/>
    </row>
    <row r="789" spans="1:9" ht="14.25">
      <c r="A789" s="176"/>
      <c r="B789" s="176"/>
      <c r="C789" s="1024"/>
      <c r="D789" s="1308"/>
      <c r="E789" s="1308"/>
      <c r="F789" s="1308"/>
      <c r="G789" s="1023"/>
      <c r="I789" s="524"/>
    </row>
    <row r="790" spans="1:9" ht="14.25">
      <c r="A790" s="176"/>
      <c r="B790" s="176"/>
      <c r="C790" s="1024"/>
      <c r="D790" s="1308"/>
      <c r="E790" s="1308"/>
      <c r="F790" s="1308"/>
      <c r="G790" s="1023"/>
      <c r="I790" s="524"/>
    </row>
    <row r="791" spans="1:9" ht="14.25">
      <c r="A791" s="176"/>
      <c r="B791" s="176"/>
      <c r="C791" s="1024"/>
      <c r="D791" s="1308"/>
      <c r="E791" s="1308"/>
      <c r="F791" s="1308"/>
      <c r="G791" s="1023"/>
      <c r="I791" s="524"/>
    </row>
    <row r="792" spans="1:9" ht="14.25">
      <c r="A792" s="176"/>
      <c r="B792" s="176"/>
      <c r="C792" s="1024"/>
      <c r="D792" s="1308" t="s">
        <v>1991</v>
      </c>
      <c r="E792" s="1308"/>
      <c r="F792" s="1308"/>
      <c r="G792" s="1023"/>
      <c r="I792" s="524"/>
    </row>
    <row r="793" spans="1:9" ht="14.25">
      <c r="A793" s="176"/>
      <c r="B793" s="176"/>
      <c r="C793" s="1024"/>
      <c r="D793" s="1308"/>
      <c r="E793" s="1308"/>
      <c r="F793" s="1308"/>
      <c r="G793" s="1023"/>
      <c r="I793" s="524"/>
    </row>
    <row r="794" spans="1:9" ht="14.25">
      <c r="A794" s="176"/>
      <c r="B794" s="176"/>
      <c r="C794" s="1024"/>
      <c r="D794" s="1308"/>
      <c r="E794" s="1308"/>
      <c r="F794" s="1308"/>
      <c r="G794" s="1023"/>
      <c r="I794" s="524"/>
    </row>
    <row r="795" spans="1:9" ht="14.25">
      <c r="A795" s="176"/>
      <c r="B795" s="385"/>
      <c r="C795" s="1024"/>
      <c r="D795" s="1025"/>
      <c r="E795" s="1025"/>
      <c r="F795" s="1025"/>
      <c r="G795" s="1023"/>
      <c r="I795" s="524"/>
    </row>
    <row r="796" spans="1:9" ht="14.25">
      <c r="A796" s="176"/>
      <c r="B796" s="519" t="s">
        <v>2773</v>
      </c>
      <c r="C796" s="1024"/>
      <c r="D796" s="1308" t="s">
        <v>1948</v>
      </c>
      <c r="E796" s="1308"/>
      <c r="F796" s="1308"/>
      <c r="G796" s="1023"/>
      <c r="I796" s="517" t="s">
        <v>2157</v>
      </c>
    </row>
    <row r="797" spans="1:9" ht="14.25">
      <c r="A797" s="176"/>
      <c r="B797" s="176"/>
      <c r="C797" s="1024"/>
      <c r="D797" s="1308"/>
      <c r="E797" s="1308"/>
      <c r="F797" s="1308"/>
      <c r="G797" s="1023"/>
      <c r="I797" s="524"/>
    </row>
    <row r="798" spans="1:9" ht="14.25">
      <c r="A798" s="176"/>
      <c r="B798" s="176"/>
      <c r="C798" s="1024"/>
      <c r="D798" s="1308"/>
      <c r="E798" s="1308"/>
      <c r="F798" s="1308"/>
      <c r="G798" s="1023"/>
      <c r="I798" s="524"/>
    </row>
    <row r="799" spans="1:9" ht="14.25">
      <c r="A799" s="176"/>
      <c r="B799" s="176"/>
      <c r="C799" s="1024"/>
      <c r="D799" s="1308"/>
      <c r="E799" s="1308"/>
      <c r="F799" s="1308"/>
      <c r="G799" s="1023"/>
      <c r="I799" s="524"/>
    </row>
    <row r="800" spans="1:9" ht="14.25">
      <c r="A800" s="176"/>
      <c r="B800" s="176"/>
      <c r="C800" s="1024"/>
      <c r="D800" s="1308"/>
      <c r="E800" s="1308"/>
      <c r="F800" s="1308"/>
      <c r="G800" s="1023"/>
      <c r="I800" s="524"/>
    </row>
    <row r="801" spans="1:9" ht="14.25">
      <c r="A801" s="176"/>
      <c r="B801" s="176"/>
      <c r="C801" s="1024"/>
      <c r="D801" s="1308"/>
      <c r="E801" s="1308"/>
      <c r="F801" s="1308"/>
      <c r="G801" s="1023"/>
      <c r="I801" s="524"/>
    </row>
    <row r="802" spans="1:9" ht="14.25">
      <c r="A802" s="176"/>
      <c r="B802" s="176"/>
      <c r="C802" s="1024"/>
      <c r="D802" s="1017"/>
      <c r="E802" s="1017"/>
      <c r="F802" s="1017"/>
      <c r="G802" s="1023"/>
      <c r="I802" s="524"/>
    </row>
    <row r="803" spans="1:9" ht="14.25">
      <c r="A803" s="176"/>
      <c r="B803" s="519" t="s">
        <v>2774</v>
      </c>
      <c r="C803" s="1024"/>
      <c r="D803" s="1308" t="s">
        <v>1949</v>
      </c>
      <c r="E803" s="1308"/>
      <c r="F803" s="1308"/>
      <c r="G803" s="1023"/>
      <c r="I803" s="517" t="s">
        <v>2157</v>
      </c>
    </row>
    <row r="804" spans="1:9" ht="14.25">
      <c r="A804" s="176"/>
      <c r="B804" s="176"/>
      <c r="C804" s="1024"/>
      <c r="D804" s="1308"/>
      <c r="E804" s="1308"/>
      <c r="F804" s="1308"/>
      <c r="G804" s="1023"/>
      <c r="I804" s="524"/>
    </row>
    <row r="805" spans="1:9" ht="14.25">
      <c r="A805" s="176"/>
      <c r="B805" s="176"/>
      <c r="C805" s="1024"/>
      <c r="D805" s="1308"/>
      <c r="E805" s="1308"/>
      <c r="F805" s="1308"/>
      <c r="G805" s="1023"/>
      <c r="I805" s="524"/>
    </row>
    <row r="806" spans="1:9" ht="14.25">
      <c r="A806" s="176"/>
      <c r="B806" s="176"/>
      <c r="C806" s="1024"/>
      <c r="D806" s="1308"/>
      <c r="E806" s="1308"/>
      <c r="F806" s="1308"/>
      <c r="G806" s="1023"/>
      <c r="I806" s="524"/>
    </row>
    <row r="807" spans="1:9" ht="14.25">
      <c r="A807" s="176"/>
      <c r="B807" s="176"/>
      <c r="C807" s="1024"/>
      <c r="D807" s="1308"/>
      <c r="E807" s="1308"/>
      <c r="F807" s="1308"/>
      <c r="G807" s="1023"/>
      <c r="I807" s="524"/>
    </row>
    <row r="808" spans="1:9" ht="14.25">
      <c r="A808" s="176"/>
      <c r="B808" s="176"/>
      <c r="C808" s="1024"/>
      <c r="D808" s="1308"/>
      <c r="E808" s="1308"/>
      <c r="F808" s="1308"/>
      <c r="G808" s="1023"/>
      <c r="I808" s="524"/>
    </row>
    <row r="809" spans="1:9" ht="14.25">
      <c r="A809" s="176"/>
      <c r="B809" s="176"/>
      <c r="C809" s="1024"/>
      <c r="D809" s="1017"/>
      <c r="E809" s="1017"/>
      <c r="F809" s="1017"/>
      <c r="G809" s="1023"/>
      <c r="I809" s="524"/>
    </row>
    <row r="810" spans="1:9" ht="14.25">
      <c r="A810" s="176"/>
      <c r="B810" s="519" t="s">
        <v>2773</v>
      </c>
      <c r="C810" s="1024"/>
      <c r="D810" s="1305" t="s">
        <v>1950</v>
      </c>
      <c r="E810" s="1305"/>
      <c r="F810" s="1305"/>
      <c r="G810" s="1023"/>
      <c r="I810" s="517" t="s">
        <v>2157</v>
      </c>
    </row>
    <row r="811" spans="1:9" ht="14.25">
      <c r="A811" s="176"/>
      <c r="B811" s="176"/>
      <c r="C811" s="1024"/>
      <c r="D811" s="1305"/>
      <c r="E811" s="1305"/>
      <c r="F811" s="1305"/>
      <c r="G811" s="1023"/>
      <c r="I811" s="524"/>
    </row>
    <row r="812" spans="1:9">
      <c r="A812" s="13"/>
      <c r="B812" s="13"/>
      <c r="C812" s="1024"/>
      <c r="D812" s="1305"/>
      <c r="E812" s="1305"/>
      <c r="F812" s="1305"/>
      <c r="G812" s="1023"/>
      <c r="I812" s="524"/>
    </row>
    <row r="813" spans="1:9" ht="14.25">
      <c r="A813" s="176"/>
      <c r="B813" s="13"/>
      <c r="C813" s="1024"/>
      <c r="D813" s="1305"/>
      <c r="E813" s="1305"/>
      <c r="F813" s="1305"/>
      <c r="G813" s="1023"/>
      <c r="I813" s="524"/>
    </row>
    <row r="814" spans="1:9" ht="12.75" customHeight="1">
      <c r="A814" s="176"/>
      <c r="B814" s="13"/>
      <c r="C814" s="1024"/>
      <c r="D814" s="1305"/>
      <c r="E814" s="1305"/>
      <c r="F814" s="1305"/>
      <c r="G814" s="1023"/>
      <c r="I814" s="524"/>
    </row>
    <row r="815" spans="1:9" ht="12.75" customHeight="1">
      <c r="A815" s="176"/>
      <c r="B815" s="13"/>
      <c r="C815" s="1024"/>
      <c r="D815" s="1305"/>
      <c r="E815" s="1305"/>
      <c r="F815" s="1305"/>
      <c r="G815" s="1023"/>
      <c r="I815" s="524"/>
    </row>
    <row r="816" spans="1:9" ht="12.75" customHeight="1">
      <c r="A816" s="13"/>
      <c r="B816" s="13"/>
      <c r="C816" s="1024"/>
      <c r="D816" s="1023"/>
      <c r="E816" s="3"/>
      <c r="F816" s="3"/>
      <c r="G816" s="1023"/>
      <c r="I816" s="524"/>
    </row>
    <row r="817" spans="1:9" ht="12.75" customHeight="1">
      <c r="A817" s="1313" t="s">
        <v>1951</v>
      </c>
      <c r="B817" s="1313"/>
      <c r="C817" s="1313"/>
      <c r="D817" s="1313"/>
      <c r="E817" s="1313"/>
      <c r="F817" s="1313"/>
      <c r="G817" s="1313"/>
      <c r="H817" s="1063"/>
      <c r="I817" s="1259"/>
    </row>
    <row r="818" spans="1:9" ht="12.75" customHeight="1">
      <c r="A818" s="172"/>
      <c r="B818" s="172"/>
      <c r="C818" s="1024"/>
      <c r="D818" s="1023"/>
      <c r="E818" s="1023"/>
      <c r="F818" s="1023"/>
      <c r="G818" s="1023"/>
      <c r="I818" s="524"/>
    </row>
    <row r="819" spans="1:9" ht="12.75" customHeight="1">
      <c r="A819" s="176"/>
      <c r="B819" s="176"/>
      <c r="C819" s="385"/>
      <c r="D819" s="1301" t="s">
        <v>1992</v>
      </c>
      <c r="E819" s="1301"/>
      <c r="F819" s="1301"/>
      <c r="G819" s="3"/>
      <c r="I819" s="524"/>
    </row>
    <row r="820" spans="1:9" ht="14.25" customHeight="1">
      <c r="A820" s="176"/>
      <c r="B820" s="176"/>
      <c r="C820" s="385"/>
      <c r="D820" s="1268" t="s">
        <v>1952</v>
      </c>
      <c r="E820" s="1268"/>
      <c r="F820" s="1268"/>
      <c r="G820" s="3"/>
      <c r="I820" s="524"/>
    </row>
    <row r="821" spans="1:9" ht="12.75" customHeight="1">
      <c r="A821" s="176"/>
      <c r="B821" s="176"/>
      <c r="C821" s="385"/>
      <c r="D821" s="474"/>
      <c r="E821" s="474"/>
      <c r="F821" s="474"/>
      <c r="G821" s="3"/>
      <c r="I821" s="524"/>
    </row>
    <row r="822" spans="1:9" ht="12.75" customHeight="1">
      <c r="A822" s="385"/>
      <c r="B822" s="519" t="s">
        <v>2774</v>
      </c>
      <c r="C822" s="1024"/>
      <c r="D822" s="1268" t="s">
        <v>1953</v>
      </c>
      <c r="E822" s="1268"/>
      <c r="F822" s="1268"/>
      <c r="G822" s="3"/>
      <c r="I822" s="524" t="s">
        <v>2125</v>
      </c>
    </row>
    <row r="823" spans="1:9" ht="14.25" customHeight="1">
      <c r="A823" s="13"/>
      <c r="B823" s="13"/>
      <c r="C823" s="1024"/>
      <c r="E823" s="1071" t="s">
        <v>2194</v>
      </c>
      <c r="F823" s="1073"/>
      <c r="G823" s="3"/>
      <c r="I823" s="524"/>
    </row>
    <row r="824" spans="1:9" ht="12.75" customHeight="1">
      <c r="A824" s="13"/>
      <c r="B824" s="13"/>
      <c r="C824" s="1024"/>
      <c r="D824" s="1026"/>
      <c r="E824" s="3"/>
      <c r="F824" s="3"/>
      <c r="G824" s="3"/>
      <c r="I824" s="524"/>
    </row>
    <row r="825" spans="1:9" ht="14.25" hidden="1" customHeight="1">
      <c r="A825" s="13"/>
      <c r="B825" s="519" t="s">
        <v>307</v>
      </c>
      <c r="C825" s="1024"/>
      <c r="D825" s="1338" t="s">
        <v>2390</v>
      </c>
      <c r="E825" s="1338"/>
      <c r="F825" s="1338"/>
      <c r="G825" s="3"/>
      <c r="I825" s="524"/>
    </row>
    <row r="826" spans="1:9" ht="12.75" hidden="1" customHeight="1">
      <c r="A826" s="13"/>
      <c r="B826" s="13"/>
      <c r="C826" s="1024"/>
      <c r="D826" s="1338"/>
      <c r="E826" s="1338"/>
      <c r="F826" s="1338"/>
      <c r="G826" s="3"/>
      <c r="I826" s="524"/>
    </row>
    <row r="827" spans="1:9" ht="12.75" hidden="1" customHeight="1">
      <c r="A827" s="13"/>
      <c r="B827" s="13"/>
      <c r="C827" s="1024"/>
      <c r="D827" s="1338"/>
      <c r="E827" s="1338"/>
      <c r="F827" s="1338"/>
      <c r="G827" s="3"/>
      <c r="I827" s="524"/>
    </row>
    <row r="828" spans="1:9" ht="12.75" hidden="1" customHeight="1">
      <c r="A828" s="13"/>
      <c r="B828" s="13"/>
      <c r="C828" s="1024"/>
      <c r="D828" s="1338"/>
      <c r="E828" s="1338"/>
      <c r="F828" s="1338"/>
      <c r="G828" s="3"/>
      <c r="I828" s="524"/>
    </row>
    <row r="829" spans="1:9" ht="12.75" hidden="1" customHeight="1">
      <c r="A829" s="13"/>
      <c r="B829" s="13"/>
      <c r="C829" s="1024"/>
      <c r="D829" s="1338"/>
      <c r="E829" s="1338"/>
      <c r="F829" s="1338"/>
      <c r="G829" s="3"/>
      <c r="I829" s="524"/>
    </row>
    <row r="830" spans="1:9" ht="12.75" hidden="1" customHeight="1">
      <c r="A830" s="13"/>
      <c r="B830" s="13"/>
      <c r="C830" s="1024"/>
      <c r="D830" s="1338"/>
      <c r="E830" s="1338"/>
      <c r="F830" s="1338"/>
      <c r="G830" s="3"/>
      <c r="I830" s="524"/>
    </row>
    <row r="831" spans="1:9" ht="12.75" hidden="1" customHeight="1">
      <c r="A831" s="13"/>
      <c r="B831" s="13"/>
      <c r="C831" s="1024"/>
      <c r="D831" s="1338"/>
      <c r="E831" s="1338"/>
      <c r="F831" s="1338"/>
      <c r="G831" s="3"/>
      <c r="I831" s="524"/>
    </row>
    <row r="832" spans="1:9" ht="12.75" hidden="1" customHeight="1">
      <c r="A832" s="13"/>
      <c r="B832" s="13"/>
      <c r="C832" s="1024"/>
      <c r="D832" s="1338"/>
      <c r="E832" s="1338"/>
      <c r="F832" s="1338"/>
      <c r="G832" s="3"/>
      <c r="I832" s="524"/>
    </row>
    <row r="833" spans="1:9" ht="12.75" hidden="1" customHeight="1">
      <c r="A833" s="13"/>
      <c r="B833" s="13"/>
      <c r="C833" s="1024"/>
      <c r="D833" s="1338"/>
      <c r="E833" s="1338"/>
      <c r="F833" s="1338"/>
      <c r="G833" s="3"/>
      <c r="I833" s="524"/>
    </row>
    <row r="834" spans="1:9" ht="12.75" hidden="1" customHeight="1">
      <c r="A834" s="13"/>
      <c r="B834" s="13"/>
      <c r="C834" s="1024"/>
      <c r="D834" s="1338"/>
      <c r="E834" s="1338"/>
      <c r="F834" s="1338"/>
      <c r="G834" s="3"/>
      <c r="I834" s="524"/>
    </row>
    <row r="835" spans="1:9" ht="12.75" hidden="1" customHeight="1">
      <c r="A835" s="13"/>
      <c r="B835" s="13"/>
      <c r="C835" s="1024"/>
      <c r="D835" s="1026"/>
      <c r="E835" s="3"/>
      <c r="F835" s="3"/>
      <c r="G835" s="3"/>
      <c r="I835" s="524"/>
    </row>
    <row r="836" spans="1:9" ht="12.75" customHeight="1">
      <c r="A836" s="176"/>
      <c r="B836" s="519" t="s">
        <v>2774</v>
      </c>
      <c r="C836" s="1024"/>
      <c r="D836" s="1268" t="s">
        <v>1954</v>
      </c>
      <c r="E836" s="1268"/>
      <c r="F836" s="1268"/>
      <c r="G836" s="3"/>
      <c r="I836" s="524" t="s">
        <v>2143</v>
      </c>
    </row>
    <row r="837" spans="1:9" ht="12.75" customHeight="1">
      <c r="A837" s="176"/>
      <c r="B837" s="176"/>
      <c r="C837" s="1024"/>
      <c r="D837" s="1268"/>
      <c r="E837" s="1268"/>
      <c r="F837" s="1268"/>
      <c r="G837" s="3"/>
      <c r="I837" s="524"/>
    </row>
    <row r="838" spans="1:9" ht="12.75" customHeight="1">
      <c r="A838" s="176"/>
      <c r="B838" s="176"/>
      <c r="C838" s="1024"/>
      <c r="D838" s="1268"/>
      <c r="E838" s="1268"/>
      <c r="F838" s="1268"/>
      <c r="G838" s="3"/>
      <c r="I838" s="524"/>
    </row>
    <row r="839" spans="1:9" ht="12.75" customHeight="1">
      <c r="A839" s="176"/>
      <c r="B839" s="176"/>
      <c r="C839" s="1024"/>
      <c r="D839" s="118"/>
      <c r="E839" s="3"/>
      <c r="F839" s="3"/>
      <c r="G839" s="3"/>
      <c r="I839" s="524"/>
    </row>
    <row r="840" spans="1:9" ht="12.75" customHeight="1">
      <c r="A840" s="1027"/>
      <c r="B840" s="519" t="s">
        <v>2773</v>
      </c>
      <c r="C840" s="1024"/>
      <c r="D840" s="1301" t="s">
        <v>1955</v>
      </c>
      <c r="E840" s="1301"/>
      <c r="F840" s="1301"/>
      <c r="G840" s="3"/>
      <c r="I840" s="524"/>
    </row>
    <row r="841" spans="1:9" ht="12.75" customHeight="1">
      <c r="A841" s="385"/>
      <c r="B841" s="1027"/>
      <c r="C841" s="1024"/>
      <c r="D841" s="1301"/>
      <c r="E841" s="1301"/>
      <c r="F841" s="1301"/>
      <c r="G841" s="3"/>
      <c r="I841" s="524"/>
    </row>
    <row r="842" spans="1:9" ht="12.75" customHeight="1">
      <c r="A842" s="176"/>
      <c r="B842" s="385"/>
      <c r="C842" s="1024"/>
      <c r="D842" s="1268" t="s">
        <v>2381</v>
      </c>
      <c r="E842" s="1268"/>
      <c r="F842" s="1268"/>
      <c r="G842" s="3"/>
      <c r="I842" s="524"/>
    </row>
    <row r="843" spans="1:9" ht="12.75" customHeight="1">
      <c r="A843" s="176"/>
      <c r="B843" s="176"/>
      <c r="C843" s="1024"/>
      <c r="D843" s="1268"/>
      <c r="E843" s="1268"/>
      <c r="F843" s="1268"/>
      <c r="G843" s="3"/>
      <c r="I843" s="524"/>
    </row>
    <row r="844" spans="1:9" ht="12.75" customHeight="1">
      <c r="A844" s="176"/>
      <c r="B844" s="176"/>
      <c r="C844" s="1024"/>
      <c r="D844" s="1268"/>
      <c r="E844" s="1268"/>
      <c r="F844" s="1268"/>
      <c r="G844" s="3"/>
      <c r="I844" s="524"/>
    </row>
    <row r="845" spans="1:9" ht="12.75" customHeight="1">
      <c r="A845" s="176"/>
      <c r="B845" s="176"/>
      <c r="C845" s="1024"/>
      <c r="D845" s="1268"/>
      <c r="E845" s="1268"/>
      <c r="F845" s="1268"/>
      <c r="G845" s="3"/>
      <c r="I845" s="524"/>
    </row>
    <row r="846" spans="1:9" ht="12.75" customHeight="1">
      <c r="A846" s="176"/>
      <c r="B846" s="176"/>
      <c r="C846" s="1024"/>
      <c r="D846" s="1268"/>
      <c r="E846" s="1268"/>
      <c r="F846" s="1268"/>
      <c r="G846" s="3"/>
      <c r="I846" s="524"/>
    </row>
    <row r="847" spans="1:9" ht="12.75" customHeight="1">
      <c r="A847" s="176"/>
      <c r="B847" s="176"/>
      <c r="C847" s="1024"/>
      <c r="D847" s="1268"/>
      <c r="E847" s="1268"/>
      <c r="F847" s="1268"/>
      <c r="G847" s="3"/>
      <c r="I847" s="524"/>
    </row>
    <row r="848" spans="1:9" ht="12.75" customHeight="1">
      <c r="A848" s="176"/>
      <c r="B848" s="176"/>
      <c r="C848" s="1024"/>
      <c r="D848" s="118"/>
      <c r="E848" s="3"/>
      <c r="F848" s="3"/>
      <c r="G848" s="3"/>
      <c r="I848" s="524"/>
    </row>
    <row r="849" spans="1:9" ht="12.75" customHeight="1">
      <c r="A849" s="176"/>
      <c r="B849" s="519" t="s">
        <v>2773</v>
      </c>
      <c r="C849" s="1024"/>
      <c r="D849" s="1268" t="s">
        <v>1956</v>
      </c>
      <c r="E849" s="1268"/>
      <c r="F849" s="1268"/>
      <c r="G849" s="3"/>
      <c r="I849" s="524" t="s">
        <v>2126</v>
      </c>
    </row>
    <row r="850" spans="1:9" ht="12.75" customHeight="1">
      <c r="A850" s="176"/>
      <c r="B850" s="176"/>
      <c r="C850" s="1024"/>
      <c r="D850" s="1268" t="s">
        <v>1957</v>
      </c>
      <c r="E850" s="1268"/>
      <c r="F850" s="1268"/>
      <c r="G850" s="3"/>
      <c r="I850" s="524"/>
    </row>
    <row r="851" spans="1:9" ht="12.75" customHeight="1">
      <c r="A851" s="176"/>
      <c r="B851" s="176"/>
      <c r="C851" s="1024"/>
      <c r="E851" s="1071" t="s">
        <v>2196</v>
      </c>
      <c r="F851" s="1073"/>
      <c r="G851" s="3"/>
      <c r="I851" s="524"/>
    </row>
    <row r="852" spans="1:9" ht="12.75" customHeight="1">
      <c r="A852" s="176"/>
      <c r="B852" s="176"/>
      <c r="C852" s="1024"/>
      <c r="D852" s="118"/>
      <c r="E852" s="3"/>
      <c r="F852" s="3"/>
      <c r="G852" s="3"/>
      <c r="I852" s="524"/>
    </row>
    <row r="853" spans="1:9" ht="12.75" customHeight="1">
      <c r="A853" s="176"/>
      <c r="B853" s="519" t="s">
        <v>2773</v>
      </c>
      <c r="C853" s="1024"/>
      <c r="D853" s="1268" t="s">
        <v>1958</v>
      </c>
      <c r="E853" s="1268"/>
      <c r="F853" s="1268"/>
      <c r="G853" s="3"/>
      <c r="I853" s="524" t="s">
        <v>2144</v>
      </c>
    </row>
    <row r="854" spans="1:9" ht="12.75" customHeight="1">
      <c r="A854" s="176"/>
      <c r="B854" s="176"/>
      <c r="C854" s="1024"/>
      <c r="D854" s="1268"/>
      <c r="E854" s="1268"/>
      <c r="F854" s="1268"/>
      <c r="G854" s="3"/>
      <c r="I854" s="524"/>
    </row>
    <row r="855" spans="1:9" ht="12.75" customHeight="1">
      <c r="A855" s="176"/>
      <c r="B855" s="176"/>
      <c r="C855" s="1024"/>
      <c r="D855" s="1268"/>
      <c r="E855" s="1268"/>
      <c r="F855" s="1268"/>
      <c r="G855" s="3"/>
      <c r="I855" s="524"/>
    </row>
    <row r="856" spans="1:9" ht="12.75" customHeight="1">
      <c r="A856" s="176"/>
      <c r="B856" s="176"/>
      <c r="C856" s="1024"/>
      <c r="D856" s="1268"/>
      <c r="E856" s="1268"/>
      <c r="F856" s="1268"/>
      <c r="G856" s="3"/>
      <c r="I856" s="524"/>
    </row>
    <row r="857" spans="1:9" ht="12.75" customHeight="1">
      <c r="A857" s="172"/>
      <c r="B857" s="172"/>
      <c r="C857" s="172"/>
      <c r="D857" s="118"/>
      <c r="E857" s="3"/>
      <c r="F857" s="3"/>
      <c r="G857" s="3"/>
      <c r="I857" s="524"/>
    </row>
    <row r="858" spans="1:9" ht="12.75" customHeight="1">
      <c r="A858" s="1018" t="s">
        <v>1959</v>
      </c>
      <c r="B858" s="1018"/>
      <c r="C858" s="1028"/>
      <c r="D858" s="1028"/>
      <c r="E858" s="1028"/>
      <c r="F858" s="1028"/>
      <c r="G858" s="1028"/>
      <c r="H858" s="1063"/>
      <c r="I858" s="1259"/>
    </row>
    <row r="859" spans="1:9" ht="12.75" customHeight="1">
      <c r="A859" s="172"/>
      <c r="B859" s="172"/>
      <c r="C859" s="172"/>
      <c r="D859" s="1029"/>
      <c r="E859" s="3"/>
      <c r="F859" s="3"/>
      <c r="G859" s="3"/>
      <c r="I859" s="524"/>
    </row>
    <row r="860" spans="1:9" ht="12.75" customHeight="1">
      <c r="A860" s="385"/>
      <c r="B860" s="385"/>
      <c r="C860" s="175"/>
      <c r="D860" s="1284" t="s">
        <v>1993</v>
      </c>
      <c r="E860" s="1284"/>
      <c r="F860" s="1284"/>
      <c r="G860" s="1023"/>
      <c r="I860" s="524"/>
    </row>
    <row r="861" spans="1:9" ht="12.75" customHeight="1">
      <c r="A861" s="385"/>
      <c r="B861" s="385"/>
      <c r="C861" s="175"/>
      <c r="D861" s="1337" t="s">
        <v>1960</v>
      </c>
      <c r="E861" s="1337"/>
      <c r="F861" s="1337"/>
      <c r="G861" s="1023"/>
      <c r="I861" s="524"/>
    </row>
    <row r="862" spans="1:9" ht="12.75" customHeight="1">
      <c r="A862" s="385"/>
      <c r="B862" s="385"/>
      <c r="C862" s="175"/>
      <c r="D862" s="1030"/>
      <c r="E862" s="1030"/>
      <c r="F862" s="1030"/>
      <c r="G862" s="1023"/>
      <c r="I862" s="524"/>
    </row>
    <row r="863" spans="1:9" ht="12.75" customHeight="1">
      <c r="A863" s="176"/>
      <c r="B863" s="519" t="s">
        <v>2774</v>
      </c>
      <c r="C863" s="385"/>
      <c r="D863" s="1279" t="s">
        <v>1961</v>
      </c>
      <c r="E863" s="1279"/>
      <c r="F863" s="1279"/>
      <c r="G863" s="1023"/>
      <c r="I863" s="524" t="s">
        <v>2126</v>
      </c>
    </row>
    <row r="864" spans="1:9" ht="12.75" customHeight="1">
      <c r="A864" s="385"/>
      <c r="B864" s="385"/>
      <c r="C864" s="385"/>
      <c r="D864" s="2" t="s">
        <v>1936</v>
      </c>
      <c r="E864" s="1071" t="s">
        <v>2196</v>
      </c>
      <c r="F864" s="1074"/>
      <c r="G864" s="1023"/>
      <c r="I864" s="524"/>
    </row>
    <row r="865" spans="1:9" ht="12.75" customHeight="1">
      <c r="A865" s="385"/>
      <c r="B865" s="385"/>
      <c r="C865" s="385"/>
      <c r="D865" s="118"/>
      <c r="E865" s="1023"/>
      <c r="F865" s="1023"/>
      <c r="G865" s="1023"/>
      <c r="I865" s="524"/>
    </row>
    <row r="866" spans="1:9" ht="12.75" customHeight="1">
      <c r="A866" s="176"/>
      <c r="B866" s="519" t="s">
        <v>2774</v>
      </c>
      <c r="C866" s="385"/>
      <c r="D866" s="1268" t="s">
        <v>1962</v>
      </c>
      <c r="E866" s="1286"/>
      <c r="F866" s="1286"/>
      <c r="G866" s="3"/>
      <c r="I866" s="524" t="s">
        <v>2144</v>
      </c>
    </row>
    <row r="867" spans="1:9" ht="12.75" customHeight="1">
      <c r="A867" s="385"/>
      <c r="B867" s="385"/>
      <c r="C867" s="385"/>
      <c r="D867" s="1286"/>
      <c r="E867" s="1286"/>
      <c r="F867" s="1286"/>
      <c r="G867" s="3"/>
      <c r="I867" s="524"/>
    </row>
    <row r="868" spans="1:9" ht="12.75" customHeight="1">
      <c r="A868" s="385"/>
      <c r="B868" s="385"/>
      <c r="C868" s="385"/>
      <c r="D868" s="118"/>
      <c r="E868" s="3"/>
      <c r="F868" s="3"/>
      <c r="G868" s="3"/>
      <c r="I868" s="524"/>
    </row>
    <row r="869" spans="1:9" ht="12.75" customHeight="1">
      <c r="A869" s="385"/>
      <c r="B869" s="519" t="s">
        <v>2773</v>
      </c>
      <c r="C869" s="385"/>
      <c r="D869" s="1333" t="s">
        <v>1963</v>
      </c>
      <c r="E869" s="1333"/>
      <c r="F869" s="1333"/>
      <c r="G869" s="1023"/>
      <c r="I869" s="524"/>
    </row>
    <row r="870" spans="1:9" ht="12.75" customHeight="1">
      <c r="A870" s="385"/>
      <c r="B870" s="1031"/>
      <c r="C870" s="385"/>
      <c r="D870" s="1333"/>
      <c r="E870" s="1333"/>
      <c r="F870" s="1333"/>
      <c r="G870" s="1023"/>
      <c r="I870" s="524"/>
    </row>
    <row r="871" spans="1:9" ht="12.75" customHeight="1">
      <c r="A871" s="176"/>
      <c r="B871"/>
      <c r="C871" s="385"/>
      <c r="D871" s="1268" t="s">
        <v>2381</v>
      </c>
      <c r="E871" s="1268"/>
      <c r="F871" s="1268"/>
      <c r="G871" s="1023"/>
      <c r="I871" s="524"/>
    </row>
    <row r="872" spans="1:9" ht="12.75" customHeight="1">
      <c r="A872" s="176"/>
      <c r="B872" s="176"/>
      <c r="C872" s="385"/>
      <c r="D872" s="1268"/>
      <c r="E872" s="1268"/>
      <c r="F872" s="1268"/>
      <c r="G872" s="1023"/>
      <c r="I872" s="524"/>
    </row>
    <row r="873" spans="1:9" ht="12.75" customHeight="1">
      <c r="A873" s="176"/>
      <c r="B873" s="176"/>
      <c r="C873" s="385"/>
      <c r="D873" s="1268"/>
      <c r="E873" s="1268"/>
      <c r="F873" s="1268"/>
      <c r="G873" s="1023"/>
      <c r="I873" s="524"/>
    </row>
    <row r="874" spans="1:9" ht="12.75" customHeight="1">
      <c r="A874" s="176"/>
      <c r="B874" s="176"/>
      <c r="C874" s="385"/>
      <c r="D874" s="1268"/>
      <c r="E874" s="1268"/>
      <c r="F874" s="1268"/>
      <c r="G874" s="1023"/>
      <c r="I874" s="524"/>
    </row>
    <row r="875" spans="1:9" ht="12.75" customHeight="1">
      <c r="A875" s="176"/>
      <c r="B875" s="176"/>
      <c r="C875" s="385"/>
      <c r="D875" s="1268"/>
      <c r="E875" s="1268"/>
      <c r="F875" s="1268"/>
      <c r="G875" s="1023"/>
      <c r="I875" s="524"/>
    </row>
    <row r="876" spans="1:9" ht="12.75" customHeight="1">
      <c r="A876" s="176"/>
      <c r="B876" s="176"/>
      <c r="C876" s="385"/>
      <c r="D876" s="1268"/>
      <c r="E876" s="1268"/>
      <c r="F876" s="1268"/>
      <c r="G876" s="1023"/>
      <c r="I876" s="524"/>
    </row>
    <row r="877" spans="1:9" ht="12.75" customHeight="1">
      <c r="A877" s="176"/>
      <c r="B877" s="176"/>
      <c r="C877" s="385"/>
      <c r="D877" s="118"/>
      <c r="E877" s="1023"/>
      <c r="F877" s="1023"/>
      <c r="G877" s="1023"/>
      <c r="I877" s="524"/>
    </row>
    <row r="878" spans="1:9" ht="12.75" customHeight="1">
      <c r="A878" s="176"/>
      <c r="B878" s="519" t="s">
        <v>2773</v>
      </c>
      <c r="C878" s="385"/>
      <c r="D878" s="1311" t="s">
        <v>1956</v>
      </c>
      <c r="E878" s="1311"/>
      <c r="F878" s="1311"/>
      <c r="G878" s="1023"/>
      <c r="I878" s="524" t="s">
        <v>2126</v>
      </c>
    </row>
    <row r="879" spans="1:9" ht="12.75" customHeight="1">
      <c r="A879" s="176"/>
      <c r="B879" s="176"/>
      <c r="C879" s="385"/>
      <c r="D879" s="1311" t="s">
        <v>1957</v>
      </c>
      <c r="E879" s="1311"/>
      <c r="F879" s="1311"/>
      <c r="G879" s="1023"/>
      <c r="I879" s="524"/>
    </row>
    <row r="880" spans="1:9" ht="12.75" customHeight="1">
      <c r="A880" s="176"/>
      <c r="B880" s="176"/>
      <c r="C880" s="385"/>
      <c r="D880" s="2" t="s">
        <v>1378</v>
      </c>
      <c r="E880" s="1071" t="s">
        <v>2196</v>
      </c>
      <c r="F880" s="1075"/>
      <c r="G880" s="1023"/>
      <c r="I880" s="524"/>
    </row>
    <row r="881" spans="1:9" ht="12.75" customHeight="1">
      <c r="A881" s="176"/>
      <c r="B881" s="176"/>
      <c r="C881" s="385"/>
      <c r="D881" s="118"/>
      <c r="E881" s="1023"/>
      <c r="F881" s="1023"/>
      <c r="G881" s="1023"/>
      <c r="I881" s="524"/>
    </row>
    <row r="882" spans="1:9" ht="12.75" customHeight="1">
      <c r="A882" s="176"/>
      <c r="B882" s="519" t="s">
        <v>2773</v>
      </c>
      <c r="C882" s="385"/>
      <c r="D882" s="1268" t="s">
        <v>1958</v>
      </c>
      <c r="E882" s="1268"/>
      <c r="F882" s="1268"/>
      <c r="G882" s="1023"/>
      <c r="I882" s="524" t="s">
        <v>2144</v>
      </c>
    </row>
    <row r="883" spans="1:9" ht="12.75" customHeight="1">
      <c r="A883" s="176"/>
      <c r="B883" s="176"/>
      <c r="C883" s="385"/>
      <c r="D883" s="1268"/>
      <c r="E883" s="1268"/>
      <c r="F883" s="1268"/>
      <c r="G883" s="1023"/>
      <c r="I883" s="524"/>
    </row>
    <row r="884" spans="1:9" ht="12.75" customHeight="1">
      <c r="A884" s="176"/>
      <c r="B884" s="176"/>
      <c r="C884" s="385"/>
      <c r="D884" s="1268"/>
      <c r="E884" s="1268"/>
      <c r="F884" s="1268"/>
      <c r="G884" s="1023"/>
      <c r="I884" s="524"/>
    </row>
    <row r="885" spans="1:9" ht="12.75" customHeight="1">
      <c r="A885" s="176"/>
      <c r="B885" s="176"/>
      <c r="C885" s="385"/>
      <c r="D885" s="1268"/>
      <c r="E885" s="1268"/>
      <c r="F885" s="1268"/>
      <c r="G885" s="1023"/>
      <c r="I885" s="524"/>
    </row>
    <row r="886" spans="1:9" ht="12.75" customHeight="1">
      <c r="A886" s="118"/>
      <c r="B886" s="118"/>
      <c r="C886" s="1024"/>
      <c r="D886" s="1023"/>
      <c r="E886" s="1023"/>
      <c r="F886" s="1023"/>
      <c r="G886" s="1023"/>
      <c r="I886" s="524"/>
    </row>
    <row r="887" spans="1:9" ht="12.75" customHeight="1">
      <c r="A887" s="1313" t="s">
        <v>1994</v>
      </c>
      <c r="B887" s="1313"/>
      <c r="C887" s="1313"/>
      <c r="D887" s="1313"/>
      <c r="E887" s="1313"/>
      <c r="F887" s="1313"/>
      <c r="G887" s="1313"/>
      <c r="H887" s="1063"/>
      <c r="I887" s="1259"/>
    </row>
    <row r="888" spans="1:9" ht="12.75" customHeight="1">
      <c r="A888" s="57"/>
      <c r="B888" s="57"/>
      <c r="C888" s="57"/>
      <c r="D888" s="57"/>
      <c r="E888" s="57"/>
      <c r="F888" s="57"/>
      <c r="G888" s="57"/>
      <c r="I888" s="524"/>
    </row>
    <row r="889" spans="1:9" ht="12.75" customHeight="1">
      <c r="A889" s="57"/>
      <c r="B889" s="57"/>
      <c r="C889" s="57"/>
      <c r="D889" s="1307" t="s">
        <v>2000</v>
      </c>
      <c r="E889" s="1307"/>
      <c r="F889" s="1307"/>
      <c r="G889" s="57"/>
      <c r="I889" s="524"/>
    </row>
    <row r="890" spans="1:9" ht="12.75" customHeight="1">
      <c r="A890" s="57"/>
      <c r="B890" s="57"/>
      <c r="C890" s="57"/>
      <c r="D890" s="1016"/>
      <c r="E890" s="1016"/>
      <c r="F890" s="1016"/>
      <c r="G890" s="57"/>
      <c r="I890" s="524"/>
    </row>
    <row r="891" spans="1:9" ht="12.75" customHeight="1">
      <c r="A891" s="57"/>
      <c r="B891" s="519" t="s">
        <v>2774</v>
      </c>
      <c r="C891" s="57"/>
      <c r="D891" s="1019" t="s">
        <v>2001</v>
      </c>
      <c r="E891" s="1016"/>
      <c r="F891" s="1016"/>
      <c r="G891" s="57"/>
      <c r="I891" s="524" t="s">
        <v>2158</v>
      </c>
    </row>
    <row r="892" spans="1:9" ht="12.75" customHeight="1">
      <c r="A892" s="57"/>
      <c r="B892" s="57"/>
      <c r="C892" s="57"/>
      <c r="D892" s="1016"/>
      <c r="E892" s="1016"/>
      <c r="F892" s="1016"/>
      <c r="G892" s="57"/>
      <c r="I892" s="524"/>
    </row>
    <row r="893" spans="1:9" ht="12.75" customHeight="1">
      <c r="A893" s="385"/>
      <c r="B893" s="385"/>
      <c r="C893" s="1024"/>
      <c r="D893" s="1307" t="s">
        <v>1995</v>
      </c>
      <c r="E893" s="1307"/>
      <c r="F893" s="1307"/>
      <c r="G893" s="1023"/>
      <c r="I893" s="524"/>
    </row>
    <row r="894" spans="1:9" ht="12.75" customHeight="1">
      <c r="A894" s="172"/>
      <c r="B894" s="172"/>
      <c r="C894" s="172"/>
      <c r="D894" s="1279" t="s">
        <v>1964</v>
      </c>
      <c r="E894" s="1279"/>
      <c r="F894" s="1279"/>
      <c r="G894" s="1023"/>
      <c r="I894" s="524"/>
    </row>
    <row r="895" spans="1:9" ht="12.75" customHeight="1">
      <c r="A895" s="1024"/>
      <c r="B895" s="1024"/>
      <c r="C895" s="1024"/>
      <c r="D895" s="2"/>
      <c r="E895" s="1023"/>
      <c r="F895" s="1023"/>
      <c r="G895" s="1023"/>
      <c r="I895" s="524"/>
    </row>
    <row r="896" spans="1:9" ht="12.75" customHeight="1">
      <c r="A896" s="176"/>
      <c r="B896" s="519" t="s">
        <v>2774</v>
      </c>
      <c r="C896" s="385"/>
      <c r="D896" s="1268" t="s">
        <v>1968</v>
      </c>
      <c r="E896" s="1268"/>
      <c r="F896" s="1268"/>
      <c r="G896" s="3"/>
      <c r="I896" s="524" t="s">
        <v>2110</v>
      </c>
    </row>
    <row r="897" spans="1:9" ht="12.75" customHeight="1">
      <c r="A897" s="385"/>
      <c r="B897" s="385"/>
      <c r="C897" s="385"/>
      <c r="D897" s="1268"/>
      <c r="E897" s="1268"/>
      <c r="F897" s="1268"/>
      <c r="G897" s="3"/>
      <c r="I897" s="524"/>
    </row>
    <row r="898" spans="1:9" ht="12.75" customHeight="1">
      <c r="A898" s="172"/>
      <c r="B898" s="172"/>
      <c r="C898" s="172"/>
      <c r="D898" s="1268" t="s">
        <v>1967</v>
      </c>
      <c r="E898" s="1268"/>
      <c r="F898" s="1268"/>
      <c r="G898" s="1023"/>
      <c r="I898" s="524"/>
    </row>
    <row r="899" spans="1:9" ht="12.75" customHeight="1">
      <c r="A899" s="172"/>
      <c r="B899" s="172"/>
      <c r="C899" s="172"/>
      <c r="D899" s="1268"/>
      <c r="E899" s="1268"/>
      <c r="F899" s="1268"/>
      <c r="G899" s="1023"/>
      <c r="I899" s="524"/>
    </row>
    <row r="900" spans="1:9" ht="12.75" customHeight="1">
      <c r="A900" s="172"/>
      <c r="B900" s="172"/>
      <c r="C900" s="172"/>
      <c r="D900" s="3"/>
      <c r="E900" s="3"/>
      <c r="F900" s="1023"/>
      <c r="G900" s="1023"/>
      <c r="I900" s="524"/>
    </row>
    <row r="901" spans="1:9" ht="12.75" customHeight="1">
      <c r="A901" s="176"/>
      <c r="B901" s="519" t="s">
        <v>2774</v>
      </c>
      <c r="C901" s="175"/>
      <c r="D901" s="1278" t="s">
        <v>1965</v>
      </c>
      <c r="E901" s="1278"/>
      <c r="F901" s="1278"/>
      <c r="G901" s="1023"/>
      <c r="I901" s="524" t="s">
        <v>2109</v>
      </c>
    </row>
    <row r="902" spans="1:9" ht="12.75" customHeight="1">
      <c r="A902" s="176"/>
      <c r="B902" s="176"/>
      <c r="C902" s="175"/>
      <c r="D902" s="1278"/>
      <c r="E902" s="1278"/>
      <c r="F902" s="1278"/>
      <c r="G902" s="1023"/>
      <c r="I902" s="524"/>
    </row>
    <row r="903" spans="1:9" ht="12.75" customHeight="1">
      <c r="A903" s="176"/>
      <c r="B903" s="176"/>
      <c r="C903" s="175"/>
      <c r="D903" s="1278"/>
      <c r="E903" s="1278"/>
      <c r="F903" s="1278"/>
      <c r="G903" s="1023"/>
      <c r="I903" s="524"/>
    </row>
    <row r="904" spans="1:9" ht="12.75" customHeight="1">
      <c r="A904" s="176"/>
      <c r="B904" s="176"/>
      <c r="C904" s="175"/>
      <c r="D904" s="1278"/>
      <c r="E904" s="1278"/>
      <c r="F904" s="1278"/>
      <c r="G904" s="1023"/>
      <c r="I904" s="524"/>
    </row>
    <row r="905" spans="1:9" ht="12.75" customHeight="1">
      <c r="A905" s="176"/>
      <c r="B905" s="176"/>
      <c r="C905" s="175"/>
      <c r="D905" s="1278"/>
      <c r="E905" s="1278"/>
      <c r="F905" s="1278"/>
      <c r="G905" s="1023"/>
      <c r="I905" s="524"/>
    </row>
    <row r="906" spans="1:9" ht="12.75" customHeight="1">
      <c r="A906" s="175"/>
      <c r="B906" s="175"/>
      <c r="C906" s="175"/>
      <c r="D906" s="1278"/>
      <c r="E906" s="1278"/>
      <c r="F906" s="1278"/>
      <c r="G906" s="1023"/>
      <c r="I906" s="524"/>
    </row>
    <row r="907" spans="1:9" ht="12.75" customHeight="1">
      <c r="A907" s="175"/>
      <c r="B907" s="175"/>
      <c r="C907" s="175"/>
      <c r="D907" s="1278"/>
      <c r="E907" s="1278"/>
      <c r="F907" s="1278"/>
      <c r="G907" s="1023"/>
      <c r="I907" s="524"/>
    </row>
    <row r="908" spans="1:9" ht="12.75" customHeight="1">
      <c r="A908" s="175"/>
      <c r="B908" s="175"/>
      <c r="C908" s="175"/>
      <c r="D908" s="1278"/>
      <c r="E908" s="1278"/>
      <c r="F908" s="1278"/>
      <c r="G908" s="1023"/>
      <c r="I908" s="524"/>
    </row>
    <row r="909" spans="1:9" ht="12.75" customHeight="1">
      <c r="A909" s="175"/>
      <c r="B909" s="175"/>
      <c r="C909" s="175"/>
      <c r="D909" s="363"/>
      <c r="E909" s="363"/>
      <c r="F909" s="363"/>
      <c r="G909" s="1023"/>
      <c r="I909" s="524"/>
    </row>
    <row r="910" spans="1:9" ht="12.75" customHeight="1">
      <c r="A910" s="1024"/>
      <c r="B910" s="519" t="s">
        <v>2774</v>
      </c>
      <c r="C910" s="1024"/>
      <c r="D910" s="1268" t="s">
        <v>1969</v>
      </c>
      <c r="E910" s="1268"/>
      <c r="F910" s="1268"/>
      <c r="G910" s="1023"/>
      <c r="I910" s="524"/>
    </row>
    <row r="911" spans="1:9" ht="12.75" customHeight="1">
      <c r="A911" s="1024"/>
      <c r="B911" s="1024"/>
      <c r="C911" s="1024"/>
      <c r="D911" s="1268"/>
      <c r="E911" s="1268"/>
      <c r="F911" s="1268"/>
      <c r="G911" s="1023"/>
      <c r="I911" s="524"/>
    </row>
    <row r="912" spans="1:9" ht="12.75" customHeight="1">
      <c r="A912" s="1024"/>
      <c r="B912" s="1024"/>
      <c r="C912" s="1024"/>
      <c r="D912" s="1023"/>
      <c r="E912" s="1023"/>
      <c r="F912" s="1023"/>
      <c r="G912" s="1023"/>
      <c r="I912" s="524"/>
    </row>
    <row r="913" spans="1:9" ht="12.75" customHeight="1">
      <c r="A913" s="1024"/>
      <c r="B913" s="519" t="s">
        <v>2773</v>
      </c>
      <c r="C913" s="1024"/>
      <c r="D913" s="1305" t="s">
        <v>1970</v>
      </c>
      <c r="E913" s="1305"/>
      <c r="F913" s="1305"/>
      <c r="G913" s="1023"/>
      <c r="I913" s="524"/>
    </row>
    <row r="914" spans="1:9" ht="12.75" customHeight="1">
      <c r="A914" s="1024"/>
      <c r="B914" s="1024"/>
      <c r="C914" s="1024"/>
      <c r="D914" s="1305"/>
      <c r="E914" s="1305"/>
      <c r="F914" s="1305"/>
      <c r="G914" s="1023"/>
      <c r="I914" s="524"/>
    </row>
    <row r="915" spans="1:9" ht="12.75" customHeight="1">
      <c r="A915" s="1024"/>
      <c r="B915" s="1024"/>
      <c r="C915" s="1024"/>
      <c r="D915" s="1305"/>
      <c r="E915" s="1305"/>
      <c r="F915" s="1305"/>
      <c r="G915" s="1023"/>
      <c r="I915" s="524"/>
    </row>
    <row r="916" spans="1:9" ht="12.75" customHeight="1">
      <c r="A916" s="1024"/>
      <c r="B916" s="1024"/>
      <c r="C916" s="1024"/>
      <c r="D916" s="1305"/>
      <c r="E916" s="1305"/>
      <c r="F916" s="1305"/>
      <c r="G916" s="1023"/>
      <c r="I916" s="524"/>
    </row>
    <row r="917" spans="1:9" ht="12.75" customHeight="1">
      <c r="A917" s="1024"/>
      <c r="B917" s="1024"/>
      <c r="C917" s="1024"/>
      <c r="D917" s="118"/>
      <c r="E917" s="1023"/>
      <c r="F917" s="1023"/>
      <c r="G917" s="1023"/>
      <c r="I917" s="524"/>
    </row>
    <row r="918" spans="1:9" ht="12.75" customHeight="1">
      <c r="A918" s="1024"/>
      <c r="B918" s="519" t="s">
        <v>2773</v>
      </c>
      <c r="C918" s="1024"/>
      <c r="D918" s="1279" t="s">
        <v>2382</v>
      </c>
      <c r="E918" s="1279"/>
      <c r="F918" s="1279"/>
      <c r="G918" s="1023"/>
      <c r="I918" s="524"/>
    </row>
    <row r="919" spans="1:9" ht="12.75" customHeight="1">
      <c r="A919" s="1024"/>
      <c r="B919" s="1024"/>
      <c r="C919" s="1024"/>
      <c r="D919" s="118"/>
      <c r="E919" s="1023"/>
      <c r="F919" s="1023"/>
      <c r="G919" s="1023"/>
      <c r="I919" s="524"/>
    </row>
    <row r="920" spans="1:9" ht="12.75" customHeight="1">
      <c r="A920" s="1024"/>
      <c r="B920" s="519" t="s">
        <v>2773</v>
      </c>
      <c r="C920" s="1024"/>
      <c r="D920" s="1279" t="s">
        <v>2383</v>
      </c>
      <c r="E920" s="1279"/>
      <c r="F920" s="1279"/>
      <c r="G920" s="1023"/>
      <c r="I920" s="524"/>
    </row>
    <row r="921" spans="1:9" ht="12.75" customHeight="1">
      <c r="A921" s="175"/>
      <c r="B921" s="175"/>
      <c r="C921" s="175"/>
      <c r="D921" s="2"/>
      <c r="E921" s="3"/>
      <c r="F921" s="1023"/>
      <c r="G921" s="1023"/>
      <c r="I921" s="524"/>
    </row>
    <row r="922" spans="1:9" ht="12.75" customHeight="1">
      <c r="A922" s="1032"/>
      <c r="B922" s="519" t="s">
        <v>2774</v>
      </c>
      <c r="C922" s="1033"/>
      <c r="D922" s="1278" t="s">
        <v>1966</v>
      </c>
      <c r="E922" s="1278"/>
      <c r="F922" s="1278"/>
      <c r="G922" s="1034"/>
      <c r="I922" s="524" t="s">
        <v>2159</v>
      </c>
    </row>
    <row r="923" spans="1:9" ht="12.75" customHeight="1">
      <c r="A923" s="1032"/>
      <c r="B923" s="1032"/>
      <c r="C923" s="1033"/>
      <c r="D923" s="1278"/>
      <c r="E923" s="1278"/>
      <c r="F923" s="1278"/>
      <c r="G923" s="1034"/>
      <c r="I923" s="524"/>
    </row>
    <row r="924" spans="1:9" ht="12.75" customHeight="1">
      <c r="A924" s="1032"/>
      <c r="B924" s="1032"/>
      <c r="C924" s="1033"/>
      <c r="D924" s="1278"/>
      <c r="E924" s="1278"/>
      <c r="F924" s="1278"/>
      <c r="G924" s="1034"/>
      <c r="I924" s="524"/>
    </row>
    <row r="925" spans="1:9" ht="12.75" customHeight="1">
      <c r="A925" s="1032"/>
      <c r="B925" s="1032"/>
      <c r="C925" s="1033"/>
      <c r="D925" s="1278"/>
      <c r="E925" s="1278"/>
      <c r="F925" s="1278"/>
      <c r="G925" s="1034"/>
      <c r="I925" s="524"/>
    </row>
    <row r="926" spans="1:9" ht="12.75" customHeight="1">
      <c r="A926" s="1032"/>
      <c r="B926" s="1032"/>
      <c r="C926" s="1033"/>
      <c r="D926" s="1278"/>
      <c r="E926" s="1278"/>
      <c r="F926" s="1278"/>
      <c r="G926" s="1034"/>
      <c r="I926" s="524"/>
    </row>
    <row r="927" spans="1:9" ht="12.75" customHeight="1">
      <c r="A927" s="1032"/>
      <c r="B927" s="1032"/>
      <c r="C927" s="1033"/>
      <c r="D927" s="1278"/>
      <c r="E927" s="1278"/>
      <c r="F927" s="1278"/>
      <c r="G927" s="1034"/>
      <c r="I927" s="524"/>
    </row>
    <row r="928" spans="1:9" ht="12.75" customHeight="1">
      <c r="A928" s="1032"/>
      <c r="B928" s="1032"/>
      <c r="C928" s="1033"/>
      <c r="D928" s="1278"/>
      <c r="E928" s="1278"/>
      <c r="F928" s="1278"/>
      <c r="G928" s="1034"/>
      <c r="I928" s="524"/>
    </row>
    <row r="929" spans="1:9" ht="12.75" customHeight="1">
      <c r="A929" s="1032"/>
      <c r="B929" s="1032"/>
      <c r="C929" s="1033"/>
      <c r="D929" s="1278"/>
      <c r="E929" s="1278"/>
      <c r="F929" s="1278"/>
      <c r="G929" s="1034"/>
      <c r="I929" s="524"/>
    </row>
    <row r="930" spans="1:9" ht="12.75" customHeight="1">
      <c r="A930" s="1032"/>
      <c r="B930" s="1032"/>
      <c r="C930" s="1033"/>
      <c r="D930" s="1278"/>
      <c r="E930" s="1278"/>
      <c r="F930" s="1278"/>
      <c r="G930" s="1034"/>
      <c r="I930" s="524"/>
    </row>
    <row r="931" spans="1:9" ht="12.75" customHeight="1">
      <c r="A931" s="175"/>
      <c r="B931" s="175"/>
      <c r="C931" s="175"/>
      <c r="D931" s="2"/>
      <c r="E931" s="3"/>
      <c r="F931" s="1023"/>
      <c r="G931" s="1023"/>
      <c r="I931" s="524"/>
    </row>
    <row r="932" spans="1:9" ht="12.75" customHeight="1">
      <c r="A932" s="176"/>
      <c r="B932" s="519" t="s">
        <v>2774</v>
      </c>
      <c r="C932" s="175"/>
      <c r="D932" s="1334" t="s">
        <v>2161</v>
      </c>
      <c r="E932" s="1334"/>
      <c r="F932" s="1334"/>
      <c r="G932" s="1023"/>
      <c r="I932" s="524" t="s">
        <v>2159</v>
      </c>
    </row>
    <row r="933" spans="1:9" ht="12.75" customHeight="1">
      <c r="A933" s="176"/>
      <c r="B933" s="176"/>
      <c r="C933" s="175"/>
      <c r="D933" s="1334"/>
      <c r="E933" s="1334"/>
      <c r="F933" s="1334"/>
      <c r="G933" s="1023"/>
      <c r="I933" s="524"/>
    </row>
    <row r="934" spans="1:9" ht="12.75" customHeight="1">
      <c r="A934" s="176"/>
      <c r="B934" s="176"/>
      <c r="C934" s="175"/>
      <c r="D934" s="1334"/>
      <c r="E934" s="1334"/>
      <c r="F934" s="1334"/>
      <c r="G934" s="1023"/>
      <c r="I934" s="524"/>
    </row>
    <row r="935" spans="1:9" ht="12.75" customHeight="1">
      <c r="A935" s="176"/>
      <c r="B935" s="176"/>
      <c r="C935" s="175"/>
      <c r="D935" s="1334"/>
      <c r="E935" s="1334"/>
      <c r="F935" s="1334"/>
      <c r="G935" s="1023"/>
      <c r="I935" s="524"/>
    </row>
    <row r="936" spans="1:9" ht="12.75" customHeight="1">
      <c r="A936" s="176"/>
      <c r="B936" s="176"/>
      <c r="C936" s="175"/>
      <c r="D936" s="1334"/>
      <c r="E936" s="1334"/>
      <c r="F936" s="1334"/>
      <c r="G936" s="1023"/>
      <c r="I936" s="524"/>
    </row>
    <row r="937" spans="1:9" ht="12.75" customHeight="1">
      <c r="A937" s="176"/>
      <c r="B937" s="176"/>
      <c r="C937" s="175"/>
      <c r="D937" s="1334"/>
      <c r="E937" s="1334"/>
      <c r="F937" s="1334"/>
      <c r="G937" s="1023"/>
      <c r="I937" s="524"/>
    </row>
    <row r="938" spans="1:9" ht="12.75" customHeight="1">
      <c r="A938" s="176"/>
      <c r="B938" s="176"/>
      <c r="C938" s="175"/>
      <c r="D938" s="1334"/>
      <c r="E938" s="1334"/>
      <c r="F938" s="1334"/>
      <c r="G938" s="1023"/>
      <c r="I938" s="524"/>
    </row>
    <row r="939" spans="1:9" ht="12.75" customHeight="1">
      <c r="A939" s="176"/>
      <c r="B939" s="176"/>
      <c r="C939" s="175"/>
      <c r="D939" s="1061"/>
      <c r="E939" s="1061"/>
      <c r="F939" s="1061"/>
      <c r="G939" s="1023"/>
      <c r="I939" s="524"/>
    </row>
    <row r="940" spans="1:9" ht="12.75" customHeight="1">
      <c r="A940" s="176"/>
      <c r="B940" s="519" t="s">
        <v>2774</v>
      </c>
      <c r="C940" s="175"/>
      <c r="D940" s="1277" t="s">
        <v>2455</v>
      </c>
      <c r="E940" s="1277"/>
      <c r="F940" s="1277"/>
      <c r="G940" s="1023"/>
      <c r="I940" s="524"/>
    </row>
    <row r="941" spans="1:9" ht="12.75" customHeight="1">
      <c r="A941" s="176"/>
      <c r="B941" s="176"/>
      <c r="C941" s="175"/>
      <c r="D941" s="1277"/>
      <c r="E941" s="1277"/>
      <c r="F941" s="1277"/>
      <c r="G941" s="1023"/>
      <c r="I941" s="524"/>
    </row>
    <row r="942" spans="1:9" ht="12.75" customHeight="1">
      <c r="A942" s="176"/>
      <c r="B942" s="176"/>
      <c r="C942" s="175"/>
      <c r="D942" s="1277"/>
      <c r="E942" s="1277"/>
      <c r="F942" s="1277"/>
      <c r="G942" s="1023"/>
      <c r="I942" s="524"/>
    </row>
    <row r="943" spans="1:9" ht="12.75" customHeight="1">
      <c r="A943" s="176"/>
      <c r="B943" s="176"/>
      <c r="C943" s="175"/>
      <c r="D943" s="1277"/>
      <c r="E943" s="1277"/>
      <c r="F943" s="1277"/>
      <c r="G943" s="1023"/>
      <c r="I943" s="524"/>
    </row>
    <row r="944" spans="1:9" ht="12.75" customHeight="1">
      <c r="A944" s="176"/>
      <c r="B944" s="176"/>
      <c r="C944" s="175"/>
      <c r="D944" s="1277"/>
      <c r="E944" s="1277"/>
      <c r="F944" s="1277"/>
      <c r="G944" s="1023"/>
      <c r="I944" s="524"/>
    </row>
    <row r="945" spans="1:9" ht="12.75" customHeight="1">
      <c r="A945" s="176"/>
      <c r="B945" s="176"/>
      <c r="C945" s="175"/>
      <c r="D945" s="1277"/>
      <c r="E945" s="1277"/>
      <c r="F945" s="1277"/>
      <c r="G945" s="1023"/>
      <c r="I945" s="524"/>
    </row>
    <row r="946" spans="1:9" ht="12.75" customHeight="1">
      <c r="A946" s="176"/>
      <c r="B946" s="176"/>
      <c r="C946" s="175"/>
      <c r="D946" s="1061"/>
      <c r="E946" s="1061"/>
      <c r="F946" s="1061"/>
      <c r="G946" s="1023"/>
      <c r="I946" s="524"/>
    </row>
    <row r="947" spans="1:9" ht="12.75" customHeight="1">
      <c r="A947" s="1024"/>
      <c r="B947" s="519" t="s">
        <v>2773</v>
      </c>
      <c r="C947" s="1024"/>
      <c r="D947" s="1305" t="s">
        <v>1971</v>
      </c>
      <c r="E947" s="1305"/>
      <c r="F947" s="1305"/>
      <c r="G947" s="1023"/>
      <c r="I947" s="524"/>
    </row>
    <row r="948" spans="1:9" ht="12.75" customHeight="1">
      <c r="A948" s="1024"/>
      <c r="B948" s="1024"/>
      <c r="C948" s="1024"/>
      <c r="D948" s="1305"/>
      <c r="E948" s="1305"/>
      <c r="F948" s="1305"/>
      <c r="G948" s="1023"/>
      <c r="I948" s="524"/>
    </row>
    <row r="949" spans="1:9" ht="12.75" customHeight="1">
      <c r="A949" s="1024"/>
      <c r="B949" s="1024"/>
      <c r="C949" s="1024"/>
      <c r="D949" s="1305"/>
      <c r="E949" s="1305"/>
      <c r="F949" s="1305"/>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2773</v>
      </c>
      <c r="C952" s="175"/>
      <c r="D952" s="1278" t="s">
        <v>2160</v>
      </c>
      <c r="E952" s="1278"/>
      <c r="F952" s="1278"/>
      <c r="G952" s="1023"/>
      <c r="I952" s="524" t="s">
        <v>2159</v>
      </c>
    </row>
    <row r="953" spans="1:9" ht="12.75" customHeight="1">
      <c r="A953" s="176"/>
      <c r="B953" s="176"/>
      <c r="C953" s="175"/>
      <c r="D953" s="1278"/>
      <c r="E953" s="1278"/>
      <c r="F953" s="1278"/>
      <c r="G953" s="1023"/>
      <c r="I953" s="524"/>
    </row>
    <row r="954" spans="1:9" ht="12.75" customHeight="1">
      <c r="A954" s="176"/>
      <c r="B954" s="176"/>
      <c r="C954" s="175"/>
      <c r="D954" s="1278"/>
      <c r="E954" s="1278"/>
      <c r="F954" s="1278"/>
      <c r="G954" s="1023"/>
      <c r="I954" s="524"/>
    </row>
    <row r="955" spans="1:9" ht="12.75" customHeight="1">
      <c r="A955" s="176"/>
      <c r="B955" s="176"/>
      <c r="C955" s="175"/>
      <c r="D955" s="1278"/>
      <c r="E955" s="1278"/>
      <c r="F955" s="1278"/>
      <c r="G955" s="1023"/>
      <c r="I955" s="524"/>
    </row>
    <row r="956" spans="1:9" ht="12.75" customHeight="1">
      <c r="A956" s="1024"/>
      <c r="B956" s="1024"/>
      <c r="C956" s="1024"/>
      <c r="D956" s="1015"/>
      <c r="E956" s="1015"/>
      <c r="F956" s="1015"/>
      <c r="G956" s="1015"/>
      <c r="I956" s="524"/>
    </row>
    <row r="957" spans="1:9" ht="12.75" customHeight="1">
      <c r="A957" s="385"/>
      <c r="B957" s="385"/>
      <c r="C957" s="385"/>
      <c r="D957" s="1284" t="s">
        <v>1972</v>
      </c>
      <c r="E957" s="1284"/>
      <c r="F957" s="1284"/>
      <c r="G957" s="3"/>
      <c r="I957" s="524"/>
    </row>
    <row r="958" spans="1:9" ht="12.75" customHeight="1">
      <c r="A958" s="176"/>
      <c r="B958" s="519" t="s">
        <v>2773</v>
      </c>
      <c r="C958" s="385"/>
      <c r="D958" s="1279" t="s">
        <v>1996</v>
      </c>
      <c r="E958" s="1279"/>
      <c r="F958" s="1279"/>
      <c r="G958" s="3"/>
      <c r="I958" s="524" t="s">
        <v>2159</v>
      </c>
    </row>
    <row r="959" spans="1:9" ht="12.75" customHeight="1">
      <c r="A959" s="385"/>
      <c r="B959" s="385"/>
      <c r="C959" s="385"/>
      <c r="D959" s="3"/>
      <c r="E959" s="3"/>
      <c r="F959" s="3"/>
      <c r="G959" s="3"/>
      <c r="I959" s="524"/>
    </row>
    <row r="960" spans="1:9" ht="12.75" customHeight="1">
      <c r="A960" s="385"/>
      <c r="B960" s="385"/>
      <c r="C960" s="385"/>
      <c r="D960" s="1284" t="s">
        <v>1973</v>
      </c>
      <c r="E960" s="1284"/>
      <c r="F960" s="1284"/>
      <c r="G960"/>
      <c r="I960" s="524"/>
    </row>
    <row r="961" spans="1:9" ht="12.75" customHeight="1">
      <c r="A961" s="176"/>
      <c r="B961" s="519" t="s">
        <v>2774</v>
      </c>
      <c r="C961" s="385"/>
      <c r="D961" s="1268" t="s">
        <v>2384</v>
      </c>
      <c r="E961" s="1268"/>
      <c r="F961" s="1268"/>
      <c r="G961"/>
      <c r="I961" s="524" t="s">
        <v>2159</v>
      </c>
    </row>
    <row r="962" spans="1:9" ht="12.75" customHeight="1">
      <c r="A962" s="176"/>
      <c r="B962" s="176"/>
      <c r="C962" s="385"/>
      <c r="D962" s="1268"/>
      <c r="E962" s="1268"/>
      <c r="F962" s="1268"/>
      <c r="G962"/>
      <c r="I962" s="524"/>
    </row>
    <row r="963" spans="1:9" ht="12.75" customHeight="1">
      <c r="A963" s="176"/>
      <c r="B963" s="176"/>
      <c r="C963" s="385"/>
      <c r="D963" s="1268"/>
      <c r="E963" s="1268"/>
      <c r="F963" s="1268"/>
      <c r="G963"/>
      <c r="I963" s="524"/>
    </row>
    <row r="964" spans="1:9" ht="12.75" customHeight="1">
      <c r="A964" s="176"/>
      <c r="B964" s="176"/>
      <c r="C964" s="385"/>
      <c r="D964" s="1268"/>
      <c r="E964" s="1268"/>
      <c r="F964" s="1268"/>
      <c r="G964"/>
      <c r="I964" s="524"/>
    </row>
    <row r="965" spans="1:9" ht="12.75" customHeight="1">
      <c r="A965" s="176"/>
      <c r="B965" s="176"/>
      <c r="C965" s="385"/>
      <c r="D965" s="1268"/>
      <c r="E965" s="1268"/>
      <c r="F965" s="1268"/>
      <c r="G965"/>
      <c r="I965" s="524"/>
    </row>
    <row r="966" spans="1:9" ht="12.75" customHeight="1">
      <c r="A966" s="176"/>
      <c r="B966" s="176"/>
      <c r="C966" s="385"/>
      <c r="D966" s="1268"/>
      <c r="E966" s="1268"/>
      <c r="F966" s="1268"/>
      <c r="G966"/>
      <c r="I966" s="524"/>
    </row>
    <row r="967" spans="1:9" ht="12.75" customHeight="1">
      <c r="A967" s="176"/>
      <c r="B967" s="176"/>
      <c r="C967" s="385"/>
      <c r="D967" s="1268"/>
      <c r="E967" s="1268"/>
      <c r="F967" s="1268"/>
      <c r="G967"/>
      <c r="I967" s="524"/>
    </row>
    <row r="968" spans="1:9" ht="12.75" customHeight="1">
      <c r="A968" s="176"/>
      <c r="B968" s="176"/>
      <c r="C968" s="385"/>
      <c r="D968" s="1268"/>
      <c r="E968" s="1268"/>
      <c r="F968" s="1268"/>
      <c r="G968"/>
      <c r="I968" s="524"/>
    </row>
    <row r="969" spans="1:9" ht="12.75" customHeight="1">
      <c r="A969" s="176"/>
      <c r="B969" s="176"/>
      <c r="C969" s="385"/>
      <c r="D969" s="1268"/>
      <c r="E969" s="1268"/>
      <c r="F969" s="1268"/>
      <c r="G969"/>
      <c r="I969" s="524"/>
    </row>
    <row r="970" spans="1:9" ht="12.75" customHeight="1">
      <c r="A970" s="176"/>
      <c r="B970" s="176"/>
      <c r="C970" s="385"/>
      <c r="D970" s="1268"/>
      <c r="E970" s="1268"/>
      <c r="F970" s="1268"/>
      <c r="G970"/>
      <c r="I970" s="524"/>
    </row>
    <row r="971" spans="1:9" ht="12.75" customHeight="1">
      <c r="A971" s="176"/>
      <c r="B971" s="176"/>
      <c r="C971" s="385"/>
      <c r="D971" s="1268"/>
      <c r="E971" s="1268"/>
      <c r="F971" s="1268"/>
      <c r="G971"/>
      <c r="I971" s="524"/>
    </row>
    <row r="972" spans="1:9" ht="12.75" customHeight="1">
      <c r="A972" s="176"/>
      <c r="B972" s="176"/>
      <c r="C972" s="385"/>
      <c r="D972" s="1268"/>
      <c r="E972" s="1268"/>
      <c r="F972" s="1268"/>
      <c r="G972"/>
      <c r="I972" s="524"/>
    </row>
    <row r="973" spans="1:9" ht="12.75" customHeight="1">
      <c r="A973" s="176"/>
      <c r="B973" s="176"/>
      <c r="C973" s="385"/>
      <c r="D973" s="1268"/>
      <c r="E973" s="1268"/>
      <c r="F973" s="1268"/>
      <c r="G973"/>
      <c r="I973" s="524"/>
    </row>
    <row r="974" spans="1:9" ht="12.75" customHeight="1">
      <c r="A974" s="176"/>
      <c r="B974" s="176"/>
      <c r="C974" s="385"/>
      <c r="D974" s="1268"/>
      <c r="E974" s="1268"/>
      <c r="F974" s="1268"/>
      <c r="G974"/>
      <c r="I974" s="524"/>
    </row>
    <row r="975" spans="1:9" ht="12.75" customHeight="1">
      <c r="A975" s="176"/>
      <c r="B975" s="176"/>
      <c r="C975" s="385"/>
      <c r="D975" s="1268"/>
      <c r="E975" s="1268"/>
      <c r="F975" s="1268"/>
      <c r="G975" s="3"/>
      <c r="I975" s="524"/>
    </row>
    <row r="976" spans="1:9" ht="12.75" customHeight="1">
      <c r="A976" s="385"/>
      <c r="B976" s="385"/>
      <c r="C976" s="385"/>
      <c r="D976" s="3"/>
      <c r="E976" s="3"/>
      <c r="F976" s="3"/>
      <c r="G976" s="3"/>
      <c r="I976" s="524"/>
    </row>
    <row r="977" spans="1:9" ht="12.75" customHeight="1">
      <c r="A977" s="1313" t="s">
        <v>1974</v>
      </c>
      <c r="B977" s="1313"/>
      <c r="C977" s="1313"/>
      <c r="D977" s="1313"/>
      <c r="E977" s="1313"/>
      <c r="F977" s="1313"/>
      <c r="G977" s="1313"/>
      <c r="H977" s="1063"/>
      <c r="I977" s="1259"/>
    </row>
    <row r="978" spans="1:9" ht="12.75" customHeight="1">
      <c r="A978" s="118"/>
      <c r="B978" s="118"/>
      <c r="C978" s="385"/>
      <c r="D978" s="3"/>
      <c r="E978" s="3"/>
      <c r="F978" s="3"/>
      <c r="G978" s="3"/>
      <c r="I978" s="524"/>
    </row>
    <row r="979" spans="1:9" ht="12.75" customHeight="1">
      <c r="A979" s="385"/>
      <c r="B979" s="385"/>
      <c r="C979" s="1024"/>
      <c r="D979" s="1284" t="s">
        <v>1997</v>
      </c>
      <c r="E979" s="1284"/>
      <c r="F979" s="1284"/>
      <c r="G979" s="3"/>
      <c r="I979" s="524"/>
    </row>
    <row r="980" spans="1:9" ht="12.75" customHeight="1">
      <c r="A980" s="172"/>
      <c r="B980" s="172"/>
      <c r="C980" s="172"/>
      <c r="D980" s="1279" t="s">
        <v>1975</v>
      </c>
      <c r="E980" s="1279"/>
      <c r="F980" s="1279"/>
      <c r="G980" s="3"/>
      <c r="I980" s="524"/>
    </row>
    <row r="981" spans="1:9" ht="12.75" customHeight="1">
      <c r="A981" s="172"/>
      <c r="B981" s="172"/>
      <c r="C981" s="172"/>
      <c r="D981" s="3"/>
      <c r="E981" s="3"/>
      <c r="F981" s="1023"/>
      <c r="G981"/>
      <c r="I981" s="524"/>
    </row>
    <row r="982" spans="1:9" ht="12.75" customHeight="1">
      <c r="A982" s="385"/>
      <c r="B982" s="519" t="s">
        <v>2774</v>
      </c>
      <c r="C982" s="385"/>
      <c r="D982" s="1332" t="s">
        <v>2214</v>
      </c>
      <c r="E982" s="1332"/>
      <c r="F982" s="1332"/>
      <c r="G982"/>
      <c r="I982" s="524" t="s">
        <v>2139</v>
      </c>
    </row>
    <row r="983" spans="1:9" ht="12.75" customHeight="1">
      <c r="A983" s="385"/>
      <c r="B983" s="385"/>
      <c r="C983" s="385"/>
      <c r="D983" s="1332"/>
      <c r="E983" s="1332"/>
      <c r="F983" s="1332"/>
      <c r="G983"/>
      <c r="I983" s="524"/>
    </row>
    <row r="984" spans="1:9" ht="12.75" customHeight="1">
      <c r="A984" s="385"/>
      <c r="B984" s="385"/>
      <c r="C984" s="385"/>
      <c r="D984" s="1073"/>
      <c r="E984" s="1071" t="s">
        <v>2215</v>
      </c>
      <c r="F984" s="1073"/>
      <c r="G984"/>
      <c r="I984" s="524"/>
    </row>
    <row r="985" spans="1:9" ht="12.75" customHeight="1">
      <c r="A985" s="385"/>
      <c r="B985" s="385"/>
      <c r="C985" s="385"/>
      <c r="D985" s="1272" t="s">
        <v>2213</v>
      </c>
      <c r="E985" s="1272"/>
      <c r="F985" s="1272"/>
      <c r="G985"/>
      <c r="I985" s="524"/>
    </row>
    <row r="986" spans="1:9" ht="12.75" customHeight="1">
      <c r="A986" s="385"/>
      <c r="B986" s="385"/>
      <c r="C986" s="385"/>
      <c r="D986" s="1272"/>
      <c r="E986" s="1272"/>
      <c r="F986" s="1272"/>
      <c r="G986"/>
      <c r="I986" s="524"/>
    </row>
    <row r="987" spans="1:9" ht="12.75" customHeight="1">
      <c r="A987" s="175"/>
      <c r="B987" s="175"/>
      <c r="C987" s="175"/>
      <c r="D987" s="1272"/>
      <c r="E987" s="1272"/>
      <c r="F987" s="1272"/>
      <c r="G987"/>
      <c r="I987" s="524"/>
    </row>
    <row r="988" spans="1:9" ht="12.75" customHeight="1">
      <c r="A988" s="175"/>
      <c r="B988" s="175"/>
      <c r="C988" s="175"/>
      <c r="D988" s="1272"/>
      <c r="E988" s="1272"/>
      <c r="F988" s="1272"/>
      <c r="G988"/>
      <c r="I988" s="524"/>
    </row>
    <row r="989" spans="1:9" ht="12.75" customHeight="1">
      <c r="A989" s="175"/>
      <c r="B989" s="175"/>
      <c r="C989" s="175"/>
      <c r="D989" s="363"/>
      <c r="E989" s="363"/>
      <c r="F989" s="363"/>
      <c r="G989"/>
      <c r="I989" s="524"/>
    </row>
    <row r="990" spans="1:9" ht="12.75" customHeight="1">
      <c r="A990" s="175"/>
      <c r="B990" s="519" t="s">
        <v>2773</v>
      </c>
      <c r="C990" s="175"/>
      <c r="D990" s="1268" t="s">
        <v>1976</v>
      </c>
      <c r="E990" s="1268"/>
      <c r="F990" s="1268"/>
      <c r="G990"/>
      <c r="I990" s="524"/>
    </row>
    <row r="991" spans="1:9" ht="12.75" customHeight="1">
      <c r="A991" s="175"/>
      <c r="B991" s="175"/>
      <c r="C991" s="175"/>
      <c r="D991" s="1268"/>
      <c r="E991" s="1268"/>
      <c r="F991" s="1268"/>
      <c r="G991"/>
      <c r="I991" s="524"/>
    </row>
    <row r="992" spans="1:9" ht="12.75" customHeight="1">
      <c r="A992" s="175"/>
      <c r="B992" s="175"/>
      <c r="C992" s="175"/>
      <c r="D992" s="1268"/>
      <c r="E992" s="1268"/>
      <c r="F992" s="1268"/>
      <c r="G992"/>
      <c r="I992" s="524"/>
    </row>
    <row r="993" spans="1:9" ht="12.75" customHeight="1">
      <c r="A993" s="175"/>
      <c r="B993" s="175"/>
      <c r="C993" s="175"/>
      <c r="D993" s="1268"/>
      <c r="E993" s="1268"/>
      <c r="F993" s="1268"/>
      <c r="G993"/>
      <c r="I993" s="524"/>
    </row>
    <row r="994" spans="1:9" ht="12.75" customHeight="1">
      <c r="A994" s="175"/>
      <c r="B994" s="175"/>
      <c r="C994" s="175"/>
      <c r="D994" s="474"/>
      <c r="E994" s="474"/>
      <c r="F994" s="474"/>
      <c r="G994"/>
      <c r="I994" s="524"/>
    </row>
    <row r="995" spans="1:9" ht="12.75" customHeight="1">
      <c r="A995" s="175"/>
      <c r="B995" s="519" t="s">
        <v>2773</v>
      </c>
      <c r="C995" s="175"/>
      <c r="D995" s="1268" t="s">
        <v>1977</v>
      </c>
      <c r="E995" s="1268"/>
      <c r="F995" s="1268"/>
      <c r="G995"/>
      <c r="I995" s="524"/>
    </row>
    <row r="996" spans="1:9" ht="12.75" customHeight="1">
      <c r="A996" s="175"/>
      <c r="B996" s="175"/>
      <c r="C996" s="175"/>
      <c r="D996" s="1268"/>
      <c r="E996" s="1268"/>
      <c r="F996" s="1268"/>
      <c r="G996"/>
      <c r="I996" s="524"/>
    </row>
    <row r="997" spans="1:9" ht="12.75" customHeight="1">
      <c r="A997" s="175"/>
      <c r="B997" s="175"/>
      <c r="C997" s="175"/>
      <c r="D997" s="474"/>
      <c r="E997" s="474"/>
      <c r="F997" s="474"/>
      <c r="G997"/>
      <c r="I997" s="524"/>
    </row>
    <row r="998" spans="1:9" ht="12.75" customHeight="1">
      <c r="A998" s="176"/>
      <c r="B998" s="519" t="s">
        <v>2774</v>
      </c>
      <c r="C998" s="385"/>
      <c r="D998" s="1279" t="s">
        <v>1978</v>
      </c>
      <c r="E998" s="1279"/>
      <c r="F998" s="1279"/>
      <c r="G998"/>
      <c r="I998" s="524"/>
    </row>
    <row r="999" spans="1:9" ht="12.75" customHeight="1">
      <c r="A999" s="385"/>
      <c r="B999" s="385"/>
      <c r="C999" s="385"/>
      <c r="D999" s="3"/>
      <c r="E999" s="3"/>
      <c r="F999" s="3"/>
      <c r="G999"/>
      <c r="I999" s="524"/>
    </row>
    <row r="1000" spans="1:9" ht="12.75" customHeight="1">
      <c r="A1000" s="176"/>
      <c r="B1000" s="519" t="s">
        <v>2773</v>
      </c>
      <c r="C1000" s="385"/>
      <c r="D1000" s="1279" t="s">
        <v>1979</v>
      </c>
      <c r="E1000" s="1279"/>
      <c r="F1000" s="1279"/>
      <c r="G1000"/>
      <c r="I1000" s="524"/>
    </row>
    <row r="1001" spans="1:9" ht="12.75" customHeight="1">
      <c r="A1001" s="385"/>
      <c r="B1001" s="385"/>
      <c r="C1001" s="385"/>
      <c r="D1001" s="118"/>
      <c r="E1001" s="3"/>
      <c r="F1001" s="3"/>
      <c r="G1001"/>
      <c r="I1001" s="524"/>
    </row>
    <row r="1002" spans="1:9" ht="12.75" customHeight="1">
      <c r="A1002" s="176"/>
      <c r="B1002" s="519" t="s">
        <v>2774</v>
      </c>
      <c r="C1002" s="385"/>
      <c r="D1002" s="1279" t="s">
        <v>1980</v>
      </c>
      <c r="E1002" s="1279"/>
      <c r="F1002" s="1279"/>
      <c r="G1002"/>
      <c r="I1002" s="524"/>
    </row>
    <row r="1003" spans="1:9" ht="12.75" customHeight="1">
      <c r="A1003" s="385"/>
      <c r="B1003" s="385"/>
      <c r="C1003" s="385"/>
      <c r="D1003" s="118"/>
      <c r="E1003" s="3"/>
      <c r="F1003" s="3"/>
      <c r="G1003"/>
      <c r="I1003" s="524"/>
    </row>
    <row r="1004" spans="1:9" ht="12.75" customHeight="1">
      <c r="A1004" s="176"/>
      <c r="B1004" s="519" t="s">
        <v>2773</v>
      </c>
      <c r="C1004" s="385"/>
      <c r="D1004" s="1268" t="s">
        <v>1981</v>
      </c>
      <c r="E1004" s="1268"/>
      <c r="F1004" s="1268"/>
      <c r="G1004"/>
      <c r="I1004" s="524"/>
    </row>
    <row r="1005" spans="1:9" ht="12.75" customHeight="1">
      <c r="A1005" s="176"/>
      <c r="B1005" s="176"/>
      <c r="C1005" s="385"/>
      <c r="D1005" s="1268"/>
      <c r="E1005" s="1268"/>
      <c r="F1005" s="1268"/>
      <c r="G1005"/>
      <c r="I1005" s="524"/>
    </row>
    <row r="1006" spans="1:9" ht="12.75" customHeight="1">
      <c r="A1006" s="176"/>
      <c r="B1006" s="176"/>
      <c r="C1006" s="385"/>
      <c r="D1006" s="118"/>
      <c r="E1006" s="3"/>
      <c r="F1006" s="3"/>
      <c r="G1006" s="3"/>
      <c r="I1006" s="524"/>
    </row>
    <row r="1007" spans="1:9" ht="12.75" customHeight="1">
      <c r="A1007" s="272"/>
      <c r="B1007" s="519" t="s">
        <v>2773</v>
      </c>
      <c r="C1007" s="1035"/>
      <c r="D1007" s="1308" t="s">
        <v>1982</v>
      </c>
      <c r="E1007" s="1308"/>
      <c r="F1007" s="1308"/>
      <c r="G1007" s="1036"/>
      <c r="I1007" s="524"/>
    </row>
    <row r="1008" spans="1:9" ht="12.75" customHeight="1">
      <c r="A1008" s="1035"/>
      <c r="B1008" s="1035"/>
      <c r="C1008" s="1035"/>
      <c r="D1008" s="1308"/>
      <c r="E1008" s="1308"/>
      <c r="F1008" s="1308"/>
      <c r="G1008" s="1036"/>
      <c r="I1008" s="524"/>
    </row>
    <row r="1009" spans="1:9" ht="12.75" customHeight="1">
      <c r="A1009" s="1035"/>
      <c r="B1009" s="1035"/>
      <c r="C1009" s="1035"/>
      <c r="D1009" s="1019"/>
      <c r="E1009" s="1036"/>
      <c r="F1009" s="1036"/>
      <c r="G1009" s="1036"/>
      <c r="I1009" s="524"/>
    </row>
    <row r="1010" spans="1:9" ht="12.75" customHeight="1">
      <c r="A1010" s="272"/>
      <c r="B1010" s="519" t="s">
        <v>2773</v>
      </c>
      <c r="C1010" s="1035"/>
      <c r="D1010" s="1326" t="s">
        <v>1983</v>
      </c>
      <c r="E1010" s="1326"/>
      <c r="F1010" s="1326"/>
      <c r="G1010" s="1036"/>
      <c r="I1010" s="524"/>
    </row>
    <row r="1011" spans="1:9" ht="12.75" customHeight="1">
      <c r="A1011" s="1035"/>
      <c r="B1011" s="1035"/>
      <c r="C1011" s="1035"/>
      <c r="D1011" s="1019"/>
      <c r="E1011" s="1036"/>
      <c r="F1011" s="1036"/>
      <c r="G1011" s="1036"/>
      <c r="I1011" s="524"/>
    </row>
    <row r="1012" spans="1:9" ht="12.75" customHeight="1">
      <c r="A1012" s="176"/>
      <c r="B1012" s="519" t="s">
        <v>2773</v>
      </c>
      <c r="C1012" s="385"/>
      <c r="D1012" s="1279" t="s">
        <v>1984</v>
      </c>
      <c r="E1012" s="1279"/>
      <c r="F1012" s="1279"/>
      <c r="G1012" s="3"/>
      <c r="I1012" s="524"/>
    </row>
    <row r="1013" spans="1:9" ht="12.75" customHeight="1">
      <c r="A1013" s="176"/>
      <c r="B1013" s="176"/>
      <c r="C1013" s="385"/>
      <c r="D1013" s="118"/>
      <c r="E1013" s="3"/>
      <c r="F1013" s="3"/>
      <c r="G1013" s="3"/>
      <c r="I1013" s="524"/>
    </row>
    <row r="1014" spans="1:9" ht="12.75" customHeight="1">
      <c r="A1014" s="176"/>
      <c r="B1014" s="519" t="s">
        <v>2773</v>
      </c>
      <c r="C1014" s="385"/>
      <c r="D1014" s="1268" t="s">
        <v>1985</v>
      </c>
      <c r="E1014" s="1268"/>
      <c r="F1014" s="1268"/>
      <c r="G1014" s="3"/>
      <c r="I1014" s="524"/>
    </row>
    <row r="1015" spans="1:9" ht="12.75" customHeight="1">
      <c r="A1015" s="176"/>
      <c r="B1015" s="176"/>
      <c r="C1015" s="385"/>
      <c r="D1015" s="1268"/>
      <c r="E1015" s="1268"/>
      <c r="F1015" s="1268"/>
      <c r="G1015" s="3"/>
      <c r="I1015" s="524"/>
    </row>
    <row r="1016" spans="1:9" ht="12.75" customHeight="1">
      <c r="A1016" s="385"/>
      <c r="B1016" s="385"/>
      <c r="C1016" s="385"/>
      <c r="D1016" s="3"/>
      <c r="E1016" s="3"/>
      <c r="F1016" s="3"/>
      <c r="G1016" s="3"/>
      <c r="I1016" s="524"/>
    </row>
    <row r="1017" spans="1:9" ht="12.75" customHeight="1">
      <c r="A1017" s="1313" t="s">
        <v>1986</v>
      </c>
      <c r="B1017" s="1313"/>
      <c r="C1017" s="1313"/>
      <c r="D1017" s="1313"/>
      <c r="E1017" s="1313"/>
      <c r="F1017" s="1313"/>
      <c r="G1017" s="1313"/>
      <c r="H1017" s="1063"/>
      <c r="I1017" s="1259"/>
    </row>
    <row r="1018" spans="1:9" ht="12.75" customHeight="1">
      <c r="A1018" s="385"/>
      <c r="B1018" s="385"/>
      <c r="C1018" s="385"/>
      <c r="D1018" s="3"/>
      <c r="E1018" s="3"/>
      <c r="F1018" s="3"/>
      <c r="G1018" s="3"/>
      <c r="I1018" s="524"/>
    </row>
    <row r="1019" spans="1:9" ht="12.75" customHeight="1">
      <c r="A1019" s="385"/>
      <c r="B1019" s="385"/>
      <c r="C1019" s="385"/>
      <c r="D1019" s="1307" t="s">
        <v>1987</v>
      </c>
      <c r="E1019" s="1307"/>
      <c r="F1019" s="1307"/>
      <c r="G1019" s="3"/>
      <c r="I1019" s="524"/>
    </row>
    <row r="1020" spans="1:9" ht="12.75" customHeight="1">
      <c r="A1020" s="385"/>
      <c r="B1020" s="385"/>
      <c r="C1020" s="385"/>
      <c r="D1020" s="1326" t="s">
        <v>1988</v>
      </c>
      <c r="E1020" s="1326"/>
      <c r="F1020" s="1326"/>
      <c r="G1020" s="3"/>
      <c r="I1020" s="524"/>
    </row>
    <row r="1021" spans="1:9" ht="12.75" customHeight="1">
      <c r="A1021" s="172"/>
      <c r="B1021" s="172"/>
      <c r="C1021" s="172"/>
      <c r="D1021" s="3"/>
      <c r="E1021" s="3"/>
      <c r="F1021" s="3"/>
      <c r="G1021" s="3"/>
      <c r="I1021" s="524"/>
    </row>
    <row r="1022" spans="1:9" ht="12.75" customHeight="1">
      <c r="A1022" s="176"/>
      <c r="B1022" s="176"/>
      <c r="C1022" s="175"/>
      <c r="D1022" s="1307" t="s">
        <v>2002</v>
      </c>
      <c r="E1022" s="1307"/>
      <c r="F1022" s="1307"/>
      <c r="G1022" s="3"/>
      <c r="I1022" s="524" t="s">
        <v>2111</v>
      </c>
    </row>
    <row r="1023" spans="1:9" ht="12.75" customHeight="1">
      <c r="A1023" s="385"/>
      <c r="B1023" s="519" t="s">
        <v>2774</v>
      </c>
      <c r="C1023" s="385"/>
      <c r="D1023" s="1326" t="s">
        <v>1379</v>
      </c>
      <c r="E1023" s="1326"/>
      <c r="F1023" s="1326"/>
      <c r="G1023" s="3"/>
      <c r="I1023" s="524"/>
    </row>
    <row r="1024" spans="1:9" ht="12.75" customHeight="1">
      <c r="A1024" s="385"/>
      <c r="B1024" s="176"/>
      <c r="C1024" s="385"/>
      <c r="D1024" s="1326" t="s">
        <v>1989</v>
      </c>
      <c r="E1024" s="1326"/>
      <c r="F1024" s="1326"/>
      <c r="G1024" s="3"/>
      <c r="I1024" s="524"/>
    </row>
    <row r="1025" spans="1:9" ht="12.75" customHeight="1">
      <c r="A1025" s="385"/>
      <c r="B1025" s="385"/>
      <c r="C1025" s="385"/>
      <c r="D1025" s="1326"/>
      <c r="E1025" s="1326"/>
      <c r="F1025" s="1326"/>
      <c r="G1025" s="3"/>
      <c r="I1025" s="524"/>
    </row>
    <row r="1026" spans="1:9" ht="12.75" customHeight="1">
      <c r="A1026" s="1313" t="s">
        <v>1998</v>
      </c>
      <c r="B1026" s="1313"/>
      <c r="C1026" s="1313"/>
      <c r="D1026" s="1313"/>
      <c r="E1026" s="1313"/>
      <c r="F1026" s="1313"/>
      <c r="G1026" s="1313"/>
      <c r="H1026" s="1063"/>
      <c r="I1026" s="1259"/>
    </row>
    <row r="1027" spans="1:9" ht="12.75" customHeight="1">
      <c r="A1027" s="118"/>
      <c r="B1027" s="118"/>
      <c r="C1027" s="385"/>
      <c r="D1027" s="3"/>
      <c r="E1027" s="3"/>
      <c r="F1027" s="3"/>
      <c r="G1027" s="3"/>
      <c r="I1027" s="524"/>
    </row>
    <row r="1028" spans="1:9" ht="12.75" hidden="1" customHeight="1">
      <c r="A1028" s="118"/>
      <c r="B1028" s="433"/>
      <c r="D1028" s="1315" t="s">
        <v>1380</v>
      </c>
      <c r="E1028" s="1315"/>
      <c r="F1028" s="1315"/>
      <c r="G1028" s="3"/>
      <c r="I1028" s="524"/>
    </row>
    <row r="1029" spans="1:9" ht="12.75" hidden="1" customHeight="1">
      <c r="A1029" s="118"/>
      <c r="B1029" s="519" t="s">
        <v>307</v>
      </c>
      <c r="D1029" s="1317" t="s">
        <v>1379</v>
      </c>
      <c r="E1029" s="1317"/>
      <c r="F1029" s="1317"/>
      <c r="G1029" s="3"/>
      <c r="I1029" s="524"/>
    </row>
    <row r="1030" spans="1:9" ht="12.75" hidden="1" customHeight="1">
      <c r="A1030" s="118"/>
      <c r="B1030" s="433"/>
      <c r="D1030" s="1317" t="s">
        <v>1999</v>
      </c>
      <c r="E1030" s="1317"/>
      <c r="F1030" s="1317"/>
      <c r="G1030" s="3"/>
      <c r="I1030" s="524"/>
    </row>
    <row r="1031" spans="1:9" ht="12.75" hidden="1" customHeight="1">
      <c r="A1031" s="118"/>
      <c r="B1031" s="433"/>
      <c r="D1031" s="478"/>
      <c r="E1031" s="478"/>
      <c r="F1031" s="478"/>
      <c r="G1031" s="3"/>
      <c r="I1031" s="524"/>
    </row>
    <row r="1032" spans="1:9" ht="12.75" customHeight="1">
      <c r="A1032" s="118"/>
      <c r="B1032" s="118"/>
      <c r="C1032" s="385"/>
      <c r="D1032" s="1327" t="s">
        <v>1093</v>
      </c>
      <c r="E1032" s="1327"/>
      <c r="F1032" s="1327"/>
      <c r="G1032" s="3"/>
      <c r="I1032" s="524" t="s">
        <v>2140</v>
      </c>
    </row>
    <row r="1033" spans="1:9" ht="12.75" customHeight="1">
      <c r="A1033" s="345"/>
      <c r="B1033" s="345"/>
      <c r="C1033" s="345"/>
      <c r="D1033" s="1311" t="s">
        <v>1110</v>
      </c>
      <c r="E1033" s="1311"/>
      <c r="F1033" s="1311"/>
      <c r="G1033" s="98"/>
      <c r="I1033" s="524"/>
    </row>
    <row r="1034" spans="1:9" ht="12.75" customHeight="1">
      <c r="A1034" s="176"/>
      <c r="B1034" s="519" t="s">
        <v>2773</v>
      </c>
      <c r="C1034" s="385"/>
      <c r="D1034" s="1311" t="s">
        <v>1003</v>
      </c>
      <c r="E1034" s="1311"/>
      <c r="F1034" s="1311"/>
      <c r="G1034" s="3"/>
      <c r="I1034" s="524"/>
    </row>
    <row r="1035" spans="1:9" ht="12.75" customHeight="1">
      <c r="A1035" s="385"/>
      <c r="B1035" s="385"/>
      <c r="C1035" s="385"/>
      <c r="D1035" s="1071" t="s">
        <v>2216</v>
      </c>
      <c r="E1035" s="96"/>
      <c r="F1035" s="96"/>
      <c r="G1035" s="3"/>
      <c r="I1035" s="524"/>
    </row>
    <row r="1036" spans="1:9">
      <c r="A1036" s="433"/>
      <c r="B1036" s="433"/>
      <c r="C1036" s="433"/>
      <c r="I1036" s="524"/>
    </row>
    <row r="1037" spans="1:9">
      <c r="A1037" s="1313" t="s">
        <v>2019</v>
      </c>
      <c r="B1037" s="1313"/>
      <c r="C1037" s="1313"/>
      <c r="D1037" s="1313"/>
      <c r="E1037" s="1313"/>
      <c r="F1037" s="1313"/>
      <c r="G1037" s="1313"/>
      <c r="H1037" s="1063"/>
      <c r="I1037" s="1259"/>
    </row>
    <row r="1038" spans="1:9">
      <c r="A1038" s="433"/>
      <c r="B1038" s="433"/>
      <c r="C1038" s="433"/>
      <c r="I1038" s="524"/>
    </row>
    <row r="1039" spans="1:9">
      <c r="A1039" s="433"/>
      <c r="B1039" s="433"/>
      <c r="C1039" s="433"/>
      <c r="D1039" s="435" t="s">
        <v>2005</v>
      </c>
      <c r="I1039" s="524"/>
    </row>
    <row r="1040" spans="1:9">
      <c r="A1040" s="433"/>
      <c r="B1040" s="433"/>
      <c r="C1040" s="433"/>
      <c r="D1040" s="433" t="s">
        <v>2004</v>
      </c>
      <c r="I1040" s="524"/>
    </row>
    <row r="1041" spans="1:9">
      <c r="A1041" s="433"/>
      <c r="B1041" s="433"/>
      <c r="C1041" s="433"/>
      <c r="D1041" s="435"/>
      <c r="I1041" s="524"/>
    </row>
    <row r="1042" spans="1:9">
      <c r="A1042" s="433"/>
      <c r="B1042" s="519" t="s">
        <v>2773</v>
      </c>
      <c r="C1042" s="433"/>
      <c r="D1042" s="1329" t="s">
        <v>2003</v>
      </c>
      <c r="E1042" s="1329"/>
      <c r="F1042" s="1329"/>
      <c r="I1042" s="524" t="s">
        <v>2112</v>
      </c>
    </row>
    <row r="1043" spans="1:9">
      <c r="A1043" s="433"/>
      <c r="B1043" s="433"/>
      <c r="C1043" s="433"/>
      <c r="D1043" s="1329"/>
      <c r="E1043" s="1329"/>
      <c r="F1043" s="1329"/>
      <c r="I1043" s="524"/>
    </row>
    <row r="1044" spans="1:9">
      <c r="A1044" s="433"/>
      <c r="B1044" s="433"/>
      <c r="C1044" s="433"/>
      <c r="D1044" s="1329"/>
      <c r="E1044" s="1329"/>
      <c r="F1044" s="1329"/>
      <c r="I1044" s="524"/>
    </row>
    <row r="1045" spans="1:9">
      <c r="A1045" s="433"/>
      <c r="B1045" s="433"/>
      <c r="C1045" s="433"/>
      <c r="D1045" s="1329"/>
      <c r="E1045" s="1329"/>
      <c r="F1045" s="1329"/>
      <c r="I1045" s="524"/>
    </row>
    <row r="1046" spans="1:9">
      <c r="A1046" s="433"/>
      <c r="B1046" s="433"/>
      <c r="C1046" s="433"/>
      <c r="I1046" s="524"/>
    </row>
    <row r="1047" spans="1:9">
      <c r="A1047" s="433"/>
      <c r="B1047" s="433"/>
      <c r="C1047" s="433"/>
      <c r="D1047" s="435" t="s">
        <v>1422</v>
      </c>
      <c r="I1047" s="524"/>
    </row>
    <row r="1048" spans="1:9">
      <c r="A1048" s="433"/>
      <c r="B1048" s="433"/>
      <c r="C1048" s="433"/>
      <c r="D1048" s="433" t="s">
        <v>2006</v>
      </c>
      <c r="I1048" s="524"/>
    </row>
    <row r="1049" spans="1:9">
      <c r="A1049" s="433"/>
      <c r="B1049" s="433"/>
      <c r="C1049" s="433"/>
      <c r="I1049" s="524"/>
    </row>
    <row r="1050" spans="1:9">
      <c r="A1050" s="433"/>
      <c r="B1050" s="519" t="s">
        <v>2774</v>
      </c>
      <c r="C1050" s="433"/>
      <c r="D1050" s="433" t="s">
        <v>2001</v>
      </c>
      <c r="I1050" s="524" t="s">
        <v>2113</v>
      </c>
    </row>
    <row r="1051" spans="1:9">
      <c r="A1051" s="433"/>
      <c r="B1051" s="433"/>
      <c r="C1051" s="433"/>
      <c r="I1051" s="524"/>
    </row>
    <row r="1052" spans="1:9">
      <c r="A1052" s="433"/>
      <c r="B1052" s="519" t="s">
        <v>2774</v>
      </c>
      <c r="C1052" s="433"/>
      <c r="D1052" s="1329" t="s">
        <v>2007</v>
      </c>
      <c r="E1052" s="1329"/>
      <c r="F1052" s="1329"/>
      <c r="I1052" s="524" t="s">
        <v>2114</v>
      </c>
    </row>
    <row r="1053" spans="1:9">
      <c r="A1053" s="433"/>
      <c r="B1053" s="433"/>
      <c r="C1053" s="433"/>
      <c r="D1053" s="1329"/>
      <c r="E1053" s="1329"/>
      <c r="F1053" s="1329"/>
      <c r="I1053" s="524"/>
    </row>
    <row r="1054" spans="1:9">
      <c r="A1054" s="433"/>
      <c r="B1054" s="433"/>
      <c r="C1054" s="433"/>
      <c r="D1054" s="1329"/>
      <c r="E1054" s="1329"/>
      <c r="F1054" s="1329"/>
      <c r="I1054" s="524"/>
    </row>
    <row r="1055" spans="1:9">
      <c r="A1055" s="433"/>
      <c r="B1055" s="433"/>
      <c r="C1055" s="433"/>
      <c r="D1055" s="1329"/>
      <c r="E1055" s="1329"/>
      <c r="F1055" s="1329"/>
      <c r="I1055" s="524"/>
    </row>
    <row r="1056" spans="1:9">
      <c r="A1056" s="433"/>
      <c r="B1056" s="433"/>
      <c r="C1056" s="433"/>
      <c r="D1056" s="1329"/>
      <c r="E1056" s="1329"/>
      <c r="F1056" s="1329"/>
      <c r="I1056" s="524"/>
    </row>
    <row r="1057" spans="1:9">
      <c r="A1057" s="433"/>
      <c r="B1057" s="433"/>
      <c r="C1057" s="433"/>
      <c r="I1057" s="524"/>
    </row>
    <row r="1058" spans="1:9">
      <c r="A1058" s="1313" t="s">
        <v>2008</v>
      </c>
      <c r="B1058" s="1313"/>
      <c r="C1058" s="1313"/>
      <c r="D1058" s="1313"/>
      <c r="E1058" s="1313"/>
      <c r="F1058" s="1313"/>
      <c r="G1058" s="1313"/>
      <c r="H1058" s="1063"/>
      <c r="I1058" s="1259"/>
    </row>
    <row r="1059" spans="1:9">
      <c r="A1059" s="433"/>
      <c r="B1059" s="433"/>
      <c r="C1059" s="433"/>
      <c r="I1059" s="524"/>
    </row>
    <row r="1060" spans="1:9">
      <c r="A1060" s="433"/>
      <c r="B1060" s="433"/>
      <c r="C1060" s="433"/>
      <c r="I1060" s="524"/>
    </row>
    <row r="1061" spans="1:9">
      <c r="A1061" s="433"/>
      <c r="B1061" s="519" t="s">
        <v>2774</v>
      </c>
      <c r="C1061" s="433"/>
      <c r="D1061" s="561" t="s">
        <v>2011</v>
      </c>
      <c r="I1061" s="524" t="s">
        <v>2115</v>
      </c>
    </row>
    <row r="1062" spans="1:9">
      <c r="A1062" s="433"/>
      <c r="B1062" s="433"/>
      <c r="C1062" s="433"/>
      <c r="D1062" s="561" t="s">
        <v>2013</v>
      </c>
      <c r="I1062" s="524"/>
    </row>
    <row r="1063" spans="1:9">
      <c r="A1063" s="433"/>
      <c r="B1063" s="433"/>
      <c r="C1063" s="433"/>
      <c r="D1063" s="561"/>
      <c r="I1063" s="524"/>
    </row>
    <row r="1064" spans="1:9">
      <c r="A1064" s="433"/>
      <c r="B1064" s="519" t="s">
        <v>2774</v>
      </c>
      <c r="C1064" s="433"/>
      <c r="D1064" s="561" t="s">
        <v>2014</v>
      </c>
      <c r="I1064" s="524" t="s">
        <v>2116</v>
      </c>
    </row>
    <row r="1065" spans="1:9">
      <c r="A1065" s="433"/>
      <c r="B1065" s="433"/>
      <c r="C1065" s="433"/>
      <c r="D1065" s="561" t="s">
        <v>2012</v>
      </c>
      <c r="I1065" s="524"/>
    </row>
    <row r="1066" spans="1:9">
      <c r="A1066" s="433"/>
      <c r="B1066" s="433"/>
      <c r="C1066" s="433"/>
      <c r="D1066" s="561"/>
      <c r="I1066" s="524"/>
    </row>
    <row r="1067" spans="1:9">
      <c r="A1067" s="433"/>
      <c r="B1067" s="519" t="s">
        <v>2773</v>
      </c>
      <c r="C1067" s="433"/>
      <c r="D1067" s="119" t="s">
        <v>2017</v>
      </c>
      <c r="I1067" s="524" t="s">
        <v>2117</v>
      </c>
    </row>
    <row r="1068" spans="1:9">
      <c r="A1068" s="433"/>
      <c r="B1068" s="433"/>
      <c r="C1068" s="433"/>
      <c r="D1068" s="1268" t="s">
        <v>2018</v>
      </c>
      <c r="E1068" s="1268"/>
      <c r="F1068" s="1268"/>
      <c r="I1068" s="524"/>
    </row>
    <row r="1069" spans="1:9">
      <c r="A1069" s="433"/>
      <c r="B1069" s="433"/>
      <c r="C1069" s="433"/>
      <c r="D1069" s="1268"/>
      <c r="E1069" s="1268"/>
      <c r="F1069" s="1268"/>
      <c r="I1069" s="524"/>
    </row>
    <row r="1070" spans="1:9">
      <c r="A1070" s="433"/>
      <c r="B1070" s="433"/>
      <c r="C1070" s="433"/>
      <c r="D1070" s="1268"/>
      <c r="E1070" s="1268"/>
      <c r="F1070" s="1268"/>
      <c r="I1070" s="524"/>
    </row>
    <row r="1071" spans="1:9">
      <c r="A1071" s="433"/>
      <c r="B1071" s="433"/>
      <c r="C1071" s="433"/>
      <c r="D1071" s="1268"/>
      <c r="E1071" s="1268"/>
      <c r="F1071" s="1268"/>
      <c r="I1071" s="524"/>
    </row>
    <row r="1072" spans="1:9">
      <c r="A1072" s="433"/>
      <c r="B1072" s="433"/>
      <c r="C1072" s="433"/>
      <c r="D1072" s="119" t="s">
        <v>2016</v>
      </c>
      <c r="I1072" s="524"/>
    </row>
    <row r="1073" spans="1:9">
      <c r="A1073" s="433"/>
      <c r="B1073" s="433"/>
      <c r="C1073" s="433"/>
      <c r="D1073" s="119"/>
      <c r="I1073" s="524"/>
    </row>
    <row r="1074" spans="1:9">
      <c r="A1074" s="433"/>
      <c r="B1074" s="433"/>
      <c r="C1074" s="433"/>
      <c r="D1074" s="561" t="s">
        <v>2009</v>
      </c>
      <c r="I1074" s="524" t="s">
        <v>2118</v>
      </c>
    </row>
    <row r="1075" spans="1:9">
      <c r="A1075" s="433"/>
      <c r="B1075" s="519" t="s">
        <v>2773</v>
      </c>
      <c r="C1075" s="433"/>
      <c r="D1075" s="1328" t="s">
        <v>2010</v>
      </c>
      <c r="E1075" s="1328"/>
      <c r="F1075" s="1328"/>
      <c r="I1075" s="524"/>
    </row>
    <row r="1076" spans="1:9">
      <c r="A1076" s="433"/>
      <c r="B1076" s="433"/>
      <c r="C1076" s="433"/>
      <c r="D1076" s="1328"/>
      <c r="E1076" s="1328"/>
      <c r="F1076" s="1328"/>
      <c r="I1076" s="524"/>
    </row>
    <row r="1077" spans="1:9">
      <c r="A1077" s="433"/>
      <c r="B1077" s="433"/>
      <c r="C1077" s="433"/>
      <c r="D1077" s="1328"/>
      <c r="E1077" s="1328"/>
      <c r="F1077" s="1328"/>
      <c r="I1077" s="524"/>
    </row>
    <row r="1078" spans="1:9">
      <c r="A1078" s="433"/>
      <c r="B1078" s="433"/>
      <c r="C1078" s="433"/>
      <c r="D1078" s="1328"/>
      <c r="E1078" s="1328"/>
      <c r="F1078" s="1328"/>
      <c r="I1078" s="524"/>
    </row>
    <row r="1079" spans="1:9">
      <c r="A1079" s="433"/>
      <c r="B1079" s="433"/>
      <c r="C1079" s="433"/>
      <c r="D1079" s="1328"/>
      <c r="E1079" s="1328"/>
      <c r="F1079" s="1328"/>
      <c r="I1079" s="524"/>
    </row>
    <row r="1080" spans="1:9">
      <c r="A1080" s="433"/>
      <c r="B1080" s="433"/>
      <c r="C1080" s="433"/>
      <c r="D1080" s="561" t="s">
        <v>2015</v>
      </c>
      <c r="I1080" s="524"/>
    </row>
    <row r="1081" spans="1:9">
      <c r="A1081" s="433"/>
      <c r="B1081" s="433"/>
      <c r="C1081" s="433"/>
      <c r="I1081" s="524"/>
    </row>
    <row r="1082" spans="1:9">
      <c r="A1082" s="1313" t="s">
        <v>2020</v>
      </c>
      <c r="B1082" s="1313"/>
      <c r="C1082" s="1313"/>
      <c r="D1082" s="1313"/>
      <c r="E1082" s="1313"/>
      <c r="F1082" s="1313"/>
      <c r="G1082" s="1313"/>
      <c r="H1082" s="1063"/>
      <c r="I1082" s="1259"/>
    </row>
    <row r="1083" spans="1:9">
      <c r="A1083" s="433"/>
      <c r="B1083" s="433"/>
      <c r="C1083" s="433"/>
      <c r="I1083" s="524"/>
    </row>
    <row r="1084" spans="1:9">
      <c r="A1084" s="433"/>
      <c r="B1084" s="433"/>
      <c r="C1084" s="433"/>
      <c r="I1084" s="524"/>
    </row>
    <row r="1085" spans="1:9" ht="12.75" customHeight="1">
      <c r="A1085" s="433"/>
      <c r="B1085" s="519" t="s">
        <v>2773</v>
      </c>
      <c r="C1085" s="433"/>
      <c r="D1085" s="1330" t="s">
        <v>2228</v>
      </c>
      <c r="E1085" s="1330"/>
      <c r="F1085" s="1330"/>
      <c r="I1085" s="524" t="s">
        <v>2119</v>
      </c>
    </row>
    <row r="1086" spans="1:9">
      <c r="A1086" s="433"/>
      <c r="B1086" s="433"/>
      <c r="C1086" s="433"/>
      <c r="D1086" s="1330"/>
      <c r="E1086" s="1330"/>
      <c r="F1086" s="1330"/>
      <c r="I1086" s="524"/>
    </row>
    <row r="1087" spans="1:9">
      <c r="A1087" s="433"/>
      <c r="B1087" s="433"/>
      <c r="C1087" s="433"/>
      <c r="D1087" s="1331" t="s">
        <v>2501</v>
      </c>
      <c r="E1087" s="1268"/>
      <c r="F1087" s="1268"/>
      <c r="I1087" s="524"/>
    </row>
    <row r="1088" spans="1:9">
      <c r="A1088" s="433"/>
      <c r="B1088" s="433"/>
      <c r="C1088" s="433"/>
      <c r="D1088" s="561"/>
      <c r="I1088" s="524"/>
    </row>
    <row r="1089" spans="1:9">
      <c r="A1089" s="433"/>
      <c r="B1089" s="519" t="s">
        <v>2773</v>
      </c>
      <c r="C1089" s="433"/>
      <c r="D1089" s="1328" t="s">
        <v>2021</v>
      </c>
      <c r="E1089" s="1328"/>
      <c r="F1089" s="1328"/>
      <c r="I1089" s="524" t="s">
        <v>2120</v>
      </c>
    </row>
    <row r="1090" spans="1:9">
      <c r="A1090" s="433"/>
      <c r="B1090" s="433"/>
      <c r="C1090" s="433"/>
      <c r="D1090" s="1328"/>
      <c r="E1090" s="1328"/>
      <c r="F1090" s="1328"/>
      <c r="I1090" s="524"/>
    </row>
    <row r="1091" spans="1:9">
      <c r="A1091" s="433"/>
      <c r="B1091" s="433"/>
      <c r="C1091" s="433"/>
      <c r="D1091" s="561"/>
      <c r="I1091" s="524"/>
    </row>
    <row r="1092" spans="1:9">
      <c r="A1092" s="433"/>
      <c r="B1092" s="519" t="s">
        <v>2773</v>
      </c>
      <c r="C1092" s="433"/>
      <c r="D1092" s="1328" t="s">
        <v>2164</v>
      </c>
      <c r="E1092" s="1328"/>
      <c r="F1092" s="1328"/>
      <c r="I1092" s="524" t="s">
        <v>2162</v>
      </c>
    </row>
    <row r="1093" spans="1:9">
      <c r="A1093" s="433"/>
      <c r="B1093" s="433"/>
      <c r="C1093" s="433"/>
      <c r="D1093" s="1328"/>
      <c r="E1093" s="1328"/>
      <c r="F1093" s="1328"/>
      <c r="I1093" s="524"/>
    </row>
    <row r="1094" spans="1:9">
      <c r="A1094" s="433"/>
      <c r="B1094" s="433"/>
      <c r="C1094" s="433"/>
      <c r="D1094" s="1328"/>
      <c r="E1094" s="1328"/>
      <c r="F1094" s="1328"/>
      <c r="I1094" s="524"/>
    </row>
    <row r="1095" spans="1:9">
      <c r="A1095" s="433"/>
      <c r="B1095" s="433"/>
      <c r="C1095" s="433"/>
      <c r="D1095" s="1328"/>
      <c r="E1095" s="1328"/>
      <c r="F1095" s="1328"/>
      <c r="I1095" s="524"/>
    </row>
    <row r="1096" spans="1:9">
      <c r="A1096" s="433"/>
      <c r="B1096" s="433"/>
      <c r="C1096" s="433"/>
      <c r="D1096" s="1328"/>
      <c r="E1096" s="1328"/>
      <c r="F1096" s="1328"/>
      <c r="I1096" s="524"/>
    </row>
    <row r="1097" spans="1:9">
      <c r="A1097" s="433"/>
      <c r="B1097" s="433"/>
      <c r="C1097" s="433"/>
      <c r="D1097" s="1328"/>
      <c r="E1097" s="1328"/>
      <c r="F1097" s="1328"/>
      <c r="I1097" s="524"/>
    </row>
    <row r="1098" spans="1:9">
      <c r="A1098" s="433"/>
      <c r="B1098" s="433"/>
      <c r="C1098" s="433"/>
      <c r="D1098" s="561" t="s">
        <v>2163</v>
      </c>
      <c r="I1098" s="514"/>
    </row>
    <row r="1099" spans="1:9">
      <c r="A1099" s="433"/>
      <c r="B1099" s="519" t="s">
        <v>2773</v>
      </c>
      <c r="C1099" s="433"/>
      <c r="D1099" s="1328" t="s">
        <v>2022</v>
      </c>
      <c r="E1099" s="1328"/>
      <c r="F1099" s="1328"/>
      <c r="I1099" s="524" t="s">
        <v>2121</v>
      </c>
    </row>
    <row r="1100" spans="1:9">
      <c r="A1100" s="433"/>
      <c r="B1100" s="433"/>
      <c r="C1100" s="433"/>
      <c r="D1100" s="1328"/>
      <c r="E1100" s="1328"/>
      <c r="F1100" s="1328"/>
      <c r="I1100" s="524"/>
    </row>
    <row r="1101" spans="1:9">
      <c r="A1101" s="433"/>
      <c r="B1101" s="433"/>
      <c r="C1101" s="433"/>
      <c r="D1101" s="1328"/>
      <c r="E1101" s="1328"/>
      <c r="F1101" s="1328"/>
      <c r="I1101" s="524"/>
    </row>
    <row r="1102" spans="1:9">
      <c r="A1102" s="433"/>
      <c r="B1102" s="433"/>
      <c r="C1102" s="433"/>
      <c r="D1102" s="561"/>
      <c r="I1102" s="524"/>
    </row>
    <row r="1103" spans="1:9">
      <c r="A1103" s="433"/>
      <c r="B1103" s="519" t="s">
        <v>2774</v>
      </c>
      <c r="C1103" s="433"/>
      <c r="D1103" s="1272" t="s">
        <v>2165</v>
      </c>
      <c r="E1103" s="1272"/>
      <c r="F1103" s="1272"/>
      <c r="I1103" s="524" t="s">
        <v>2122</v>
      </c>
    </row>
    <row r="1104" spans="1:9">
      <c r="A1104" s="433"/>
      <c r="B1104" s="433"/>
      <c r="C1104" s="433"/>
      <c r="D1104" s="1272"/>
      <c r="E1104" s="1272"/>
      <c r="F1104" s="1272"/>
      <c r="I1104" s="524"/>
    </row>
    <row r="1105" spans="1:9">
      <c r="A1105" s="433"/>
      <c r="B1105" s="433"/>
      <c r="C1105" s="433"/>
      <c r="D1105" s="1272"/>
      <c r="E1105" s="1272"/>
      <c r="F1105" s="1272"/>
      <c r="I1105" s="524"/>
    </row>
    <row r="1106" spans="1:9">
      <c r="A1106" s="433"/>
      <c r="B1106" s="433"/>
      <c r="C1106" s="433"/>
      <c r="D1106" s="1015"/>
      <c r="E1106" s="1015"/>
      <c r="F1106" s="1015"/>
      <c r="I1106" s="524"/>
    </row>
    <row r="1107" spans="1:9" ht="15.75" customHeight="1">
      <c r="A1107" s="433"/>
      <c r="B1107" s="519" t="s">
        <v>2774</v>
      </c>
      <c r="C1107" s="433"/>
      <c r="D1107" s="1268" t="s">
        <v>2167</v>
      </c>
      <c r="E1107" s="1268"/>
      <c r="F1107" s="1268"/>
      <c r="I1107" s="524" t="s">
        <v>2166</v>
      </c>
    </row>
    <row r="1108" spans="1:9">
      <c r="A1108" s="433"/>
      <c r="B1108" s="433"/>
      <c r="C1108" s="433"/>
      <c r="D1108" s="1268"/>
      <c r="E1108" s="1268"/>
      <c r="F1108" s="1268"/>
      <c r="I1108" s="524"/>
    </row>
    <row r="1109" spans="1:9">
      <c r="A1109" s="433"/>
      <c r="B1109" s="433"/>
      <c r="C1109" s="433"/>
      <c r="D1109" s="1268"/>
      <c r="E1109" s="1268"/>
      <c r="F1109" s="1268"/>
      <c r="I1109" s="524"/>
    </row>
    <row r="1110" spans="1:9">
      <c r="A1110" s="433"/>
      <c r="B1110" s="433"/>
      <c r="C1110" s="433"/>
      <c r="D1110" s="1268"/>
      <c r="E1110" s="1268"/>
      <c r="F1110" s="1268"/>
      <c r="I1110" s="524"/>
    </row>
    <row r="1111" spans="1:9">
      <c r="A1111" s="433"/>
      <c r="B1111" s="433"/>
      <c r="C1111" s="433"/>
      <c r="D1111" s="1015"/>
      <c r="E1111" s="1015"/>
      <c r="F1111" s="1015"/>
      <c r="I1111" s="524"/>
    </row>
    <row r="1112" spans="1:9" ht="38.25">
      <c r="A1112" s="433"/>
      <c r="B1112" s="433"/>
      <c r="C1112" s="433"/>
      <c r="I1112" s="1265" t="s">
        <v>2385</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94"/>
      <c r="H1525" s="1294"/>
      <c r="I1525" s="1294"/>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6"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topLeftCell="A507" zoomScaleNormal="100" workbookViewId="0">
      <selection activeCell="H298" sqref="H298:R298"/>
    </sheetView>
  </sheetViews>
  <sheetFormatPr defaultColWidth="0" defaultRowHeight="0" customHeight="1" zeroHeight="1"/>
  <cols>
    <col min="1" max="36" width="2.42578125" customWidth="1"/>
    <col min="37" max="37" width="2.85546875" customWidth="1"/>
    <col min="38" max="45" width="2.42578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435" t="s">
        <v>100</v>
      </c>
      <c r="B8" s="1435"/>
      <c r="C8" s="1435"/>
      <c r="D8" s="1435"/>
      <c r="E8" s="1435"/>
      <c r="F8" s="1435"/>
      <c r="G8" s="1435"/>
      <c r="H8" s="1435"/>
      <c r="I8" s="1435"/>
      <c r="J8" s="1435"/>
      <c r="K8" s="1435"/>
      <c r="L8" s="1435"/>
      <c r="M8" s="1435"/>
      <c r="N8" s="1435"/>
      <c r="O8" s="1435"/>
      <c r="P8" s="1435"/>
      <c r="Q8" s="1435"/>
      <c r="R8" s="1435"/>
      <c r="S8" s="1435"/>
      <c r="T8" s="1435"/>
      <c r="U8" s="1435"/>
      <c r="V8" s="1435"/>
      <c r="W8" s="1435"/>
      <c r="X8" s="1435"/>
      <c r="Y8" s="1435"/>
      <c r="Z8" s="1435"/>
      <c r="AA8" s="1435"/>
      <c r="AB8" s="1435"/>
      <c r="AC8" s="1435"/>
      <c r="AD8" s="1435"/>
      <c r="AE8" s="1435"/>
      <c r="AF8" s="1435"/>
      <c r="AG8" s="1435"/>
      <c r="AH8" s="1435"/>
      <c r="AI8" s="1435"/>
      <c r="AJ8" s="1435"/>
      <c r="AK8" s="1435"/>
      <c r="AL8" s="1435"/>
      <c r="AM8" s="1435"/>
      <c r="AN8" s="1435"/>
      <c r="AO8" s="1435"/>
      <c r="AP8" s="1435"/>
      <c r="AQ8" s="1435"/>
      <c r="AR8" s="1435"/>
      <c r="AS8" s="1435"/>
      <c r="AT8" s="1435"/>
      <c r="AU8" s="933"/>
      <c r="AV8" s="933"/>
      <c r="AW8" s="933"/>
      <c r="AX8" s="933"/>
      <c r="AY8" s="933"/>
    </row>
    <row r="9" spans="1:51" ht="12.95" customHeight="1">
      <c r="A9" s="1304" t="s">
        <v>2391</v>
      </c>
      <c r="B9" s="1304"/>
      <c r="C9" s="1304"/>
      <c r="D9" s="1304"/>
      <c r="E9" s="1304"/>
      <c r="F9" s="1304"/>
      <c r="G9" s="1304"/>
      <c r="H9" s="1304"/>
      <c r="I9" s="1304"/>
      <c r="J9" s="1304"/>
      <c r="K9" s="1304"/>
      <c r="L9" s="1304"/>
      <c r="M9" s="1304"/>
      <c r="N9" s="1304"/>
      <c r="O9" s="1304"/>
      <c r="P9" s="1304"/>
      <c r="Q9" s="1304"/>
      <c r="R9" s="1304"/>
      <c r="S9" s="1304"/>
      <c r="T9" s="1304"/>
      <c r="U9" s="1304"/>
      <c r="V9" s="1304"/>
      <c r="W9" s="1304"/>
      <c r="X9" s="1304"/>
      <c r="Y9" s="1304"/>
      <c r="Z9" s="1304"/>
      <c r="AA9" s="1304"/>
      <c r="AB9" s="1304"/>
      <c r="AC9" s="1304"/>
      <c r="AD9" s="1304"/>
      <c r="AE9" s="1304"/>
      <c r="AF9" s="1304"/>
      <c r="AG9" s="1304"/>
      <c r="AH9" s="1304"/>
      <c r="AI9" s="1304"/>
      <c r="AJ9" s="1304"/>
      <c r="AK9" s="1304"/>
      <c r="AL9" s="1304"/>
      <c r="AM9" s="1304"/>
      <c r="AN9" s="1304"/>
      <c r="AO9" s="1304"/>
      <c r="AP9" s="1304"/>
      <c r="AQ9" s="1304"/>
      <c r="AR9" s="1304"/>
      <c r="AS9" s="1304"/>
      <c r="AT9" s="1304"/>
      <c r="AU9" s="13"/>
      <c r="AV9" s="13"/>
      <c r="AW9" s="13"/>
      <c r="AX9" s="13"/>
      <c r="AY9" s="13"/>
    </row>
    <row r="10" spans="1:51" ht="12.95" customHeight="1">
      <c r="A10" s="1304" t="s">
        <v>2582</v>
      </c>
      <c r="B10" s="1304"/>
      <c r="C10" s="1304"/>
      <c r="D10" s="1304"/>
      <c r="E10" s="1304"/>
      <c r="F10" s="1304"/>
      <c r="G10" s="1304"/>
      <c r="H10" s="1304"/>
      <c r="I10" s="1304"/>
      <c r="J10" s="1304"/>
      <c r="K10" s="1304"/>
      <c r="L10" s="1304"/>
      <c r="M10" s="1304"/>
      <c r="N10" s="1304"/>
      <c r="O10" s="1304"/>
      <c r="P10" s="1304"/>
      <c r="Q10" s="1304"/>
      <c r="R10" s="1304"/>
      <c r="S10" s="1304"/>
      <c r="T10" s="1304"/>
      <c r="U10" s="1304"/>
      <c r="V10" s="1304"/>
      <c r="W10" s="1304"/>
      <c r="X10" s="1304"/>
      <c r="Y10" s="1304"/>
      <c r="Z10" s="1304"/>
      <c r="AA10" s="1304"/>
      <c r="AB10" s="1304"/>
      <c r="AC10" s="1304"/>
      <c r="AD10" s="1304"/>
      <c r="AE10" s="1304"/>
      <c r="AF10" s="1304"/>
      <c r="AG10" s="1304"/>
      <c r="AH10" s="1304"/>
      <c r="AI10" s="1304"/>
      <c r="AJ10" s="1304"/>
      <c r="AK10" s="1304"/>
      <c r="AL10" s="1304"/>
      <c r="AM10" s="1304"/>
      <c r="AN10" s="1304"/>
      <c r="AO10" s="1304"/>
      <c r="AP10" s="1304"/>
      <c r="AQ10" s="1304"/>
      <c r="AR10" s="1304"/>
      <c r="AS10" s="1304"/>
      <c r="AT10" s="1304"/>
      <c r="AU10" s="13"/>
      <c r="AV10" s="13"/>
      <c r="AW10" s="13"/>
      <c r="AX10" s="13"/>
      <c r="AY10" s="13"/>
    </row>
    <row r="11" spans="1:51" ht="12.95" customHeight="1">
      <c r="A11" s="1304" t="s">
        <v>1769</v>
      </c>
      <c r="B11" s="1304"/>
      <c r="C11" s="1304"/>
      <c r="D11" s="1304"/>
      <c r="E11" s="1304"/>
      <c r="F11" s="1304"/>
      <c r="G11" s="1304"/>
      <c r="H11" s="1304"/>
      <c r="I11" s="1304"/>
      <c r="J11" s="1304"/>
      <c r="K11" s="1304"/>
      <c r="L11" s="1304"/>
      <c r="M11" s="1304"/>
      <c r="N11" s="1304"/>
      <c r="O11" s="1304"/>
      <c r="P11" s="1304"/>
      <c r="Q11" s="1304"/>
      <c r="R11" s="1304"/>
      <c r="S11" s="1304"/>
      <c r="T11" s="1304"/>
      <c r="U11" s="1304"/>
      <c r="V11" s="1304"/>
      <c r="W11" s="1304"/>
      <c r="X11" s="1304"/>
      <c r="Y11" s="1304"/>
      <c r="Z11" s="1304"/>
      <c r="AA11" s="1304"/>
      <c r="AB11" s="1304"/>
      <c r="AC11" s="1304"/>
      <c r="AD11" s="1304"/>
      <c r="AE11" s="1304"/>
      <c r="AF11" s="1304"/>
      <c r="AG11" s="1304"/>
      <c r="AH11" s="1304"/>
      <c r="AI11" s="1304"/>
      <c r="AJ11" s="1304"/>
      <c r="AK11" s="1304"/>
      <c r="AL11" s="1304"/>
      <c r="AM11" s="1304"/>
      <c r="AN11" s="1304"/>
      <c r="AO11" s="1304"/>
      <c r="AP11" s="1304"/>
      <c r="AQ11" s="1304"/>
      <c r="AR11" s="1304"/>
      <c r="AS11" s="1304"/>
      <c r="AT11" s="1304"/>
      <c r="AU11" s="13"/>
      <c r="AV11" s="13"/>
      <c r="AW11" s="13"/>
      <c r="AX11" s="13"/>
      <c r="AY11" s="13"/>
    </row>
    <row r="12" spans="1:51" ht="12.95" customHeight="1">
      <c r="A12" s="1436" t="s">
        <v>2635</v>
      </c>
      <c r="B12" s="1436"/>
      <c r="C12" s="1436"/>
      <c r="D12" s="1436"/>
      <c r="E12" s="1436"/>
      <c r="F12" s="1436"/>
      <c r="G12" s="1436"/>
      <c r="H12" s="1436"/>
      <c r="I12" s="1436"/>
      <c r="J12" s="1436"/>
      <c r="K12" s="1436"/>
      <c r="L12" s="1436"/>
      <c r="M12" s="1436"/>
      <c r="N12" s="1436"/>
      <c r="O12" s="1436"/>
      <c r="P12" s="1436"/>
      <c r="Q12" s="1436"/>
      <c r="R12" s="1436"/>
      <c r="S12" s="1436"/>
      <c r="T12" s="1436"/>
      <c r="U12" s="1436"/>
      <c r="V12" s="1436"/>
      <c r="W12" s="1436"/>
      <c r="X12" s="1436"/>
      <c r="Y12" s="1436"/>
      <c r="Z12" s="1436"/>
      <c r="AA12" s="1436"/>
      <c r="AB12" s="1436"/>
      <c r="AC12" s="1436"/>
      <c r="AD12" s="1436"/>
      <c r="AE12" s="1436"/>
      <c r="AF12" s="1436"/>
      <c r="AG12" s="1436"/>
      <c r="AH12" s="1436"/>
      <c r="AI12" s="1436"/>
      <c r="AJ12" s="1436"/>
      <c r="AK12" s="1436"/>
      <c r="AL12" s="1436"/>
      <c r="AM12" s="1436"/>
      <c r="AN12" s="1436"/>
      <c r="AO12" s="1436"/>
      <c r="AP12" s="1436"/>
      <c r="AQ12" s="1436"/>
      <c r="AR12" s="1436"/>
      <c r="AS12" s="1436"/>
      <c r="AT12" s="1436"/>
      <c r="AU12" s="6"/>
      <c r="AV12" s="6"/>
      <c r="AW12" s="6"/>
      <c r="AX12" s="6"/>
      <c r="AY12" s="6"/>
    </row>
    <row r="13" spans="1:51" ht="12.95" customHeight="1">
      <c r="A13" s="1266" t="s">
        <v>2392</v>
      </c>
      <c r="B13" s="1266"/>
      <c r="C13" s="1266"/>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1266"/>
      <c r="AM13" s="1266"/>
      <c r="AN13" s="1266"/>
      <c r="AO13" s="1266"/>
      <c r="AP13" s="1266"/>
      <c r="AQ13" s="1266"/>
      <c r="AR13" s="1266"/>
      <c r="AS13" s="1266"/>
      <c r="AT13" s="1266"/>
      <c r="AU13" s="934"/>
      <c r="AV13" s="934"/>
      <c r="AW13" s="934"/>
      <c r="AX13" s="934"/>
      <c r="AY13" s="934"/>
    </row>
    <row r="14" spans="1:51" ht="12.95" customHeight="1">
      <c r="A14" s="1266"/>
      <c r="B14" s="1266"/>
      <c r="C14" s="1266"/>
      <c r="D14" s="1266"/>
      <c r="E14" s="1266"/>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1266"/>
      <c r="AM14" s="1266"/>
      <c r="AN14" s="1266"/>
      <c r="AO14" s="1266"/>
      <c r="AP14" s="1266"/>
      <c r="AQ14" s="1266"/>
      <c r="AR14" s="1266"/>
      <c r="AS14" s="1266"/>
      <c r="AT14" s="1266"/>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2393</v>
      </c>
      <c r="C16" s="4"/>
      <c r="D16" s="4"/>
      <c r="E16" s="4"/>
      <c r="F16" s="4"/>
      <c r="G16" s="4"/>
      <c r="H16" s="1443" t="s">
        <v>2637</v>
      </c>
      <c r="I16" s="1444"/>
      <c r="J16" s="1444"/>
      <c r="K16" s="1444"/>
      <c r="L16" s="1444"/>
      <c r="M16" s="1444"/>
      <c r="N16" s="1444"/>
      <c r="O16" s="1444"/>
      <c r="P16" s="1444"/>
      <c r="Q16" s="1444"/>
      <c r="R16" s="1444"/>
      <c r="S16" s="1444"/>
      <c r="T16" s="1444"/>
      <c r="U16" s="1444"/>
      <c r="V16" s="1444"/>
      <c r="W16" s="1444"/>
      <c r="X16" s="1444"/>
      <c r="Y16" s="1444"/>
      <c r="Z16" s="1444"/>
      <c r="AA16" s="1444"/>
      <c r="AB16" s="1444"/>
      <c r="AC16" s="1444"/>
      <c r="AD16" s="1444"/>
      <c r="AE16" s="1444"/>
      <c r="AF16" s="1444"/>
      <c r="AG16" s="1444"/>
      <c r="AH16" s="1444"/>
      <c r="AI16" s="1444"/>
      <c r="AJ16" s="1444"/>
    </row>
    <row r="17" spans="1:52" ht="12.95" customHeight="1"/>
    <row r="18" spans="1:52" ht="12.95" customHeight="1">
      <c r="A18" s="57" t="s">
        <v>101</v>
      </c>
      <c r="C18" s="4"/>
      <c r="D18" s="4"/>
      <c r="E18" s="4"/>
      <c r="F18" s="4"/>
      <c r="G18" s="4"/>
      <c r="H18" s="1356" t="s">
        <v>2695</v>
      </c>
      <c r="I18" s="1441"/>
      <c r="J18" s="1441"/>
      <c r="K18" s="1441"/>
      <c r="L18" s="1441"/>
      <c r="M18" s="1441"/>
      <c r="N18" s="1441"/>
      <c r="O18" s="1441"/>
      <c r="P18" s="1441"/>
      <c r="Q18" s="1441"/>
      <c r="R18" s="1441"/>
      <c r="S18" s="1441"/>
      <c r="T18" s="1441"/>
      <c r="U18" s="1441"/>
      <c r="V18" s="1441"/>
      <c r="W18" s="1441"/>
      <c r="X18" s="1441"/>
      <c r="Y18" s="1441"/>
      <c r="Z18" s="1441"/>
      <c r="AA18" s="1441"/>
      <c r="AB18" s="1441"/>
      <c r="AC18" s="1441"/>
      <c r="AD18" s="1441"/>
      <c r="AE18" s="1441"/>
      <c r="AF18" s="1441"/>
      <c r="AG18" s="1441"/>
      <c r="AH18" s="1441"/>
      <c r="AI18" s="1441"/>
      <c r="AJ18" s="1441"/>
    </row>
    <row r="19" spans="1:52" ht="12.95" customHeight="1"/>
    <row r="20" spans="1:52" ht="12.95" customHeight="1">
      <c r="A20" s="1437" t="s">
        <v>883</v>
      </c>
      <c r="B20" s="1437"/>
      <c r="C20" s="1437"/>
      <c r="D20" s="1437"/>
      <c r="E20" s="1437"/>
      <c r="F20" s="1437"/>
      <c r="G20" s="1437"/>
      <c r="H20" s="1437"/>
      <c r="I20" s="1437"/>
      <c r="J20" s="1437"/>
      <c r="K20" s="1437"/>
      <c r="L20" s="1437"/>
      <c r="M20" s="1437"/>
      <c r="N20" s="1437"/>
      <c r="O20" s="1437"/>
      <c r="P20" s="1437"/>
      <c r="Q20" s="1437"/>
      <c r="R20" s="1437"/>
      <c r="S20" s="1437"/>
      <c r="T20" s="1437"/>
      <c r="U20" s="1437"/>
      <c r="V20" s="1437"/>
      <c r="W20" s="1437"/>
      <c r="X20" s="1437"/>
      <c r="Y20" s="1437"/>
      <c r="Z20" s="1437"/>
      <c r="AA20" s="1437"/>
      <c r="AB20" s="1437"/>
      <c r="AC20" s="1437"/>
      <c r="AD20" s="1437"/>
      <c r="AE20" s="1437"/>
      <c r="AF20" s="1437"/>
      <c r="AG20" s="1437"/>
      <c r="AH20" s="1437"/>
      <c r="AI20" s="1437"/>
      <c r="AJ20" s="1437"/>
      <c r="AK20" s="1437"/>
      <c r="AL20" s="1437"/>
      <c r="AM20" s="1437"/>
      <c r="AN20" s="1437"/>
      <c r="AO20" s="1437"/>
      <c r="AP20" s="1437"/>
      <c r="AQ20" s="1437"/>
      <c r="AR20" s="1437"/>
      <c r="AS20" s="1437"/>
      <c r="AT20" s="1437"/>
      <c r="AU20" s="935"/>
      <c r="AV20" s="935"/>
      <c r="AW20" s="935"/>
      <c r="AX20" s="935"/>
      <c r="AY20" s="935"/>
    </row>
    <row r="21" spans="1:52" ht="12.95" customHeight="1">
      <c r="A21" s="1445" t="s">
        <v>1031</v>
      </c>
      <c r="B21" s="1445"/>
      <c r="C21" s="1445"/>
      <c r="D21" s="1445"/>
      <c r="E21" s="1445"/>
      <c r="F21" s="1445"/>
      <c r="G21" s="1445"/>
      <c r="H21" s="1445"/>
      <c r="I21" s="1445"/>
      <c r="J21" s="1445"/>
      <c r="K21" s="1445"/>
      <c r="L21" s="1445"/>
      <c r="M21" s="1445"/>
      <c r="N21" s="1445"/>
      <c r="O21" s="1445"/>
      <c r="P21" s="1445"/>
      <c r="Q21" s="1445"/>
      <c r="R21" s="1445"/>
      <c r="S21" s="1445"/>
      <c r="T21" s="1445"/>
      <c r="U21" s="1445"/>
      <c r="V21" s="1445"/>
      <c r="W21" s="1445"/>
      <c r="X21" s="1445"/>
      <c r="Y21" s="1445"/>
      <c r="Z21" s="1445"/>
      <c r="AA21" s="1445"/>
      <c r="AB21" s="1445"/>
      <c r="AC21" s="1445"/>
      <c r="AD21" s="1445"/>
      <c r="AE21" s="1445"/>
      <c r="AF21" s="1445"/>
      <c r="AG21" s="1445"/>
      <c r="AH21" s="1445"/>
      <c r="AI21" s="1445"/>
      <c r="AJ21" s="1445"/>
      <c r="AK21" s="1445"/>
      <c r="AL21" s="1445"/>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30" t="s">
        <v>2507</v>
      </c>
      <c r="B23" s="1330"/>
      <c r="C23" s="1330"/>
      <c r="D23" s="1330"/>
      <c r="E23" s="1330"/>
      <c r="F23" s="1330"/>
      <c r="G23" s="1330"/>
      <c r="H23" s="1330"/>
      <c r="I23" s="1330"/>
      <c r="J23" s="1330"/>
      <c r="K23" s="1330"/>
      <c r="L23" s="1330"/>
      <c r="M23" s="1330"/>
      <c r="N23" s="1330"/>
      <c r="O23" s="1330"/>
      <c r="P23" s="1330"/>
      <c r="Q23" s="1330"/>
      <c r="R23" s="1330"/>
      <c r="S23" s="1330"/>
      <c r="T23" s="1330"/>
      <c r="U23" s="1330"/>
      <c r="V23" s="1330"/>
      <c r="W23" s="1330"/>
      <c r="X23" s="1330"/>
      <c r="Y23" s="1330"/>
      <c r="Z23" s="1330"/>
      <c r="AA23" s="1330"/>
      <c r="AB23" s="1330"/>
      <c r="AC23" s="1330"/>
      <c r="AD23" s="1330"/>
      <c r="AE23" s="1330"/>
      <c r="AF23" s="1330"/>
      <c r="AG23" s="1330"/>
      <c r="AH23" s="1330"/>
      <c r="AI23" s="1330"/>
      <c r="AJ23" s="1330"/>
      <c r="AK23" s="1330"/>
      <c r="AL23" s="1330"/>
      <c r="AM23" s="1330"/>
      <c r="AN23" s="1330"/>
      <c r="AO23" s="1330"/>
      <c r="AP23" s="1330"/>
      <c r="AQ23" s="1330"/>
      <c r="AR23" s="1330"/>
      <c r="AS23" s="1330"/>
      <c r="AT23" s="1330"/>
      <c r="AU23" s="18"/>
      <c r="AV23" s="18"/>
      <c r="AW23" s="18"/>
      <c r="AX23" s="18"/>
      <c r="AY23" s="18"/>
      <c r="AZ23" s="18"/>
    </row>
    <row r="24" spans="1:52" ht="12.95" customHeight="1">
      <c r="A24" s="1330"/>
      <c r="B24" s="1330"/>
      <c r="C24" s="1330"/>
      <c r="D24" s="1330"/>
      <c r="E24" s="1330"/>
      <c r="F24" s="1330"/>
      <c r="G24" s="1330"/>
      <c r="H24" s="1330"/>
      <c r="I24" s="1330"/>
      <c r="J24" s="1330"/>
      <c r="K24" s="1330"/>
      <c r="L24" s="1330"/>
      <c r="M24" s="1330"/>
      <c r="N24" s="1330"/>
      <c r="O24" s="1330"/>
      <c r="P24" s="1330"/>
      <c r="Q24" s="1330"/>
      <c r="R24" s="1330"/>
      <c r="S24" s="1330"/>
      <c r="T24" s="1330"/>
      <c r="U24" s="1330"/>
      <c r="V24" s="1330"/>
      <c r="W24" s="1330"/>
      <c r="X24" s="1330"/>
      <c r="Y24" s="1330"/>
      <c r="Z24" s="1330"/>
      <c r="AA24" s="1330"/>
      <c r="AB24" s="1330"/>
      <c r="AC24" s="1330"/>
      <c r="AD24" s="1330"/>
      <c r="AE24" s="1330"/>
      <c r="AF24" s="1330"/>
      <c r="AG24" s="1330"/>
      <c r="AH24" s="1330"/>
      <c r="AI24" s="1330"/>
      <c r="AJ24" s="1330"/>
      <c r="AK24" s="1330"/>
      <c r="AL24" s="1330"/>
      <c r="AM24" s="1330"/>
      <c r="AN24" s="1330"/>
      <c r="AO24" s="1330"/>
      <c r="AP24" s="1330"/>
      <c r="AQ24" s="1330"/>
      <c r="AR24" s="1330"/>
      <c r="AS24" s="1330"/>
      <c r="AT24" s="1330"/>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442">
        <f>'Basis &amp; Credits'!AB56</f>
        <v>5080757</v>
      </c>
      <c r="N26" s="1442"/>
      <c r="O26" s="1442"/>
      <c r="P26" s="1442"/>
      <c r="Q26" s="1442"/>
      <c r="R26" s="4" t="s">
        <v>767</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82">
        <f>'Basis &amp; Credits'!AB77</f>
        <v>2136060</v>
      </c>
      <c r="N27" s="1382"/>
      <c r="O27" s="1382"/>
      <c r="P27" s="1382"/>
      <c r="Q27" s="1382"/>
      <c r="R27" s="3" t="s">
        <v>1375</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438" t="s">
        <v>2508</v>
      </c>
      <c r="B29" s="1438"/>
      <c r="C29" s="1438"/>
      <c r="D29" s="1438"/>
      <c r="E29" s="1438"/>
      <c r="F29" s="1438"/>
      <c r="G29" s="1438"/>
      <c r="H29" s="1438"/>
      <c r="I29" s="1438"/>
      <c r="J29" s="1438"/>
      <c r="K29" s="1438"/>
      <c r="L29" s="1438"/>
      <c r="M29" s="1438"/>
      <c r="N29" s="1438"/>
      <c r="O29" s="1438"/>
      <c r="P29" s="1438"/>
      <c r="Q29" s="1438"/>
      <c r="R29" s="1438"/>
      <c r="S29" s="1438"/>
      <c r="T29" s="1438"/>
      <c r="U29" s="1438"/>
      <c r="V29" s="1438"/>
      <c r="W29" s="1438"/>
      <c r="X29" s="1438"/>
      <c r="Y29" s="1438"/>
      <c r="Z29" s="1438"/>
      <c r="AA29" s="1438"/>
      <c r="AB29" s="1438"/>
      <c r="AC29" s="1438"/>
      <c r="AD29" s="1438"/>
      <c r="AE29" s="1438"/>
      <c r="AF29" s="1438"/>
      <c r="AG29" s="1438"/>
      <c r="AH29" s="1438"/>
      <c r="AI29" s="1438"/>
      <c r="AJ29" s="1438"/>
      <c r="AK29" s="1438"/>
      <c r="AL29" s="1438"/>
      <c r="AM29" s="1438"/>
      <c r="AN29" s="1438"/>
      <c r="AO29" s="1438"/>
      <c r="AP29" s="1438"/>
      <c r="AQ29" s="1438"/>
      <c r="AR29" s="1438"/>
      <c r="AS29" s="1438"/>
      <c r="AT29" s="1438"/>
    </row>
    <row r="30" spans="1:52" ht="12.95" customHeight="1">
      <c r="A30" s="1438"/>
      <c r="B30" s="1438"/>
      <c r="C30" s="1438"/>
      <c r="D30" s="1438"/>
      <c r="E30" s="1438"/>
      <c r="F30" s="1438"/>
      <c r="G30" s="1438"/>
      <c r="H30" s="1438"/>
      <c r="I30" s="1438"/>
      <c r="J30" s="1438"/>
      <c r="K30" s="1438"/>
      <c r="L30" s="1438"/>
      <c r="M30" s="1438"/>
      <c r="N30" s="1438"/>
      <c r="O30" s="1438"/>
      <c r="P30" s="1438"/>
      <c r="Q30" s="1438"/>
      <c r="R30" s="1438"/>
      <c r="S30" s="1438"/>
      <c r="T30" s="1438"/>
      <c r="U30" s="1438"/>
      <c r="V30" s="1438"/>
      <c r="W30" s="1438"/>
      <c r="X30" s="1438"/>
      <c r="Y30" s="1438"/>
      <c r="Z30" s="1438"/>
      <c r="AA30" s="1438"/>
      <c r="AB30" s="1438"/>
      <c r="AC30" s="1438"/>
      <c r="AD30" s="1438"/>
      <c r="AE30" s="1438"/>
      <c r="AF30" s="1438"/>
      <c r="AG30" s="1438"/>
      <c r="AH30" s="1438"/>
      <c r="AI30" s="1438"/>
      <c r="AJ30" s="1438"/>
      <c r="AK30" s="1438"/>
      <c r="AL30" s="1438"/>
      <c r="AM30" s="1438"/>
      <c r="AN30" s="1438"/>
      <c r="AO30" s="1438"/>
      <c r="AP30" s="1438"/>
      <c r="AQ30" s="1438"/>
      <c r="AR30" s="1438"/>
      <c r="AS30" s="1438"/>
      <c r="AT30" s="1438"/>
      <c r="AZ30" s="20"/>
    </row>
    <row r="31" spans="1:52" ht="12.95" customHeight="1">
      <c r="A31" s="1438"/>
      <c r="B31" s="1438"/>
      <c r="C31" s="1438"/>
      <c r="D31" s="1438"/>
      <c r="E31" s="1438"/>
      <c r="F31" s="1438"/>
      <c r="G31" s="1438"/>
      <c r="H31" s="1438"/>
      <c r="I31" s="1438"/>
      <c r="J31" s="1438"/>
      <c r="K31" s="1438"/>
      <c r="L31" s="1438"/>
      <c r="M31" s="1438"/>
      <c r="N31" s="1438"/>
      <c r="O31" s="1438"/>
      <c r="P31" s="1438"/>
      <c r="Q31" s="1438"/>
      <c r="R31" s="1438"/>
      <c r="S31" s="1438"/>
      <c r="T31" s="1438"/>
      <c r="U31" s="1438"/>
      <c r="V31" s="1438"/>
      <c r="W31" s="1438"/>
      <c r="X31" s="1438"/>
      <c r="Y31" s="1438"/>
      <c r="Z31" s="1438"/>
      <c r="AA31" s="1438"/>
      <c r="AB31" s="1438"/>
      <c r="AC31" s="1438"/>
      <c r="AD31" s="1438"/>
      <c r="AE31" s="1438"/>
      <c r="AF31" s="1438"/>
      <c r="AG31" s="1438"/>
      <c r="AH31" s="1438"/>
      <c r="AI31" s="1438"/>
      <c r="AJ31" s="1438"/>
      <c r="AK31" s="1438"/>
      <c r="AL31" s="1438"/>
      <c r="AM31" s="1438"/>
      <c r="AN31" s="1438"/>
      <c r="AO31" s="1438"/>
      <c r="AP31" s="1438"/>
      <c r="AQ31" s="1438"/>
      <c r="AR31" s="1438"/>
      <c r="AS31" s="1438"/>
      <c r="AT31" s="1438"/>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1386</v>
      </c>
      <c r="C33" s="553"/>
      <c r="D33" s="553"/>
      <c r="E33" s="553"/>
      <c r="F33" s="553"/>
      <c r="G33" s="553"/>
      <c r="H33" s="553"/>
      <c r="I33" s="553"/>
      <c r="J33" s="553"/>
      <c r="K33" s="553"/>
      <c r="L33" s="553"/>
      <c r="M33" s="553"/>
      <c r="N33" s="553"/>
      <c r="O33" s="1358" t="s">
        <v>676</v>
      </c>
      <c r="P33" s="1358"/>
      <c r="Q33" s="1439" t="s">
        <v>2509</v>
      </c>
      <c r="R33" s="1439"/>
      <c r="S33" s="1439"/>
      <c r="T33" s="1439"/>
      <c r="U33" s="1439"/>
      <c r="V33" s="1439"/>
      <c r="W33" s="1439"/>
      <c r="X33" s="1439"/>
      <c r="Y33" s="1439"/>
      <c r="Z33" s="1439"/>
      <c r="AA33" s="1439"/>
      <c r="AB33" s="1439"/>
      <c r="AC33" s="1439"/>
      <c r="AD33" s="1439"/>
      <c r="AE33" s="1439"/>
      <c r="AF33" s="1439"/>
      <c r="AG33" s="1439"/>
      <c r="AH33" s="1439"/>
      <c r="AI33" s="1439"/>
      <c r="AJ33" s="1439"/>
      <c r="AK33" s="1439"/>
      <c r="AL33" s="1439"/>
      <c r="AM33" s="1439"/>
      <c r="AN33" s="1439"/>
      <c r="AO33" s="1439"/>
      <c r="AP33" s="1439"/>
      <c r="AQ33" s="1439"/>
      <c r="AR33" s="1439"/>
      <c r="AS33" s="1439"/>
      <c r="AT33" s="1439"/>
      <c r="AU33" s="20"/>
      <c r="AV33" s="20"/>
      <c r="AW33" s="20"/>
      <c r="AX33" s="20"/>
      <c r="AY33" s="20"/>
    </row>
    <row r="34" spans="1:52" ht="12.95" customHeight="1">
      <c r="A34" s="1438" t="s">
        <v>2510</v>
      </c>
      <c r="B34" s="1438"/>
      <c r="C34" s="1438"/>
      <c r="D34" s="1438"/>
      <c r="E34" s="1438"/>
      <c r="F34" s="1438"/>
      <c r="G34" s="1438"/>
      <c r="H34" s="1438"/>
      <c r="I34" s="1438"/>
      <c r="J34" s="1438"/>
      <c r="K34" s="1438"/>
      <c r="L34" s="1438"/>
      <c r="M34" s="1438"/>
      <c r="N34" s="1438"/>
      <c r="O34" s="1438"/>
      <c r="P34" s="1438"/>
      <c r="Q34" s="1438"/>
      <c r="R34" s="1438"/>
      <c r="S34" s="1438"/>
      <c r="T34" s="1438"/>
      <c r="U34" s="1438"/>
      <c r="V34" s="1438"/>
      <c r="W34" s="1438"/>
      <c r="X34" s="1438"/>
      <c r="Y34" s="1438"/>
      <c r="Z34" s="1438"/>
      <c r="AA34" s="1438"/>
      <c r="AB34" s="1438"/>
      <c r="AC34" s="1438"/>
      <c r="AD34" s="1438"/>
      <c r="AE34" s="1438"/>
      <c r="AF34" s="1438"/>
      <c r="AG34" s="1438"/>
      <c r="AH34" s="1438"/>
      <c r="AI34" s="1438"/>
      <c r="AJ34" s="1438"/>
      <c r="AK34" s="1438"/>
      <c r="AL34" s="1438"/>
      <c r="AM34" s="1438"/>
      <c r="AN34" s="1438"/>
      <c r="AO34" s="1438"/>
      <c r="AP34" s="1438"/>
      <c r="AQ34" s="1438"/>
      <c r="AR34" s="1438"/>
      <c r="AS34" s="1438"/>
      <c r="AT34" s="1438"/>
      <c r="AU34" s="20"/>
      <c r="AV34" s="20"/>
      <c r="AW34" s="20"/>
      <c r="AX34" s="20"/>
      <c r="AY34" s="20"/>
      <c r="AZ34" s="20"/>
    </row>
    <row r="35" spans="1:52" ht="12.95" customHeight="1">
      <c r="A35" s="1438"/>
      <c r="B35" s="1438"/>
      <c r="C35" s="1438"/>
      <c r="D35" s="1438"/>
      <c r="E35" s="1438"/>
      <c r="F35" s="1438"/>
      <c r="G35" s="1438"/>
      <c r="H35" s="1438"/>
      <c r="I35" s="1438"/>
      <c r="J35" s="1438"/>
      <c r="K35" s="1438"/>
      <c r="L35" s="1438"/>
      <c r="M35" s="1438"/>
      <c r="N35" s="1438"/>
      <c r="O35" s="1438"/>
      <c r="P35" s="1438"/>
      <c r="Q35" s="1438"/>
      <c r="R35" s="1438"/>
      <c r="S35" s="1438"/>
      <c r="T35" s="1438"/>
      <c r="U35" s="1438"/>
      <c r="V35" s="1438"/>
      <c r="W35" s="1438"/>
      <c r="X35" s="1438"/>
      <c r="Y35" s="1438"/>
      <c r="Z35" s="1438"/>
      <c r="AA35" s="1438"/>
      <c r="AB35" s="1438"/>
      <c r="AC35" s="1438"/>
      <c r="AD35" s="1438"/>
      <c r="AE35" s="1438"/>
      <c r="AF35" s="1438"/>
      <c r="AG35" s="1438"/>
      <c r="AH35" s="1438"/>
      <c r="AI35" s="1438"/>
      <c r="AJ35" s="1438"/>
      <c r="AK35" s="1438"/>
      <c r="AL35" s="1438"/>
      <c r="AM35" s="1438"/>
      <c r="AN35" s="1438"/>
      <c r="AO35" s="1438"/>
      <c r="AP35" s="1438"/>
      <c r="AQ35" s="1438"/>
      <c r="AR35" s="1438"/>
      <c r="AS35" s="1438"/>
      <c r="AT35" s="1438"/>
      <c r="AU35" s="20"/>
      <c r="AV35" s="20"/>
      <c r="AW35" s="20"/>
      <c r="AX35" s="20"/>
      <c r="AY35" s="20"/>
      <c r="AZ35" s="20"/>
    </row>
    <row r="36" spans="1:52" ht="12.95" customHeight="1">
      <c r="A36" s="1438"/>
      <c r="B36" s="1438"/>
      <c r="C36" s="1438"/>
      <c r="D36" s="1438"/>
      <c r="E36" s="1438"/>
      <c r="F36" s="1438"/>
      <c r="G36" s="1438"/>
      <c r="H36" s="1438"/>
      <c r="I36" s="1438"/>
      <c r="J36" s="1438"/>
      <c r="K36" s="1438"/>
      <c r="L36" s="1438"/>
      <c r="M36" s="1438"/>
      <c r="N36" s="1438"/>
      <c r="O36" s="1438"/>
      <c r="P36" s="1438"/>
      <c r="Q36" s="1438"/>
      <c r="R36" s="1438"/>
      <c r="S36" s="1438"/>
      <c r="T36" s="1438"/>
      <c r="U36" s="1438"/>
      <c r="V36" s="1438"/>
      <c r="W36" s="1438"/>
      <c r="X36" s="1438"/>
      <c r="Y36" s="1438"/>
      <c r="Z36" s="1438"/>
      <c r="AA36" s="1438"/>
      <c r="AB36" s="1438"/>
      <c r="AC36" s="1438"/>
      <c r="AD36" s="1438"/>
      <c r="AE36" s="1438"/>
      <c r="AF36" s="1438"/>
      <c r="AG36" s="1438"/>
      <c r="AH36" s="1438"/>
      <c r="AI36" s="1438"/>
      <c r="AJ36" s="1438"/>
      <c r="AK36" s="1438"/>
      <c r="AL36" s="1438"/>
      <c r="AM36" s="1438"/>
      <c r="AN36" s="1438"/>
      <c r="AO36" s="1438"/>
      <c r="AP36" s="1438"/>
      <c r="AQ36" s="1438"/>
      <c r="AR36" s="1438"/>
      <c r="AS36" s="1438"/>
      <c r="AT36" s="1438"/>
      <c r="AU36" s="20"/>
      <c r="AV36" s="20"/>
      <c r="AW36" s="20"/>
      <c r="AX36" s="20"/>
      <c r="AY36" s="20"/>
      <c r="AZ36" s="20"/>
    </row>
    <row r="37" spans="1:52" ht="12.95" customHeight="1">
      <c r="A37" s="1438"/>
      <c r="B37" s="1438"/>
      <c r="C37" s="1438"/>
      <c r="D37" s="1438"/>
      <c r="E37" s="1438"/>
      <c r="F37" s="1438"/>
      <c r="G37" s="1438"/>
      <c r="H37" s="1438"/>
      <c r="I37" s="1438"/>
      <c r="J37" s="1438"/>
      <c r="K37" s="1438"/>
      <c r="L37" s="1438"/>
      <c r="M37" s="1438"/>
      <c r="N37" s="1438"/>
      <c r="O37" s="1438"/>
      <c r="P37" s="1438"/>
      <c r="Q37" s="1438"/>
      <c r="R37" s="1438"/>
      <c r="S37" s="1438"/>
      <c r="T37" s="1438"/>
      <c r="U37" s="1438"/>
      <c r="V37" s="1438"/>
      <c r="W37" s="1438"/>
      <c r="X37" s="1438"/>
      <c r="Y37" s="1438"/>
      <c r="Z37" s="1438"/>
      <c r="AA37" s="1438"/>
      <c r="AB37" s="1438"/>
      <c r="AC37" s="1438"/>
      <c r="AD37" s="1438"/>
      <c r="AE37" s="1438"/>
      <c r="AF37" s="1438"/>
      <c r="AG37" s="1438"/>
      <c r="AH37" s="1438"/>
      <c r="AI37" s="1438"/>
      <c r="AJ37" s="1438"/>
      <c r="AK37" s="1438"/>
      <c r="AL37" s="1438"/>
      <c r="AM37" s="1438"/>
      <c r="AN37" s="1438"/>
      <c r="AO37" s="1438"/>
      <c r="AP37" s="1438"/>
      <c r="AQ37" s="1438"/>
      <c r="AR37" s="1438"/>
      <c r="AS37" s="1438"/>
      <c r="AT37" s="1438"/>
      <c r="AZ37" s="20"/>
    </row>
    <row r="38" spans="1:52" ht="12.95" customHeight="1">
      <c r="A38" s="3"/>
      <c r="AZ38" s="20"/>
    </row>
    <row r="39" spans="1:52" ht="12.95" customHeight="1">
      <c r="A39" s="1268" t="s">
        <v>2511</v>
      </c>
      <c r="B39" s="1268"/>
      <c r="C39" s="1268"/>
      <c r="D39" s="1268"/>
      <c r="E39" s="1268"/>
      <c r="F39" s="1268"/>
      <c r="G39" s="1268"/>
      <c r="H39" s="1268"/>
      <c r="I39" s="1268"/>
      <c r="J39" s="1268"/>
      <c r="K39" s="1268"/>
      <c r="L39" s="1268"/>
      <c r="M39" s="1268"/>
      <c r="N39" s="1268"/>
      <c r="O39" s="1268"/>
      <c r="P39" s="1268"/>
      <c r="Q39" s="1268"/>
      <c r="R39" s="1268"/>
      <c r="S39" s="1268"/>
      <c r="T39" s="1268"/>
      <c r="U39" s="1268"/>
      <c r="V39" s="1268"/>
      <c r="W39" s="1268"/>
      <c r="X39" s="1268"/>
      <c r="Y39" s="1268"/>
      <c r="Z39" s="1268"/>
      <c r="AA39" s="1268"/>
      <c r="AB39" s="1268"/>
      <c r="AC39" s="1268"/>
      <c r="AD39" s="1268"/>
      <c r="AE39" s="1268"/>
      <c r="AF39" s="1268"/>
      <c r="AG39" s="1268"/>
      <c r="AH39" s="1268"/>
      <c r="AI39" s="1268"/>
      <c r="AJ39" s="1268"/>
      <c r="AK39" s="1268"/>
      <c r="AL39" s="1268"/>
      <c r="AM39" s="1268"/>
      <c r="AN39" s="1268"/>
      <c r="AO39" s="1268"/>
      <c r="AP39" s="1268"/>
      <c r="AQ39" s="1268"/>
      <c r="AR39" s="1268"/>
      <c r="AS39" s="1268"/>
      <c r="AT39" s="1268"/>
      <c r="AZ39" s="20"/>
    </row>
    <row r="40" spans="1:52" ht="12.95" customHeight="1">
      <c r="A40" s="1268"/>
      <c r="B40" s="1268"/>
      <c r="C40" s="1268"/>
      <c r="D40" s="1268"/>
      <c r="E40" s="1268"/>
      <c r="F40" s="1268"/>
      <c r="G40" s="1268"/>
      <c r="H40" s="1268"/>
      <c r="I40" s="1268"/>
      <c r="J40" s="1268"/>
      <c r="K40" s="1268"/>
      <c r="L40" s="1268"/>
      <c r="M40" s="1268"/>
      <c r="N40" s="1268"/>
      <c r="O40" s="1268"/>
      <c r="P40" s="1268"/>
      <c r="Q40" s="1268"/>
      <c r="R40" s="1268"/>
      <c r="S40" s="1268"/>
      <c r="T40" s="1268"/>
      <c r="U40" s="1268"/>
      <c r="V40" s="1268"/>
      <c r="W40" s="1268"/>
      <c r="X40" s="1268"/>
      <c r="Y40" s="1268"/>
      <c r="Z40" s="1268"/>
      <c r="AA40" s="1268"/>
      <c r="AB40" s="1268"/>
      <c r="AC40" s="1268"/>
      <c r="AD40" s="1268"/>
      <c r="AE40" s="1268"/>
      <c r="AF40" s="1268"/>
      <c r="AG40" s="1268"/>
      <c r="AH40" s="1268"/>
      <c r="AI40" s="1268"/>
      <c r="AJ40" s="1268"/>
      <c r="AK40" s="1268"/>
      <c r="AL40" s="1268"/>
      <c r="AM40" s="1268"/>
      <c r="AN40" s="1268"/>
      <c r="AO40" s="1268"/>
      <c r="AP40" s="1268"/>
      <c r="AQ40" s="1268"/>
      <c r="AR40" s="1268"/>
      <c r="AS40" s="1268"/>
      <c r="AT40" s="1268"/>
      <c r="AU40" s="20"/>
      <c r="AV40" s="20"/>
      <c r="AW40" s="20"/>
      <c r="AX40" s="20"/>
      <c r="AY40" s="20"/>
      <c r="AZ40" s="20"/>
    </row>
    <row r="41" spans="1:52" ht="12.95" customHeight="1">
      <c r="A41" s="1268"/>
      <c r="B41" s="1268"/>
      <c r="C41" s="1268"/>
      <c r="D41" s="1268"/>
      <c r="E41" s="1268"/>
      <c r="F41" s="1268"/>
      <c r="G41" s="1268"/>
      <c r="H41" s="1268"/>
      <c r="I41" s="1268"/>
      <c r="J41" s="1268"/>
      <c r="K41" s="1268"/>
      <c r="L41" s="1268"/>
      <c r="M41" s="1268"/>
      <c r="N41" s="1268"/>
      <c r="O41" s="1268"/>
      <c r="P41" s="1268"/>
      <c r="Q41" s="1268"/>
      <c r="R41" s="1268"/>
      <c r="S41" s="1268"/>
      <c r="T41" s="1268"/>
      <c r="U41" s="1268"/>
      <c r="V41" s="1268"/>
      <c r="W41" s="1268"/>
      <c r="X41" s="1268"/>
      <c r="Y41" s="1268"/>
      <c r="Z41" s="1268"/>
      <c r="AA41" s="1268"/>
      <c r="AB41" s="1268"/>
      <c r="AC41" s="1268"/>
      <c r="AD41" s="1268"/>
      <c r="AE41" s="1268"/>
      <c r="AF41" s="1268"/>
      <c r="AG41" s="1268"/>
      <c r="AH41" s="1268"/>
      <c r="AI41" s="1268"/>
      <c r="AJ41" s="1268"/>
      <c r="AK41" s="1268"/>
      <c r="AL41" s="1268"/>
      <c r="AM41" s="1268"/>
      <c r="AN41" s="1268"/>
      <c r="AO41" s="1268"/>
      <c r="AP41" s="1268"/>
      <c r="AQ41" s="1268"/>
      <c r="AR41" s="1268"/>
      <c r="AS41" s="1268"/>
      <c r="AT41" s="1268"/>
      <c r="AU41" s="20"/>
      <c r="AV41" s="20"/>
      <c r="AW41" s="20"/>
      <c r="AX41" s="20"/>
      <c r="AY41" s="20"/>
      <c r="AZ41" s="20"/>
    </row>
    <row r="42" spans="1:52" ht="12.95" customHeight="1">
      <c r="A42" s="1268"/>
      <c r="B42" s="1268"/>
      <c r="C42" s="1268"/>
      <c r="D42" s="1268"/>
      <c r="E42" s="1268"/>
      <c r="F42" s="1268"/>
      <c r="G42" s="1268"/>
      <c r="H42" s="1268"/>
      <c r="I42" s="1268"/>
      <c r="J42" s="1268"/>
      <c r="K42" s="1268"/>
      <c r="L42" s="1268"/>
      <c r="M42" s="1268"/>
      <c r="N42" s="1268"/>
      <c r="O42" s="1268"/>
      <c r="P42" s="1268"/>
      <c r="Q42" s="1268"/>
      <c r="R42" s="1268"/>
      <c r="S42" s="1268"/>
      <c r="T42" s="1268"/>
      <c r="U42" s="1268"/>
      <c r="V42" s="1268"/>
      <c r="W42" s="1268"/>
      <c r="X42" s="1268"/>
      <c r="Y42" s="1268"/>
      <c r="Z42" s="1268"/>
      <c r="AA42" s="1268"/>
      <c r="AB42" s="1268"/>
      <c r="AC42" s="1268"/>
      <c r="AD42" s="1268"/>
      <c r="AE42" s="1268"/>
      <c r="AF42" s="1268"/>
      <c r="AG42" s="1268"/>
      <c r="AH42" s="1268"/>
      <c r="AI42" s="1268"/>
      <c r="AJ42" s="1268"/>
      <c r="AK42" s="1268"/>
      <c r="AL42" s="1268"/>
      <c r="AM42" s="1268"/>
      <c r="AN42" s="1268"/>
      <c r="AO42" s="1268"/>
      <c r="AP42" s="1268"/>
      <c r="AQ42" s="1268"/>
      <c r="AR42" s="1268"/>
      <c r="AS42" s="1268"/>
      <c r="AT42" s="1268"/>
      <c r="AZ42" s="20"/>
    </row>
    <row r="43" spans="1:52" ht="12.95" customHeight="1">
      <c r="A43" s="1268"/>
      <c r="B43" s="1268"/>
      <c r="C43" s="1268"/>
      <c r="D43" s="1268"/>
      <c r="E43" s="1268"/>
      <c r="F43" s="1268"/>
      <c r="G43" s="1268"/>
      <c r="H43" s="1268"/>
      <c r="I43" s="1268"/>
      <c r="J43" s="1268"/>
      <c r="K43" s="1268"/>
      <c r="L43" s="1268"/>
      <c r="M43" s="1268"/>
      <c r="N43" s="1268"/>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c r="AM43" s="1268"/>
      <c r="AN43" s="1268"/>
      <c r="AO43" s="1268"/>
      <c r="AP43" s="1268"/>
      <c r="AQ43" s="1268"/>
      <c r="AR43" s="1268"/>
      <c r="AS43" s="1268"/>
      <c r="AT43" s="1268"/>
      <c r="AU43" s="20"/>
      <c r="AV43" s="20"/>
      <c r="AW43" s="20"/>
      <c r="AX43" s="20"/>
      <c r="AY43" s="20"/>
      <c r="AZ43" s="20"/>
    </row>
    <row r="44" spans="1:52" ht="12.95" customHeight="1">
      <c r="A44" s="1268"/>
      <c r="B44" s="1268"/>
      <c r="C44" s="1268"/>
      <c r="D44" s="1268"/>
      <c r="E44" s="1268"/>
      <c r="F44" s="1268"/>
      <c r="G44" s="1268"/>
      <c r="H44" s="1268"/>
      <c r="I44" s="1268"/>
      <c r="J44" s="1268"/>
      <c r="K44" s="1268"/>
      <c r="L44" s="1268"/>
      <c r="M44" s="1268"/>
      <c r="N44" s="1268"/>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c r="AM44" s="1268"/>
      <c r="AN44" s="1268"/>
      <c r="AO44" s="1268"/>
      <c r="AP44" s="1268"/>
      <c r="AQ44" s="1268"/>
      <c r="AR44" s="1268"/>
      <c r="AS44" s="1268"/>
      <c r="AT44" s="1268"/>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30" t="s">
        <v>2512</v>
      </c>
      <c r="B46" s="1330"/>
      <c r="C46" s="1330"/>
      <c r="D46" s="1330"/>
      <c r="E46" s="1330"/>
      <c r="F46" s="1330"/>
      <c r="G46" s="1330"/>
      <c r="H46" s="1330"/>
      <c r="I46" s="1330"/>
      <c r="J46" s="1330"/>
      <c r="K46" s="1330"/>
      <c r="L46" s="1330"/>
      <c r="M46" s="1330"/>
      <c r="N46" s="1330"/>
      <c r="O46" s="1330"/>
      <c r="P46" s="1330"/>
      <c r="Q46" s="1330"/>
      <c r="R46" s="1330"/>
      <c r="S46" s="1330"/>
      <c r="T46" s="1330"/>
      <c r="U46" s="1330"/>
      <c r="V46" s="1330"/>
      <c r="W46" s="1330"/>
      <c r="X46" s="1330"/>
      <c r="Y46" s="1330"/>
      <c r="Z46" s="1330"/>
      <c r="AA46" s="1330"/>
      <c r="AB46" s="1330"/>
      <c r="AC46" s="1330"/>
      <c r="AD46" s="1330"/>
      <c r="AE46" s="1330"/>
      <c r="AF46" s="1330"/>
      <c r="AG46" s="1330"/>
      <c r="AH46" s="1330"/>
      <c r="AI46" s="1330"/>
      <c r="AJ46" s="1330"/>
      <c r="AK46" s="1330"/>
      <c r="AL46" s="1330"/>
      <c r="AM46" s="1330"/>
      <c r="AN46" s="1330"/>
      <c r="AO46" s="1330"/>
      <c r="AP46" s="1330"/>
      <c r="AQ46" s="1330"/>
      <c r="AR46" s="1330"/>
      <c r="AS46" s="1330"/>
      <c r="AT46" s="1330"/>
      <c r="AU46" s="20"/>
      <c r="AV46" s="20"/>
      <c r="AW46" s="20"/>
      <c r="AX46" s="20"/>
      <c r="AY46" s="20"/>
      <c r="AZ46" s="20"/>
    </row>
    <row r="47" spans="1:52" ht="12.95" customHeight="1">
      <c r="A47" s="1330"/>
      <c r="B47" s="1330"/>
      <c r="C47" s="1330"/>
      <c r="D47" s="1330"/>
      <c r="E47" s="1330"/>
      <c r="F47" s="1330"/>
      <c r="G47" s="1330"/>
      <c r="H47" s="1330"/>
      <c r="I47" s="1330"/>
      <c r="J47" s="1330"/>
      <c r="K47" s="1330"/>
      <c r="L47" s="1330"/>
      <c r="M47" s="1330"/>
      <c r="N47" s="1330"/>
      <c r="O47" s="1330"/>
      <c r="P47" s="1330"/>
      <c r="Q47" s="1330"/>
      <c r="R47" s="1330"/>
      <c r="S47" s="1330"/>
      <c r="T47" s="1330"/>
      <c r="U47" s="1330"/>
      <c r="V47" s="1330"/>
      <c r="W47" s="1330"/>
      <c r="X47" s="1330"/>
      <c r="Y47" s="1330"/>
      <c r="Z47" s="1330"/>
      <c r="AA47" s="1330"/>
      <c r="AB47" s="1330"/>
      <c r="AC47" s="1330"/>
      <c r="AD47" s="1330"/>
      <c r="AE47" s="1330"/>
      <c r="AF47" s="1330"/>
      <c r="AG47" s="1330"/>
      <c r="AH47" s="1330"/>
      <c r="AI47" s="1330"/>
      <c r="AJ47" s="1330"/>
      <c r="AK47" s="1330"/>
      <c r="AL47" s="1330"/>
      <c r="AM47" s="1330"/>
      <c r="AN47" s="1330"/>
      <c r="AO47" s="1330"/>
      <c r="AP47" s="1330"/>
      <c r="AQ47" s="1330"/>
      <c r="AR47" s="1330"/>
      <c r="AS47" s="1330"/>
      <c r="AT47" s="1330"/>
      <c r="AU47" s="20"/>
      <c r="AV47" s="20"/>
      <c r="AW47" s="20"/>
      <c r="AX47" s="20"/>
      <c r="AY47" s="20"/>
      <c r="AZ47" s="20"/>
    </row>
    <row r="48" spans="1:52" ht="12.95" customHeight="1">
      <c r="A48" s="1330"/>
      <c r="B48" s="1330"/>
      <c r="C48" s="1330"/>
      <c r="D48" s="1330"/>
      <c r="E48" s="1330"/>
      <c r="F48" s="1330"/>
      <c r="G48" s="1330"/>
      <c r="H48" s="1330"/>
      <c r="I48" s="1330"/>
      <c r="J48" s="1330"/>
      <c r="K48" s="1330"/>
      <c r="L48" s="1330"/>
      <c r="M48" s="1330"/>
      <c r="N48" s="1330"/>
      <c r="O48" s="1330"/>
      <c r="P48" s="1330"/>
      <c r="Q48" s="1330"/>
      <c r="R48" s="1330"/>
      <c r="S48" s="1330"/>
      <c r="T48" s="1330"/>
      <c r="U48" s="1330"/>
      <c r="V48" s="1330"/>
      <c r="W48" s="1330"/>
      <c r="X48" s="1330"/>
      <c r="Y48" s="1330"/>
      <c r="Z48" s="1330"/>
      <c r="AA48" s="1330"/>
      <c r="AB48" s="1330"/>
      <c r="AC48" s="1330"/>
      <c r="AD48" s="1330"/>
      <c r="AE48" s="1330"/>
      <c r="AF48" s="1330"/>
      <c r="AG48" s="1330"/>
      <c r="AH48" s="1330"/>
      <c r="AI48" s="1330"/>
      <c r="AJ48" s="1330"/>
      <c r="AK48" s="1330"/>
      <c r="AL48" s="1330"/>
      <c r="AM48" s="1330"/>
      <c r="AN48" s="1330"/>
      <c r="AO48" s="1330"/>
      <c r="AP48" s="1330"/>
      <c r="AQ48" s="1330"/>
      <c r="AR48" s="1330"/>
      <c r="AS48" s="1330"/>
      <c r="AT48" s="1330"/>
      <c r="AU48" s="20"/>
      <c r="AV48" s="20"/>
      <c r="AW48" s="20"/>
      <c r="AX48" s="20"/>
      <c r="AY48" s="20"/>
      <c r="AZ48" s="20"/>
    </row>
    <row r="49" spans="1:52" ht="12.95" customHeight="1">
      <c r="A49" s="1330"/>
      <c r="B49" s="1330"/>
      <c r="C49" s="1330"/>
      <c r="D49" s="1330"/>
      <c r="E49" s="1330"/>
      <c r="F49" s="1330"/>
      <c r="G49" s="1330"/>
      <c r="H49" s="1330"/>
      <c r="I49" s="1330"/>
      <c r="J49" s="1330"/>
      <c r="K49" s="1330"/>
      <c r="L49" s="1330"/>
      <c r="M49" s="1330"/>
      <c r="N49" s="1330"/>
      <c r="O49" s="1330"/>
      <c r="P49" s="1330"/>
      <c r="Q49" s="1330"/>
      <c r="R49" s="1330"/>
      <c r="S49" s="1330"/>
      <c r="T49" s="1330"/>
      <c r="U49" s="1330"/>
      <c r="V49" s="1330"/>
      <c r="W49" s="1330"/>
      <c r="X49" s="1330"/>
      <c r="Y49" s="1330"/>
      <c r="Z49" s="1330"/>
      <c r="AA49" s="1330"/>
      <c r="AB49" s="1330"/>
      <c r="AC49" s="1330"/>
      <c r="AD49" s="1330"/>
      <c r="AE49" s="1330"/>
      <c r="AF49" s="1330"/>
      <c r="AG49" s="1330"/>
      <c r="AH49" s="1330"/>
      <c r="AI49" s="1330"/>
      <c r="AJ49" s="1330"/>
      <c r="AK49" s="1330"/>
      <c r="AL49" s="1330"/>
      <c r="AM49" s="1330"/>
      <c r="AN49" s="1330"/>
      <c r="AO49" s="1330"/>
      <c r="AP49" s="1330"/>
      <c r="AQ49" s="1330"/>
      <c r="AR49" s="1330"/>
      <c r="AS49" s="1330"/>
      <c r="AT49" s="1330"/>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8" t="s">
        <v>2513</v>
      </c>
      <c r="B51" s="1268"/>
      <c r="C51" s="1268"/>
      <c r="D51" s="1268"/>
      <c r="E51" s="1268"/>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c r="AL51" s="1268"/>
      <c r="AM51" s="1268"/>
      <c r="AN51" s="1268"/>
      <c r="AO51" s="1268"/>
      <c r="AP51" s="1268"/>
      <c r="AQ51" s="1268"/>
      <c r="AR51" s="1268"/>
      <c r="AS51" s="1268"/>
      <c r="AT51" s="1268"/>
      <c r="AU51" s="20"/>
      <c r="AV51" s="20"/>
      <c r="AW51" s="20"/>
      <c r="AX51" s="20"/>
      <c r="AY51" s="20"/>
      <c r="AZ51" s="20"/>
    </row>
    <row r="52" spans="1:52" ht="12.95" customHeight="1">
      <c r="A52" s="1268"/>
      <c r="B52" s="1268"/>
      <c r="C52" s="1268"/>
      <c r="D52" s="1268"/>
      <c r="E52" s="1268"/>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c r="AL52" s="1268"/>
      <c r="AM52" s="1268"/>
      <c r="AN52" s="1268"/>
      <c r="AO52" s="1268"/>
      <c r="AP52" s="1268"/>
      <c r="AQ52" s="1268"/>
      <c r="AR52" s="1268"/>
      <c r="AS52" s="1268"/>
      <c r="AT52" s="1268"/>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8" t="s">
        <v>2514</v>
      </c>
      <c r="B54" s="1268"/>
      <c r="C54" s="1268"/>
      <c r="D54" s="1268"/>
      <c r="E54" s="1268"/>
      <c r="F54" s="1268"/>
      <c r="G54" s="1268"/>
      <c r="H54" s="1268"/>
      <c r="I54" s="1268"/>
      <c r="J54" s="1268"/>
      <c r="K54" s="1268"/>
      <c r="L54" s="1268"/>
      <c r="M54" s="1268"/>
      <c r="N54" s="1268"/>
      <c r="O54" s="1268"/>
      <c r="P54" s="1268"/>
      <c r="Q54" s="1268"/>
      <c r="R54" s="1268"/>
      <c r="S54" s="1268"/>
      <c r="T54" s="1268"/>
      <c r="U54" s="1268"/>
      <c r="V54" s="1268"/>
      <c r="W54" s="1268"/>
      <c r="X54" s="1268"/>
      <c r="Y54" s="1268"/>
      <c r="Z54" s="1268"/>
      <c r="AA54" s="1268"/>
      <c r="AB54" s="1268"/>
      <c r="AC54" s="1268"/>
      <c r="AD54" s="1268"/>
      <c r="AE54" s="1268"/>
      <c r="AF54" s="1268"/>
      <c r="AG54" s="1268"/>
      <c r="AH54" s="1268"/>
      <c r="AI54" s="1268"/>
      <c r="AJ54" s="1268"/>
      <c r="AK54" s="1268"/>
      <c r="AL54" s="1268"/>
      <c r="AM54" s="1268"/>
      <c r="AN54" s="1268"/>
      <c r="AO54" s="1268"/>
      <c r="AP54" s="1268"/>
      <c r="AQ54" s="1268"/>
      <c r="AR54" s="1268"/>
      <c r="AS54" s="1268"/>
      <c r="AT54" s="1268"/>
      <c r="AU54" s="20"/>
      <c r="AV54" s="20"/>
      <c r="AW54" s="20"/>
      <c r="AX54" s="20"/>
      <c r="AY54" s="20"/>
      <c r="AZ54" s="21"/>
    </row>
    <row r="55" spans="1:52" ht="12.95" customHeight="1">
      <c r="A55" s="1268"/>
      <c r="B55" s="1268"/>
      <c r="C55" s="1268"/>
      <c r="D55" s="1268"/>
      <c r="E55" s="1268"/>
      <c r="F55" s="1268"/>
      <c r="G55" s="1268"/>
      <c r="H55" s="1268"/>
      <c r="I55" s="1268"/>
      <c r="J55" s="1268"/>
      <c r="K55" s="1268"/>
      <c r="L55" s="1268"/>
      <c r="M55" s="1268"/>
      <c r="N55" s="1268"/>
      <c r="O55" s="1268"/>
      <c r="P55" s="1268"/>
      <c r="Q55" s="1268"/>
      <c r="R55" s="1268"/>
      <c r="S55" s="1268"/>
      <c r="T55" s="1268"/>
      <c r="U55" s="1268"/>
      <c r="V55" s="1268"/>
      <c r="W55" s="1268"/>
      <c r="X55" s="1268"/>
      <c r="Y55" s="1268"/>
      <c r="Z55" s="1268"/>
      <c r="AA55" s="1268"/>
      <c r="AB55" s="1268"/>
      <c r="AC55" s="1268"/>
      <c r="AD55" s="1268"/>
      <c r="AE55" s="1268"/>
      <c r="AF55" s="1268"/>
      <c r="AG55" s="1268"/>
      <c r="AH55" s="1268"/>
      <c r="AI55" s="1268"/>
      <c r="AJ55" s="1268"/>
      <c r="AK55" s="1268"/>
      <c r="AL55" s="1268"/>
      <c r="AM55" s="1268"/>
      <c r="AN55" s="1268"/>
      <c r="AO55" s="1268"/>
      <c r="AP55" s="1268"/>
      <c r="AQ55" s="1268"/>
      <c r="AR55" s="1268"/>
      <c r="AS55" s="1268"/>
      <c r="AT55" s="1268"/>
      <c r="AZ55" s="21"/>
    </row>
    <row r="56" spans="1:52" ht="12.95" customHeight="1">
      <c r="A56" s="1268"/>
      <c r="B56" s="1268"/>
      <c r="C56" s="1268"/>
      <c r="D56" s="1268"/>
      <c r="E56" s="1268"/>
      <c r="F56" s="1268"/>
      <c r="G56" s="1268"/>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1268"/>
      <c r="AM56" s="1268"/>
      <c r="AN56" s="1268"/>
      <c r="AO56" s="1268"/>
      <c r="AP56" s="1268"/>
      <c r="AQ56" s="1268"/>
      <c r="AR56" s="1268"/>
      <c r="AS56" s="1268"/>
      <c r="AT56" s="1268"/>
    </row>
    <row r="57" spans="1:52" ht="12.95" customHeight="1">
      <c r="A57" s="1268"/>
      <c r="B57" s="1268"/>
      <c r="C57" s="1268"/>
      <c r="D57" s="1268"/>
      <c r="E57" s="1268"/>
      <c r="F57" s="1268"/>
      <c r="G57" s="1268"/>
      <c r="H57" s="1268"/>
      <c r="I57" s="1268"/>
      <c r="J57" s="1268"/>
      <c r="K57" s="1268"/>
      <c r="L57" s="1268"/>
      <c r="M57" s="1268"/>
      <c r="N57" s="1268"/>
      <c r="O57" s="1268"/>
      <c r="P57" s="1268"/>
      <c r="Q57" s="1268"/>
      <c r="R57" s="1268"/>
      <c r="S57" s="1268"/>
      <c r="T57" s="1268"/>
      <c r="U57" s="1268"/>
      <c r="V57" s="1268"/>
      <c r="W57" s="1268"/>
      <c r="X57" s="1268"/>
      <c r="Y57" s="1268"/>
      <c r="Z57" s="1268"/>
      <c r="AA57" s="1268"/>
      <c r="AB57" s="1268"/>
      <c r="AC57" s="1268"/>
      <c r="AD57" s="1268"/>
      <c r="AE57" s="1268"/>
      <c r="AF57" s="1268"/>
      <c r="AG57" s="1268"/>
      <c r="AH57" s="1268"/>
      <c r="AI57" s="1268"/>
      <c r="AJ57" s="1268"/>
      <c r="AK57" s="1268"/>
      <c r="AL57" s="1268"/>
      <c r="AM57" s="1268"/>
      <c r="AN57" s="1268"/>
      <c r="AO57" s="1268"/>
      <c r="AP57" s="1268"/>
      <c r="AQ57" s="1268"/>
      <c r="AR57" s="1268"/>
      <c r="AS57" s="1268"/>
      <c r="AT57" s="1268"/>
    </row>
    <row r="58" spans="1:52" ht="12.95" customHeight="1">
      <c r="A58" s="1268"/>
      <c r="B58" s="1268"/>
      <c r="C58" s="1268"/>
      <c r="D58" s="1268"/>
      <c r="E58" s="1268"/>
      <c r="F58" s="1268"/>
      <c r="G58" s="1268"/>
      <c r="H58" s="1268"/>
      <c r="I58" s="1268"/>
      <c r="J58" s="1268"/>
      <c r="K58" s="1268"/>
      <c r="L58" s="1268"/>
      <c r="M58" s="1268"/>
      <c r="N58" s="1268"/>
      <c r="O58" s="1268"/>
      <c r="P58" s="1268"/>
      <c r="Q58" s="1268"/>
      <c r="R58" s="1268"/>
      <c r="S58" s="1268"/>
      <c r="T58" s="1268"/>
      <c r="U58" s="1268"/>
      <c r="V58" s="1268"/>
      <c r="W58" s="1268"/>
      <c r="X58" s="1268"/>
      <c r="Y58" s="1268"/>
      <c r="Z58" s="1268"/>
      <c r="AA58" s="1268"/>
      <c r="AB58" s="1268"/>
      <c r="AC58" s="1268"/>
      <c r="AD58" s="1268"/>
      <c r="AE58" s="1268"/>
      <c r="AF58" s="1268"/>
      <c r="AG58" s="1268"/>
      <c r="AH58" s="1268"/>
      <c r="AI58" s="1268"/>
      <c r="AJ58" s="1268"/>
      <c r="AK58" s="1268"/>
      <c r="AL58" s="1268"/>
      <c r="AM58" s="1268"/>
      <c r="AN58" s="1268"/>
      <c r="AO58" s="1268"/>
      <c r="AP58" s="1268"/>
      <c r="AQ58" s="1268"/>
      <c r="AR58" s="1268"/>
      <c r="AS58" s="1268"/>
      <c r="AT58" s="1268"/>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8" t="s">
        <v>2515</v>
      </c>
      <c r="B60" s="1268"/>
      <c r="C60" s="1268"/>
      <c r="D60" s="1268"/>
      <c r="E60" s="1268"/>
      <c r="F60" s="1268"/>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c r="AM60" s="1268"/>
      <c r="AN60" s="1268"/>
      <c r="AO60" s="1268"/>
      <c r="AP60" s="1268"/>
      <c r="AQ60" s="1268"/>
      <c r="AR60" s="1268"/>
      <c r="AS60" s="1268"/>
      <c r="AT60" s="1268"/>
      <c r="AU60" s="20"/>
      <c r="AV60" s="20"/>
      <c r="AW60" s="20"/>
      <c r="AX60" s="20"/>
      <c r="AY60" s="20"/>
      <c r="AZ60" s="20"/>
    </row>
    <row r="61" spans="1:52" ht="12.95" customHeight="1">
      <c r="A61" s="1268"/>
      <c r="B61" s="1268"/>
      <c r="C61" s="1268"/>
      <c r="D61" s="1268"/>
      <c r="E61" s="1268"/>
      <c r="F61" s="1268"/>
      <c r="G61" s="1268"/>
      <c r="H61" s="1268"/>
      <c r="I61" s="1268"/>
      <c r="J61" s="1268"/>
      <c r="K61" s="1268"/>
      <c r="L61" s="1268"/>
      <c r="M61" s="1268"/>
      <c r="N61" s="1268"/>
      <c r="O61" s="1268"/>
      <c r="P61" s="1268"/>
      <c r="Q61" s="1268"/>
      <c r="R61" s="1268"/>
      <c r="S61" s="1268"/>
      <c r="T61" s="1268"/>
      <c r="U61" s="1268"/>
      <c r="V61" s="1268"/>
      <c r="W61" s="1268"/>
      <c r="X61" s="1268"/>
      <c r="Y61" s="1268"/>
      <c r="Z61" s="1268"/>
      <c r="AA61" s="1268"/>
      <c r="AB61" s="1268"/>
      <c r="AC61" s="1268"/>
      <c r="AD61" s="1268"/>
      <c r="AE61" s="1268"/>
      <c r="AF61" s="1268"/>
      <c r="AG61" s="1268"/>
      <c r="AH61" s="1268"/>
      <c r="AI61" s="1268"/>
      <c r="AJ61" s="1268"/>
      <c r="AK61" s="1268"/>
      <c r="AL61" s="1268"/>
      <c r="AM61" s="1268"/>
      <c r="AN61" s="1268"/>
      <c r="AO61" s="1268"/>
      <c r="AP61" s="1268"/>
      <c r="AQ61" s="1268"/>
      <c r="AR61" s="1268"/>
      <c r="AS61" s="1268"/>
      <c r="AT61" s="1268"/>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2516</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440" t="s">
        <v>2517</v>
      </c>
      <c r="B65" s="1440"/>
      <c r="C65" s="1440"/>
      <c r="D65" s="1440"/>
      <c r="E65" s="1440"/>
      <c r="F65" s="1440"/>
      <c r="G65" s="1440"/>
      <c r="H65" s="1440"/>
      <c r="I65" s="1440"/>
      <c r="J65" s="1440"/>
      <c r="K65" s="1440"/>
      <c r="L65" s="1440"/>
      <c r="M65" s="1440"/>
      <c r="N65" s="1440"/>
      <c r="O65" s="1440"/>
      <c r="P65" s="1440"/>
      <c r="Q65" s="1440"/>
      <c r="R65" s="1440"/>
      <c r="S65" s="1440"/>
      <c r="T65" s="1440"/>
      <c r="U65" s="1440"/>
      <c r="V65" s="1440"/>
      <c r="W65" s="1440"/>
      <c r="X65" s="1440"/>
      <c r="Y65" s="1440"/>
      <c r="Z65" s="1440"/>
      <c r="AA65" s="1440"/>
      <c r="AB65" s="1440"/>
      <c r="AC65" s="1440"/>
      <c r="AD65" s="1440"/>
      <c r="AE65" s="1440"/>
      <c r="AF65" s="1440"/>
      <c r="AG65" s="1440"/>
      <c r="AH65" s="1440"/>
      <c r="AI65" s="1440"/>
      <c r="AJ65" s="1440"/>
      <c r="AK65" s="1440"/>
      <c r="AL65" s="1440"/>
      <c r="AM65" s="1440"/>
      <c r="AN65" s="1440"/>
      <c r="AO65" s="1440"/>
      <c r="AP65" s="1440"/>
      <c r="AQ65" s="1440"/>
      <c r="AR65" s="1440"/>
      <c r="AS65" s="1440"/>
      <c r="AT65" s="1440"/>
      <c r="AU65" s="21"/>
      <c r="AV65" s="21"/>
      <c r="AW65" s="21"/>
      <c r="AX65" s="21"/>
      <c r="AY65" s="21"/>
      <c r="AZ65" s="20"/>
    </row>
    <row r="66" spans="1:52" ht="12.95" customHeight="1">
      <c r="A66" s="1440"/>
      <c r="B66" s="1440"/>
      <c r="C66" s="1440"/>
      <c r="D66" s="1440"/>
      <c r="E66" s="1440"/>
      <c r="F66" s="1440"/>
      <c r="G66" s="1440"/>
      <c r="H66" s="1440"/>
      <c r="I66" s="1440"/>
      <c r="J66" s="1440"/>
      <c r="K66" s="1440"/>
      <c r="L66" s="1440"/>
      <c r="M66" s="1440"/>
      <c r="N66" s="1440"/>
      <c r="O66" s="1440"/>
      <c r="P66" s="1440"/>
      <c r="Q66" s="1440"/>
      <c r="R66" s="1440"/>
      <c r="S66" s="1440"/>
      <c r="T66" s="1440"/>
      <c r="U66" s="1440"/>
      <c r="V66" s="1440"/>
      <c r="W66" s="1440"/>
      <c r="X66" s="1440"/>
      <c r="Y66" s="1440"/>
      <c r="Z66" s="1440"/>
      <c r="AA66" s="1440"/>
      <c r="AB66" s="1440"/>
      <c r="AC66" s="1440"/>
      <c r="AD66" s="1440"/>
      <c r="AE66" s="1440"/>
      <c r="AF66" s="1440"/>
      <c r="AG66" s="1440"/>
      <c r="AH66" s="1440"/>
      <c r="AI66" s="1440"/>
      <c r="AJ66" s="1440"/>
      <c r="AK66" s="1440"/>
      <c r="AL66" s="1440"/>
      <c r="AM66" s="1440"/>
      <c r="AN66" s="1440"/>
      <c r="AO66" s="1440"/>
      <c r="AP66" s="1440"/>
      <c r="AQ66" s="1440"/>
      <c r="AR66" s="1440"/>
      <c r="AS66" s="1440"/>
      <c r="AT66" s="1440"/>
      <c r="AU66" s="21"/>
      <c r="AV66" s="21"/>
      <c r="AW66" s="21"/>
      <c r="AX66" s="21"/>
      <c r="AY66" s="21"/>
      <c r="AZ66" s="20"/>
    </row>
    <row r="67" spans="1:52" ht="12.95" customHeight="1">
      <c r="A67" s="1440"/>
      <c r="B67" s="1440"/>
      <c r="C67" s="1440"/>
      <c r="D67" s="1440"/>
      <c r="E67" s="1440"/>
      <c r="F67" s="1440"/>
      <c r="G67" s="1440"/>
      <c r="H67" s="1440"/>
      <c r="I67" s="1440"/>
      <c r="J67" s="1440"/>
      <c r="K67" s="1440"/>
      <c r="L67" s="1440"/>
      <c r="M67" s="1440"/>
      <c r="N67" s="1440"/>
      <c r="O67" s="1440"/>
      <c r="P67" s="1440"/>
      <c r="Q67" s="1440"/>
      <c r="R67" s="1440"/>
      <c r="S67" s="1440"/>
      <c r="T67" s="1440"/>
      <c r="U67" s="1440"/>
      <c r="V67" s="1440"/>
      <c r="W67" s="1440"/>
      <c r="X67" s="1440"/>
      <c r="Y67" s="1440"/>
      <c r="Z67" s="1440"/>
      <c r="AA67" s="1440"/>
      <c r="AB67" s="1440"/>
      <c r="AC67" s="1440"/>
      <c r="AD67" s="1440"/>
      <c r="AE67" s="1440"/>
      <c r="AF67" s="1440"/>
      <c r="AG67" s="1440"/>
      <c r="AH67" s="1440"/>
      <c r="AI67" s="1440"/>
      <c r="AJ67" s="1440"/>
      <c r="AK67" s="1440"/>
      <c r="AL67" s="1440"/>
      <c r="AM67" s="1440"/>
      <c r="AN67" s="1440"/>
      <c r="AO67" s="1440"/>
      <c r="AP67" s="1440"/>
      <c r="AQ67" s="1440"/>
      <c r="AR67" s="1440"/>
      <c r="AS67" s="1440"/>
      <c r="AT67" s="1440"/>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440" t="s">
        <v>2518</v>
      </c>
      <c r="B69" s="1440"/>
      <c r="C69" s="1440"/>
      <c r="D69" s="1440"/>
      <c r="E69" s="1440"/>
      <c r="F69" s="1440"/>
      <c r="G69" s="1440"/>
      <c r="H69" s="1440"/>
      <c r="I69" s="1440"/>
      <c r="J69" s="1440"/>
      <c r="K69" s="1440"/>
      <c r="L69" s="1440"/>
      <c r="M69" s="1440"/>
      <c r="N69" s="1440"/>
      <c r="O69" s="1440"/>
      <c r="P69" s="1440"/>
      <c r="Q69" s="1440"/>
      <c r="R69" s="1440"/>
      <c r="S69" s="1440"/>
      <c r="T69" s="1440"/>
      <c r="U69" s="1440"/>
      <c r="V69" s="1440"/>
      <c r="W69" s="1440"/>
      <c r="X69" s="1440"/>
      <c r="Y69" s="1440"/>
      <c r="Z69" s="1440"/>
      <c r="AA69" s="1440"/>
      <c r="AB69" s="1440"/>
      <c r="AC69" s="1440"/>
      <c r="AD69" s="1440"/>
      <c r="AE69" s="1440"/>
      <c r="AF69" s="1440"/>
      <c r="AG69" s="1440"/>
      <c r="AH69" s="1440"/>
      <c r="AI69" s="1440"/>
      <c r="AJ69" s="1440"/>
      <c r="AK69" s="1440"/>
      <c r="AL69" s="1440"/>
      <c r="AM69" s="1440"/>
      <c r="AN69" s="1440"/>
      <c r="AO69" s="1440"/>
      <c r="AP69" s="1440"/>
      <c r="AQ69" s="1440"/>
      <c r="AR69" s="1440"/>
      <c r="AS69" s="1440"/>
      <c r="AT69" s="1440"/>
      <c r="AZ69" s="20"/>
    </row>
    <row r="70" spans="1:52" ht="12.95" customHeight="1">
      <c r="A70" s="1440"/>
      <c r="B70" s="1440"/>
      <c r="C70" s="1440"/>
      <c r="D70" s="1440"/>
      <c r="E70" s="1440"/>
      <c r="F70" s="1440"/>
      <c r="G70" s="1440"/>
      <c r="H70" s="1440"/>
      <c r="I70" s="1440"/>
      <c r="J70" s="1440"/>
      <c r="K70" s="1440"/>
      <c r="L70" s="1440"/>
      <c r="M70" s="1440"/>
      <c r="N70" s="1440"/>
      <c r="O70" s="1440"/>
      <c r="P70" s="1440"/>
      <c r="Q70" s="1440"/>
      <c r="R70" s="1440"/>
      <c r="S70" s="1440"/>
      <c r="T70" s="1440"/>
      <c r="U70" s="1440"/>
      <c r="V70" s="1440"/>
      <c r="W70" s="1440"/>
      <c r="X70" s="1440"/>
      <c r="Y70" s="1440"/>
      <c r="Z70" s="1440"/>
      <c r="AA70" s="1440"/>
      <c r="AB70" s="1440"/>
      <c r="AC70" s="1440"/>
      <c r="AD70" s="1440"/>
      <c r="AE70" s="1440"/>
      <c r="AF70" s="1440"/>
      <c r="AG70" s="1440"/>
      <c r="AH70" s="1440"/>
      <c r="AI70" s="1440"/>
      <c r="AJ70" s="1440"/>
      <c r="AK70" s="1440"/>
      <c r="AL70" s="1440"/>
      <c r="AM70" s="1440"/>
      <c r="AN70" s="1440"/>
      <c r="AO70" s="1440"/>
      <c r="AP70" s="1440"/>
      <c r="AQ70" s="1440"/>
      <c r="AR70" s="1440"/>
      <c r="AS70" s="1440"/>
      <c r="AT70" s="1440"/>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438" t="s">
        <v>2519</v>
      </c>
      <c r="B72" s="1438"/>
      <c r="C72" s="1438"/>
      <c r="D72" s="1438"/>
      <c r="E72" s="1438"/>
      <c r="F72" s="1438"/>
      <c r="G72" s="1438"/>
      <c r="H72" s="1438"/>
      <c r="I72" s="1438"/>
      <c r="J72" s="1438"/>
      <c r="K72" s="1438"/>
      <c r="L72" s="1438"/>
      <c r="M72" s="1438"/>
      <c r="N72" s="1438"/>
      <c r="O72" s="1438"/>
      <c r="P72" s="1438"/>
      <c r="Q72" s="1438"/>
      <c r="R72" s="1438"/>
      <c r="S72" s="1438"/>
      <c r="T72" s="1438"/>
      <c r="U72" s="1438"/>
      <c r="V72" s="1438"/>
      <c r="W72" s="1438"/>
      <c r="X72" s="1438"/>
      <c r="Y72" s="1438"/>
      <c r="Z72" s="1438"/>
      <c r="AA72" s="1438"/>
      <c r="AB72" s="1438"/>
      <c r="AC72" s="1438"/>
      <c r="AD72" s="1438"/>
      <c r="AE72" s="1438"/>
      <c r="AF72" s="1438"/>
      <c r="AG72" s="1438"/>
      <c r="AH72" s="1438"/>
      <c r="AI72" s="1438"/>
      <c r="AJ72" s="1438"/>
      <c r="AK72" s="1438"/>
      <c r="AL72" s="1438"/>
      <c r="AM72" s="1438"/>
      <c r="AN72" s="1438"/>
      <c r="AO72" s="1438"/>
      <c r="AP72" s="1438"/>
      <c r="AQ72" s="1438"/>
      <c r="AR72" s="1438"/>
      <c r="AS72" s="1438"/>
      <c r="AT72" s="1438"/>
      <c r="AU72" s="20"/>
      <c r="AV72" s="20"/>
      <c r="AW72" s="20"/>
      <c r="AX72" s="20"/>
      <c r="AY72" s="20"/>
      <c r="AZ72" s="20"/>
    </row>
    <row r="73" spans="1:52" ht="12.95" customHeight="1">
      <c r="A73" s="1438"/>
      <c r="B73" s="1438"/>
      <c r="C73" s="1438"/>
      <c r="D73" s="1438"/>
      <c r="E73" s="1438"/>
      <c r="F73" s="1438"/>
      <c r="G73" s="1438"/>
      <c r="H73" s="1438"/>
      <c r="I73" s="1438"/>
      <c r="J73" s="1438"/>
      <c r="K73" s="1438"/>
      <c r="L73" s="1438"/>
      <c r="M73" s="1438"/>
      <c r="N73" s="1438"/>
      <c r="O73" s="1438"/>
      <c r="P73" s="1438"/>
      <c r="Q73" s="1438"/>
      <c r="R73" s="1438"/>
      <c r="S73" s="1438"/>
      <c r="T73" s="1438"/>
      <c r="U73" s="1438"/>
      <c r="V73" s="1438"/>
      <c r="W73" s="1438"/>
      <c r="X73" s="1438"/>
      <c r="Y73" s="1438"/>
      <c r="Z73" s="1438"/>
      <c r="AA73" s="1438"/>
      <c r="AB73" s="1438"/>
      <c r="AC73" s="1438"/>
      <c r="AD73" s="1438"/>
      <c r="AE73" s="1438"/>
      <c r="AF73" s="1438"/>
      <c r="AG73" s="1438"/>
      <c r="AH73" s="1438"/>
      <c r="AI73" s="1438"/>
      <c r="AJ73" s="1438"/>
      <c r="AK73" s="1438"/>
      <c r="AL73" s="1438"/>
      <c r="AM73" s="1438"/>
      <c r="AN73" s="1438"/>
      <c r="AO73" s="1438"/>
      <c r="AP73" s="1438"/>
      <c r="AQ73" s="1438"/>
      <c r="AR73" s="1438"/>
      <c r="AS73" s="1438"/>
      <c r="AT73" s="1438"/>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805" t="s">
        <v>2520</v>
      </c>
      <c r="B75" s="1805"/>
      <c r="C75" s="1805"/>
      <c r="D75" s="1805"/>
      <c r="E75" s="1805"/>
      <c r="F75" s="1805"/>
      <c r="G75" s="1805"/>
      <c r="H75" s="1805"/>
      <c r="I75" s="1805"/>
      <c r="J75" s="1805"/>
      <c r="K75" s="1805"/>
      <c r="L75" s="1805"/>
      <c r="M75" s="1805"/>
      <c r="N75" s="1805"/>
      <c r="O75" s="1805"/>
      <c r="P75" s="1805"/>
      <c r="Q75" s="1805"/>
      <c r="R75" s="1805"/>
      <c r="S75" s="1805"/>
      <c r="T75" s="1805"/>
      <c r="U75" s="1805"/>
      <c r="V75" s="1805"/>
      <c r="W75" s="1805"/>
      <c r="X75" s="1805"/>
      <c r="Y75" s="1805"/>
      <c r="Z75" s="1805"/>
      <c r="AA75" s="1805"/>
      <c r="AB75" s="1805"/>
      <c r="AC75" s="1805"/>
      <c r="AD75" s="1805"/>
      <c r="AE75" s="1805"/>
      <c r="AF75" s="1805"/>
      <c r="AG75" s="1805"/>
      <c r="AH75" s="1805"/>
      <c r="AI75" s="1805"/>
      <c r="AJ75" s="1805"/>
      <c r="AK75" s="1805"/>
      <c r="AL75" s="1805"/>
      <c r="AM75" s="1805"/>
      <c r="AN75" s="1805"/>
      <c r="AO75" s="1805"/>
      <c r="AP75" s="1805"/>
      <c r="AQ75" s="1805"/>
      <c r="AR75" s="1805"/>
      <c r="AS75" s="1805"/>
      <c r="AT75" s="1805"/>
      <c r="AU75" s="20"/>
      <c r="AV75" s="20"/>
      <c r="AW75" s="20"/>
      <c r="AX75" s="20"/>
      <c r="AY75" s="20"/>
      <c r="AZ75" s="20"/>
    </row>
    <row r="76" spans="1:52" ht="12.95" customHeight="1">
      <c r="A76" s="1805"/>
      <c r="B76" s="1805"/>
      <c r="C76" s="1805"/>
      <c r="D76" s="1805"/>
      <c r="E76" s="1805"/>
      <c r="F76" s="1805"/>
      <c r="G76" s="1805"/>
      <c r="H76" s="1805"/>
      <c r="I76" s="1805"/>
      <c r="J76" s="1805"/>
      <c r="K76" s="1805"/>
      <c r="L76" s="1805"/>
      <c r="M76" s="1805"/>
      <c r="N76" s="1805"/>
      <c r="O76" s="1805"/>
      <c r="P76" s="1805"/>
      <c r="Q76" s="1805"/>
      <c r="R76" s="1805"/>
      <c r="S76" s="1805"/>
      <c r="T76" s="1805"/>
      <c r="U76" s="1805"/>
      <c r="V76" s="1805"/>
      <c r="W76" s="1805"/>
      <c r="X76" s="1805"/>
      <c r="Y76" s="1805"/>
      <c r="Z76" s="1805"/>
      <c r="AA76" s="1805"/>
      <c r="AB76" s="1805"/>
      <c r="AC76" s="1805"/>
      <c r="AD76" s="1805"/>
      <c r="AE76" s="1805"/>
      <c r="AF76" s="1805"/>
      <c r="AG76" s="1805"/>
      <c r="AH76" s="1805"/>
      <c r="AI76" s="1805"/>
      <c r="AJ76" s="1805"/>
      <c r="AK76" s="1805"/>
      <c r="AL76" s="1805"/>
      <c r="AM76" s="1805"/>
      <c r="AN76" s="1805"/>
      <c r="AO76" s="1805"/>
      <c r="AP76" s="1805"/>
      <c r="AQ76" s="1805"/>
      <c r="AR76" s="1805"/>
      <c r="AS76" s="1805"/>
      <c r="AT76" s="1805"/>
      <c r="AU76" s="20"/>
      <c r="AV76" s="20"/>
      <c r="AW76" s="20"/>
      <c r="AX76" s="20"/>
      <c r="AY76" s="20"/>
      <c r="AZ76" s="17"/>
    </row>
    <row r="77" spans="1:52" ht="12.95" customHeight="1">
      <c r="A77" s="1805"/>
      <c r="B77" s="1805"/>
      <c r="C77" s="1805"/>
      <c r="D77" s="1805"/>
      <c r="E77" s="1805"/>
      <c r="F77" s="1805"/>
      <c r="G77" s="1805"/>
      <c r="H77" s="1805"/>
      <c r="I77" s="1805"/>
      <c r="J77" s="1805"/>
      <c r="K77" s="1805"/>
      <c r="L77" s="1805"/>
      <c r="M77" s="1805"/>
      <c r="N77" s="1805"/>
      <c r="O77" s="1805"/>
      <c r="P77" s="1805"/>
      <c r="Q77" s="1805"/>
      <c r="R77" s="1805"/>
      <c r="S77" s="1805"/>
      <c r="T77" s="1805"/>
      <c r="U77" s="1805"/>
      <c r="V77" s="1805"/>
      <c r="W77" s="1805"/>
      <c r="X77" s="1805"/>
      <c r="Y77" s="1805"/>
      <c r="Z77" s="1805"/>
      <c r="AA77" s="1805"/>
      <c r="AB77" s="1805"/>
      <c r="AC77" s="1805"/>
      <c r="AD77" s="1805"/>
      <c r="AE77" s="1805"/>
      <c r="AF77" s="1805"/>
      <c r="AG77" s="1805"/>
      <c r="AH77" s="1805"/>
      <c r="AI77" s="1805"/>
      <c r="AJ77" s="1805"/>
      <c r="AK77" s="1805"/>
      <c r="AL77" s="1805"/>
      <c r="AM77" s="1805"/>
      <c r="AN77" s="1805"/>
      <c r="AO77" s="1805"/>
      <c r="AP77" s="1805"/>
      <c r="AQ77" s="1805"/>
      <c r="AR77" s="1805"/>
      <c r="AS77" s="1805"/>
      <c r="AT77" s="1805"/>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440" t="s">
        <v>2521</v>
      </c>
      <c r="B79" s="1440"/>
      <c r="C79" s="1440"/>
      <c r="D79" s="1440"/>
      <c r="E79" s="1440"/>
      <c r="F79" s="1440"/>
      <c r="G79" s="1440"/>
      <c r="H79" s="1440"/>
      <c r="I79" s="1440"/>
      <c r="J79" s="1440"/>
      <c r="K79" s="1440"/>
      <c r="L79" s="1440"/>
      <c r="M79" s="1440"/>
      <c r="N79" s="1440"/>
      <c r="O79" s="1440"/>
      <c r="P79" s="1440"/>
      <c r="Q79" s="1440"/>
      <c r="R79" s="1440"/>
      <c r="S79" s="1440"/>
      <c r="T79" s="1440"/>
      <c r="U79" s="1440"/>
      <c r="V79" s="1440"/>
      <c r="W79" s="1440"/>
      <c r="X79" s="1440"/>
      <c r="Y79" s="1440"/>
      <c r="Z79" s="1440"/>
      <c r="AA79" s="1440"/>
      <c r="AB79" s="1440"/>
      <c r="AC79" s="1440"/>
      <c r="AD79" s="1440"/>
      <c r="AE79" s="1440"/>
      <c r="AF79" s="1440"/>
      <c r="AG79" s="1440"/>
      <c r="AH79" s="1440"/>
      <c r="AI79" s="1440"/>
      <c r="AJ79" s="1440"/>
      <c r="AK79" s="1440"/>
      <c r="AL79" s="1440"/>
      <c r="AM79" s="1440"/>
      <c r="AN79" s="1440"/>
      <c r="AO79" s="1440"/>
      <c r="AP79" s="1440"/>
      <c r="AQ79" s="1440"/>
      <c r="AR79" s="1440"/>
      <c r="AS79" s="1440"/>
      <c r="AT79" s="1440"/>
      <c r="AU79" s="20"/>
      <c r="AV79" s="20"/>
      <c r="AW79" s="20"/>
      <c r="AX79" s="20"/>
      <c r="AY79" s="20"/>
      <c r="AZ79" s="20"/>
    </row>
    <row r="80" spans="1:52" ht="12.95" customHeight="1">
      <c r="A80" s="1440"/>
      <c r="B80" s="1440"/>
      <c r="C80" s="1440"/>
      <c r="D80" s="1440"/>
      <c r="E80" s="1440"/>
      <c r="F80" s="1440"/>
      <c r="G80" s="1440"/>
      <c r="H80" s="1440"/>
      <c r="I80" s="1440"/>
      <c r="J80" s="1440"/>
      <c r="K80" s="1440"/>
      <c r="L80" s="1440"/>
      <c r="M80" s="1440"/>
      <c r="N80" s="1440"/>
      <c r="O80" s="1440"/>
      <c r="P80" s="1440"/>
      <c r="Q80" s="1440"/>
      <c r="R80" s="1440"/>
      <c r="S80" s="1440"/>
      <c r="T80" s="1440"/>
      <c r="U80" s="1440"/>
      <c r="V80" s="1440"/>
      <c r="W80" s="1440"/>
      <c r="X80" s="1440"/>
      <c r="Y80" s="1440"/>
      <c r="Z80" s="1440"/>
      <c r="AA80" s="1440"/>
      <c r="AB80" s="1440"/>
      <c r="AC80" s="1440"/>
      <c r="AD80" s="1440"/>
      <c r="AE80" s="1440"/>
      <c r="AF80" s="1440"/>
      <c r="AG80" s="1440"/>
      <c r="AH80" s="1440"/>
      <c r="AI80" s="1440"/>
      <c r="AJ80" s="1440"/>
      <c r="AK80" s="1440"/>
      <c r="AL80" s="1440"/>
      <c r="AM80" s="1440"/>
      <c r="AN80" s="1440"/>
      <c r="AO80" s="1440"/>
      <c r="AP80" s="1440"/>
      <c r="AQ80" s="1440"/>
      <c r="AR80" s="1440"/>
      <c r="AS80" s="1440"/>
      <c r="AT80" s="1440"/>
      <c r="AU80" s="20"/>
      <c r="AV80" s="20"/>
      <c r="AW80" s="20"/>
      <c r="AX80" s="20"/>
      <c r="AY80" s="20"/>
      <c r="AZ80" s="20"/>
    </row>
    <row r="81" spans="1:52" ht="12.95" customHeight="1">
      <c r="A81" s="1440"/>
      <c r="B81" s="1440"/>
      <c r="C81" s="1440"/>
      <c r="D81" s="1440"/>
      <c r="E81" s="1440"/>
      <c r="F81" s="1440"/>
      <c r="G81" s="1440"/>
      <c r="H81" s="1440"/>
      <c r="I81" s="1440"/>
      <c r="J81" s="1440"/>
      <c r="K81" s="1440"/>
      <c r="L81" s="1440"/>
      <c r="M81" s="1440"/>
      <c r="N81" s="1440"/>
      <c r="O81" s="1440"/>
      <c r="P81" s="1440"/>
      <c r="Q81" s="1440"/>
      <c r="R81" s="1440"/>
      <c r="S81" s="1440"/>
      <c r="T81" s="1440"/>
      <c r="U81" s="1440"/>
      <c r="V81" s="1440"/>
      <c r="W81" s="1440"/>
      <c r="X81" s="1440"/>
      <c r="Y81" s="1440"/>
      <c r="Z81" s="1440"/>
      <c r="AA81" s="1440"/>
      <c r="AB81" s="1440"/>
      <c r="AC81" s="1440"/>
      <c r="AD81" s="1440"/>
      <c r="AE81" s="1440"/>
      <c r="AF81" s="1440"/>
      <c r="AG81" s="1440"/>
      <c r="AH81" s="1440"/>
      <c r="AI81" s="1440"/>
      <c r="AJ81" s="1440"/>
      <c r="AK81" s="1440"/>
      <c r="AL81" s="1440"/>
      <c r="AM81" s="1440"/>
      <c r="AN81" s="1440"/>
      <c r="AO81" s="1440"/>
      <c r="AP81" s="1440"/>
      <c r="AQ81" s="1440"/>
      <c r="AR81" s="1440"/>
      <c r="AS81" s="1440"/>
      <c r="AT81" s="1440"/>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8" t="s">
        <v>2522</v>
      </c>
      <c r="B83" s="1268"/>
      <c r="C83" s="1268"/>
      <c r="D83" s="1268"/>
      <c r="E83" s="1268"/>
      <c r="F83" s="1268"/>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c r="AL83" s="1268"/>
      <c r="AM83" s="1268"/>
      <c r="AN83" s="1268"/>
      <c r="AO83" s="1268"/>
      <c r="AP83" s="1268"/>
      <c r="AQ83" s="1268"/>
      <c r="AR83" s="1268"/>
      <c r="AS83" s="1268"/>
      <c r="AT83" s="1268"/>
      <c r="AU83" s="20"/>
      <c r="AV83" s="20"/>
      <c r="AW83" s="20"/>
      <c r="AX83" s="20"/>
      <c r="AY83" s="20"/>
      <c r="AZ83" s="20"/>
    </row>
    <row r="84" spans="1:52" ht="12.95" customHeight="1">
      <c r="A84" s="1268"/>
      <c r="B84" s="1268"/>
      <c r="C84" s="1268"/>
      <c r="D84" s="1268"/>
      <c r="E84" s="1268"/>
      <c r="F84" s="1268"/>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c r="AL84" s="1268"/>
      <c r="AM84" s="1268"/>
      <c r="AN84" s="1268"/>
      <c r="AO84" s="1268"/>
      <c r="AP84" s="1268"/>
      <c r="AQ84" s="1268"/>
      <c r="AR84" s="1268"/>
      <c r="AS84" s="1268"/>
      <c r="AT84" s="1268"/>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8" t="s">
        <v>2523</v>
      </c>
      <c r="B86" s="1268"/>
      <c r="C86" s="1268"/>
      <c r="D86" s="1268"/>
      <c r="E86" s="1268"/>
      <c r="F86" s="1268"/>
      <c r="G86" s="1268"/>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c r="AL86" s="1268"/>
      <c r="AM86" s="1268"/>
      <c r="AN86" s="1268"/>
      <c r="AO86" s="1268"/>
      <c r="AP86" s="1268"/>
      <c r="AQ86" s="1268"/>
      <c r="AR86" s="1268"/>
      <c r="AS86" s="1268"/>
      <c r="AT86" s="1268"/>
      <c r="AU86" s="20"/>
      <c r="AV86" s="20"/>
      <c r="AW86" s="20"/>
      <c r="AX86" s="20"/>
      <c r="AY86" s="20"/>
      <c r="AZ86" s="20"/>
    </row>
    <row r="87" spans="1:52" ht="12.95" customHeight="1">
      <c r="A87" s="1268"/>
      <c r="B87" s="1268"/>
      <c r="C87" s="1268"/>
      <c r="D87" s="1268"/>
      <c r="E87" s="1268"/>
      <c r="F87" s="1268"/>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c r="AL87" s="1268"/>
      <c r="AM87" s="1268"/>
      <c r="AN87" s="1268"/>
      <c r="AO87" s="1268"/>
      <c r="AP87" s="1268"/>
      <c r="AQ87" s="1268"/>
      <c r="AR87" s="1268"/>
      <c r="AS87" s="1268"/>
      <c r="AT87" s="1268"/>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819" t="s">
        <v>2524</v>
      </c>
      <c r="B89" s="1819"/>
      <c r="C89" s="1819"/>
      <c r="D89" s="1819"/>
      <c r="E89" s="1819"/>
      <c r="F89" s="1819"/>
      <c r="G89" s="1819"/>
      <c r="H89" s="1819"/>
      <c r="I89" s="1819"/>
      <c r="J89" s="1819"/>
      <c r="K89" s="1819"/>
      <c r="L89" s="1819"/>
      <c r="M89" s="1819"/>
      <c r="N89" s="1819"/>
      <c r="O89" s="1819"/>
      <c r="P89" s="1819"/>
      <c r="Q89" s="1819"/>
      <c r="R89" s="1819"/>
      <c r="S89" s="1819"/>
      <c r="T89" s="1819"/>
      <c r="U89" s="1819"/>
      <c r="V89" s="1819"/>
      <c r="W89" s="1819"/>
      <c r="X89" s="1819"/>
      <c r="Y89" s="1819"/>
      <c r="Z89" s="1819"/>
      <c r="AA89" s="1819"/>
      <c r="AB89" s="1819"/>
      <c r="AC89" s="1819"/>
      <c r="AD89" s="1819"/>
      <c r="AE89" s="1819"/>
      <c r="AF89" s="1819"/>
      <c r="AG89" s="1819"/>
      <c r="AH89" s="1819"/>
      <c r="AI89" s="1819"/>
      <c r="AJ89" s="1819"/>
      <c r="AK89" s="1819"/>
      <c r="AL89" s="1819"/>
      <c r="AM89" s="1819"/>
      <c r="AN89" s="1819"/>
      <c r="AO89" s="1819"/>
      <c r="AP89" s="1819"/>
      <c r="AQ89" s="1819"/>
      <c r="AR89" s="1819"/>
      <c r="AS89" s="1819"/>
      <c r="AT89" s="1819"/>
      <c r="AU89" s="17"/>
      <c r="AV89" s="17"/>
      <c r="AW89" s="17"/>
      <c r="AX89" s="17"/>
      <c r="AY89" s="17"/>
      <c r="AZ89" s="20"/>
    </row>
    <row r="90" spans="1:52" ht="12.95" customHeight="1">
      <c r="A90" s="1819"/>
      <c r="B90" s="1819"/>
      <c r="C90" s="1819"/>
      <c r="D90" s="1819"/>
      <c r="E90" s="1819"/>
      <c r="F90" s="1819"/>
      <c r="G90" s="1819"/>
      <c r="H90" s="1819"/>
      <c r="I90" s="1819"/>
      <c r="J90" s="1819"/>
      <c r="K90" s="1819"/>
      <c r="L90" s="1819"/>
      <c r="M90" s="1819"/>
      <c r="N90" s="1819"/>
      <c r="O90" s="1819"/>
      <c r="P90" s="1819"/>
      <c r="Q90" s="1819"/>
      <c r="R90" s="1819"/>
      <c r="S90" s="1819"/>
      <c r="T90" s="1819"/>
      <c r="U90" s="1819"/>
      <c r="V90" s="1819"/>
      <c r="W90" s="1819"/>
      <c r="X90" s="1819"/>
      <c r="Y90" s="1819"/>
      <c r="Z90" s="1819"/>
      <c r="AA90" s="1819"/>
      <c r="AB90" s="1819"/>
      <c r="AC90" s="1819"/>
      <c r="AD90" s="1819"/>
      <c r="AE90" s="1819"/>
      <c r="AF90" s="1819"/>
      <c r="AG90" s="1819"/>
      <c r="AH90" s="1819"/>
      <c r="AI90" s="1819"/>
      <c r="AJ90" s="1819"/>
      <c r="AK90" s="1819"/>
      <c r="AL90" s="1819"/>
      <c r="AM90" s="1819"/>
      <c r="AN90" s="1819"/>
      <c r="AO90" s="1819"/>
      <c r="AP90" s="1819"/>
      <c r="AQ90" s="1819"/>
      <c r="AR90" s="1819"/>
      <c r="AS90" s="1819"/>
      <c r="AT90" s="1819"/>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805" t="s">
        <v>2525</v>
      </c>
      <c r="B92" s="1805"/>
      <c r="C92" s="1805"/>
      <c r="D92" s="1805"/>
      <c r="E92" s="1805"/>
      <c r="F92" s="1805"/>
      <c r="G92" s="1805"/>
      <c r="H92" s="1805"/>
      <c r="I92" s="1805"/>
      <c r="J92" s="1805"/>
      <c r="K92" s="1805"/>
      <c r="L92" s="1805"/>
      <c r="M92" s="1805"/>
      <c r="N92" s="1805"/>
      <c r="O92" s="1805"/>
      <c r="P92" s="1805"/>
      <c r="Q92" s="1805"/>
      <c r="R92" s="1805"/>
      <c r="S92" s="1805"/>
      <c r="T92" s="1805"/>
      <c r="U92" s="1805"/>
      <c r="V92" s="1805"/>
      <c r="W92" s="1805"/>
      <c r="X92" s="1805"/>
      <c r="Y92" s="1805"/>
      <c r="Z92" s="1805"/>
      <c r="AA92" s="1805"/>
      <c r="AB92" s="1805"/>
      <c r="AC92" s="1805"/>
      <c r="AD92" s="1805"/>
      <c r="AE92" s="1805"/>
      <c r="AF92" s="1805"/>
      <c r="AG92" s="1805"/>
      <c r="AH92" s="1805"/>
      <c r="AI92" s="1805"/>
      <c r="AJ92" s="1805"/>
      <c r="AK92" s="1805"/>
      <c r="AL92" s="1805"/>
      <c r="AM92" s="1805"/>
      <c r="AN92" s="1805"/>
      <c r="AO92" s="1805"/>
      <c r="AP92" s="1805"/>
      <c r="AQ92" s="1805"/>
      <c r="AR92" s="1805"/>
      <c r="AS92" s="1805"/>
      <c r="AT92" s="1805"/>
      <c r="AU92" s="20"/>
      <c r="AV92" s="20"/>
      <c r="AW92" s="20"/>
      <c r="AX92" s="20"/>
      <c r="AY92" s="20"/>
      <c r="AZ92" s="20"/>
    </row>
    <row r="93" spans="1:52" ht="12.95" customHeight="1">
      <c r="A93" s="1805"/>
      <c r="B93" s="1805"/>
      <c r="C93" s="1805"/>
      <c r="D93" s="1805"/>
      <c r="E93" s="1805"/>
      <c r="F93" s="1805"/>
      <c r="G93" s="1805"/>
      <c r="H93" s="1805"/>
      <c r="I93" s="1805"/>
      <c r="J93" s="1805"/>
      <c r="K93" s="1805"/>
      <c r="L93" s="1805"/>
      <c r="M93" s="1805"/>
      <c r="N93" s="1805"/>
      <c r="O93" s="1805"/>
      <c r="P93" s="1805"/>
      <c r="Q93" s="1805"/>
      <c r="R93" s="1805"/>
      <c r="S93" s="1805"/>
      <c r="T93" s="1805"/>
      <c r="U93" s="1805"/>
      <c r="V93" s="1805"/>
      <c r="W93" s="1805"/>
      <c r="X93" s="1805"/>
      <c r="Y93" s="1805"/>
      <c r="Z93" s="1805"/>
      <c r="AA93" s="1805"/>
      <c r="AB93" s="1805"/>
      <c r="AC93" s="1805"/>
      <c r="AD93" s="1805"/>
      <c r="AE93" s="1805"/>
      <c r="AF93" s="1805"/>
      <c r="AG93" s="1805"/>
      <c r="AH93" s="1805"/>
      <c r="AI93" s="1805"/>
      <c r="AJ93" s="1805"/>
      <c r="AK93" s="1805"/>
      <c r="AL93" s="1805"/>
      <c r="AM93" s="1805"/>
      <c r="AN93" s="1805"/>
      <c r="AO93" s="1805"/>
      <c r="AP93" s="1805"/>
      <c r="AQ93" s="1805"/>
      <c r="AR93" s="1805"/>
      <c r="AS93" s="1805"/>
      <c r="AT93" s="1805"/>
      <c r="AU93" s="20"/>
      <c r="AV93" s="20"/>
      <c r="AW93" s="20"/>
      <c r="AX93" s="20"/>
      <c r="AY93" s="20"/>
      <c r="AZ93" s="20"/>
    </row>
    <row r="94" spans="1:52" ht="12.95" customHeight="1">
      <c r="A94" s="1805"/>
      <c r="B94" s="1805"/>
      <c r="C94" s="1805"/>
      <c r="D94" s="1805"/>
      <c r="E94" s="1805"/>
      <c r="F94" s="1805"/>
      <c r="G94" s="1805"/>
      <c r="H94" s="1805"/>
      <c r="I94" s="1805"/>
      <c r="J94" s="1805"/>
      <c r="K94" s="1805"/>
      <c r="L94" s="1805"/>
      <c r="M94" s="1805"/>
      <c r="N94" s="1805"/>
      <c r="O94" s="1805"/>
      <c r="P94" s="1805"/>
      <c r="Q94" s="1805"/>
      <c r="R94" s="1805"/>
      <c r="S94" s="1805"/>
      <c r="T94" s="1805"/>
      <c r="U94" s="1805"/>
      <c r="V94" s="1805"/>
      <c r="W94" s="1805"/>
      <c r="X94" s="1805"/>
      <c r="Y94" s="1805"/>
      <c r="Z94" s="1805"/>
      <c r="AA94" s="1805"/>
      <c r="AB94" s="1805"/>
      <c r="AC94" s="1805"/>
      <c r="AD94" s="1805"/>
      <c r="AE94" s="1805"/>
      <c r="AF94" s="1805"/>
      <c r="AG94" s="1805"/>
      <c r="AH94" s="1805"/>
      <c r="AI94" s="1805"/>
      <c r="AJ94" s="1805"/>
      <c r="AK94" s="1805"/>
      <c r="AL94" s="1805"/>
      <c r="AM94" s="1805"/>
      <c r="AN94" s="1805"/>
      <c r="AO94" s="1805"/>
      <c r="AP94" s="1805"/>
      <c r="AQ94" s="1805"/>
      <c r="AR94" s="1805"/>
      <c r="AS94" s="1805"/>
      <c r="AT94" s="1805"/>
      <c r="AU94" s="20"/>
      <c r="AV94" s="20"/>
      <c r="AW94" s="20"/>
      <c r="AX94" s="20"/>
      <c r="AY94" s="20"/>
      <c r="AZ94" s="20"/>
    </row>
    <row r="95" spans="1:52" ht="12.95" customHeight="1">
      <c r="A95" s="1805"/>
      <c r="B95" s="1805"/>
      <c r="C95" s="1805"/>
      <c r="D95" s="1805"/>
      <c r="E95" s="1805"/>
      <c r="F95" s="1805"/>
      <c r="G95" s="1805"/>
      <c r="H95" s="1805"/>
      <c r="I95" s="1805"/>
      <c r="J95" s="1805"/>
      <c r="K95" s="1805"/>
      <c r="L95" s="1805"/>
      <c r="M95" s="1805"/>
      <c r="N95" s="1805"/>
      <c r="O95" s="1805"/>
      <c r="P95" s="1805"/>
      <c r="Q95" s="1805"/>
      <c r="R95" s="1805"/>
      <c r="S95" s="1805"/>
      <c r="T95" s="1805"/>
      <c r="U95" s="1805"/>
      <c r="V95" s="1805"/>
      <c r="W95" s="1805"/>
      <c r="X95" s="1805"/>
      <c r="Y95" s="1805"/>
      <c r="Z95" s="1805"/>
      <c r="AA95" s="1805"/>
      <c r="AB95" s="1805"/>
      <c r="AC95" s="1805"/>
      <c r="AD95" s="1805"/>
      <c r="AE95" s="1805"/>
      <c r="AF95" s="1805"/>
      <c r="AG95" s="1805"/>
      <c r="AH95" s="1805"/>
      <c r="AI95" s="1805"/>
      <c r="AJ95" s="1805"/>
      <c r="AK95" s="1805"/>
      <c r="AL95" s="1805"/>
      <c r="AM95" s="1805"/>
      <c r="AN95" s="1805"/>
      <c r="AO95" s="1805"/>
      <c r="AP95" s="1805"/>
      <c r="AQ95" s="1805"/>
      <c r="AR95" s="1805"/>
      <c r="AS95" s="1805"/>
      <c r="AT95" s="1805"/>
      <c r="AU95" s="20"/>
      <c r="AV95" s="20"/>
      <c r="AW95" s="20"/>
      <c r="AX95" s="20"/>
      <c r="AY95" s="20"/>
      <c r="AZ95" s="20"/>
    </row>
    <row r="96" spans="1:52" ht="12.95" customHeight="1">
      <c r="A96" s="1805"/>
      <c r="B96" s="1805"/>
      <c r="C96" s="1805"/>
      <c r="D96" s="1805"/>
      <c r="E96" s="1805"/>
      <c r="F96" s="1805"/>
      <c r="G96" s="1805"/>
      <c r="H96" s="1805"/>
      <c r="I96" s="1805"/>
      <c r="J96" s="1805"/>
      <c r="K96" s="1805"/>
      <c r="L96" s="1805"/>
      <c r="M96" s="1805"/>
      <c r="N96" s="1805"/>
      <c r="O96" s="1805"/>
      <c r="P96" s="1805"/>
      <c r="Q96" s="1805"/>
      <c r="R96" s="1805"/>
      <c r="S96" s="1805"/>
      <c r="T96" s="1805"/>
      <c r="U96" s="1805"/>
      <c r="V96" s="1805"/>
      <c r="W96" s="1805"/>
      <c r="X96" s="1805"/>
      <c r="Y96" s="1805"/>
      <c r="Z96" s="1805"/>
      <c r="AA96" s="1805"/>
      <c r="AB96" s="1805"/>
      <c r="AC96" s="1805"/>
      <c r="AD96" s="1805"/>
      <c r="AE96" s="1805"/>
      <c r="AF96" s="1805"/>
      <c r="AG96" s="1805"/>
      <c r="AH96" s="1805"/>
      <c r="AI96" s="1805"/>
      <c r="AJ96" s="1805"/>
      <c r="AK96" s="1805"/>
      <c r="AL96" s="1805"/>
      <c r="AM96" s="1805"/>
      <c r="AN96" s="1805"/>
      <c r="AO96" s="1805"/>
      <c r="AP96" s="1805"/>
      <c r="AQ96" s="1805"/>
      <c r="AR96" s="1805"/>
      <c r="AS96" s="1805"/>
      <c r="AT96" s="1805"/>
      <c r="AU96" s="20"/>
      <c r="AV96" s="20"/>
      <c r="AW96" s="20"/>
      <c r="AX96" s="20"/>
      <c r="AY96" s="20"/>
      <c r="AZ96" s="20"/>
    </row>
    <row r="97" spans="1:52" ht="12.95" customHeight="1">
      <c r="A97" s="1805"/>
      <c r="B97" s="1805"/>
      <c r="C97" s="1805"/>
      <c r="D97" s="1805"/>
      <c r="E97" s="1805"/>
      <c r="F97" s="1805"/>
      <c r="G97" s="1805"/>
      <c r="H97" s="1805"/>
      <c r="I97" s="1805"/>
      <c r="J97" s="1805"/>
      <c r="K97" s="1805"/>
      <c r="L97" s="1805"/>
      <c r="M97" s="1805"/>
      <c r="N97" s="1805"/>
      <c r="O97" s="1805"/>
      <c r="P97" s="1805"/>
      <c r="Q97" s="1805"/>
      <c r="R97" s="1805"/>
      <c r="S97" s="1805"/>
      <c r="T97" s="1805"/>
      <c r="U97" s="1805"/>
      <c r="V97" s="1805"/>
      <c r="W97" s="1805"/>
      <c r="X97" s="1805"/>
      <c r="Y97" s="1805"/>
      <c r="Z97" s="1805"/>
      <c r="AA97" s="1805"/>
      <c r="AB97" s="1805"/>
      <c r="AC97" s="1805"/>
      <c r="AD97" s="1805"/>
      <c r="AE97" s="1805"/>
      <c r="AF97" s="1805"/>
      <c r="AG97" s="1805"/>
      <c r="AH97" s="1805"/>
      <c r="AI97" s="1805"/>
      <c r="AJ97" s="1805"/>
      <c r="AK97" s="1805"/>
      <c r="AL97" s="1805"/>
      <c r="AM97" s="1805"/>
      <c r="AN97" s="1805"/>
      <c r="AO97" s="1805"/>
      <c r="AP97" s="1805"/>
      <c r="AQ97" s="1805"/>
      <c r="AR97" s="1805"/>
      <c r="AS97" s="1805"/>
      <c r="AT97" s="1805"/>
      <c r="AU97" s="20"/>
      <c r="AV97" s="20"/>
      <c r="AW97" s="20"/>
      <c r="AX97" s="20"/>
      <c r="AY97" s="20"/>
      <c r="AZ97" s="20"/>
    </row>
    <row r="98" spans="1:52" ht="12.95" customHeight="1">
      <c r="A98" s="1805"/>
      <c r="B98" s="1805"/>
      <c r="C98" s="1805"/>
      <c r="D98" s="1805"/>
      <c r="E98" s="1805"/>
      <c r="F98" s="1805"/>
      <c r="G98" s="1805"/>
      <c r="H98" s="1805"/>
      <c r="I98" s="1805"/>
      <c r="J98" s="1805"/>
      <c r="K98" s="1805"/>
      <c r="L98" s="1805"/>
      <c r="M98" s="1805"/>
      <c r="N98" s="1805"/>
      <c r="O98" s="1805"/>
      <c r="P98" s="1805"/>
      <c r="Q98" s="1805"/>
      <c r="R98" s="1805"/>
      <c r="S98" s="1805"/>
      <c r="T98" s="1805"/>
      <c r="U98" s="1805"/>
      <c r="V98" s="1805"/>
      <c r="W98" s="1805"/>
      <c r="X98" s="1805"/>
      <c r="Y98" s="1805"/>
      <c r="Z98" s="1805"/>
      <c r="AA98" s="1805"/>
      <c r="AB98" s="1805"/>
      <c r="AC98" s="1805"/>
      <c r="AD98" s="1805"/>
      <c r="AE98" s="1805"/>
      <c r="AF98" s="1805"/>
      <c r="AG98" s="1805"/>
      <c r="AH98" s="1805"/>
      <c r="AI98" s="1805"/>
      <c r="AJ98" s="1805"/>
      <c r="AK98" s="1805"/>
      <c r="AL98" s="1805"/>
      <c r="AM98" s="1805"/>
      <c r="AN98" s="1805"/>
      <c r="AO98" s="1805"/>
      <c r="AP98" s="1805"/>
      <c r="AQ98" s="1805"/>
      <c r="AR98" s="1805"/>
      <c r="AS98" s="1805"/>
      <c r="AT98" s="1805"/>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299" t="s">
        <v>2526</v>
      </c>
      <c r="B100" s="1299"/>
      <c r="C100" s="1299"/>
      <c r="D100" s="1299"/>
      <c r="E100" s="1299"/>
      <c r="F100" s="1299"/>
      <c r="G100" s="1299"/>
      <c r="H100" s="1299"/>
      <c r="I100" s="1299"/>
      <c r="J100" s="1299"/>
      <c r="K100" s="1299"/>
      <c r="L100" s="1299"/>
      <c r="M100" s="1299"/>
      <c r="N100" s="1299"/>
      <c r="O100" s="1299"/>
      <c r="P100" s="1299"/>
      <c r="Q100" s="1299"/>
      <c r="R100" s="1299"/>
      <c r="S100" s="1299"/>
      <c r="T100" s="1299"/>
      <c r="U100" s="1299"/>
      <c r="V100" s="1299"/>
      <c r="W100" s="1299"/>
      <c r="X100" s="1299"/>
      <c r="Y100" s="1299"/>
      <c r="Z100" s="1299"/>
      <c r="AA100" s="1299"/>
      <c r="AB100" s="1299"/>
      <c r="AC100" s="1299"/>
      <c r="AD100" s="1299"/>
      <c r="AE100" s="1299"/>
      <c r="AF100" s="1299"/>
      <c r="AG100" s="1299"/>
      <c r="AH100" s="1299"/>
      <c r="AI100" s="1299"/>
      <c r="AJ100" s="1299"/>
      <c r="AK100" s="1299"/>
      <c r="AL100" s="1299"/>
      <c r="AM100" s="1299"/>
      <c r="AN100" s="1299"/>
      <c r="AO100" s="1299"/>
      <c r="AP100" s="1299"/>
      <c r="AQ100" s="1299"/>
      <c r="AR100" s="1299"/>
      <c r="AS100" s="1299"/>
      <c r="AT100" s="1299"/>
      <c r="AU100" s="20"/>
      <c r="AV100" s="20"/>
      <c r="AW100" s="20"/>
      <c r="AX100" s="20"/>
      <c r="AY100" s="20"/>
      <c r="AZ100" s="20"/>
    </row>
    <row r="101" spans="1:52" ht="12.95" customHeight="1">
      <c r="A101" s="1299"/>
      <c r="B101" s="1299"/>
      <c r="C101" s="1299"/>
      <c r="D101" s="1299"/>
      <c r="E101" s="1299"/>
      <c r="F101" s="1299"/>
      <c r="G101" s="1299"/>
      <c r="H101" s="1299"/>
      <c r="I101" s="1299"/>
      <c r="J101" s="1299"/>
      <c r="K101" s="1299"/>
      <c r="L101" s="1299"/>
      <c r="M101" s="1299"/>
      <c r="N101" s="1299"/>
      <c r="O101" s="1299"/>
      <c r="P101" s="1299"/>
      <c r="Q101" s="1299"/>
      <c r="R101" s="1299"/>
      <c r="S101" s="1299"/>
      <c r="T101" s="1299"/>
      <c r="U101" s="1299"/>
      <c r="V101" s="1299"/>
      <c r="W101" s="1299"/>
      <c r="X101" s="1299"/>
      <c r="Y101" s="1299"/>
      <c r="Z101" s="1299"/>
      <c r="AA101" s="1299"/>
      <c r="AB101" s="1299"/>
      <c r="AC101" s="1299"/>
      <c r="AD101" s="1299"/>
      <c r="AE101" s="1299"/>
      <c r="AF101" s="1299"/>
      <c r="AG101" s="1299"/>
      <c r="AH101" s="1299"/>
      <c r="AI101" s="1299"/>
      <c r="AJ101" s="1299"/>
      <c r="AK101" s="1299"/>
      <c r="AL101" s="1299"/>
      <c r="AM101" s="1299"/>
      <c r="AN101" s="1299"/>
      <c r="AO101" s="1299"/>
      <c r="AP101" s="1299"/>
      <c r="AQ101" s="1299"/>
      <c r="AR101" s="1299"/>
      <c r="AS101" s="1299"/>
      <c r="AT101" s="1299"/>
      <c r="AU101" s="20"/>
      <c r="AV101" s="20"/>
      <c r="AW101" s="20"/>
      <c r="AX101" s="20"/>
      <c r="AY101" s="20"/>
      <c r="AZ101" s="20"/>
    </row>
    <row r="102" spans="1:52" ht="12.95" customHeight="1">
      <c r="A102" s="1299"/>
      <c r="B102" s="1299"/>
      <c r="C102" s="1299"/>
      <c r="D102" s="1299"/>
      <c r="E102" s="1299"/>
      <c r="F102" s="1299"/>
      <c r="G102" s="1299"/>
      <c r="H102" s="1299"/>
      <c r="I102" s="1299"/>
      <c r="J102" s="1299"/>
      <c r="K102" s="1299"/>
      <c r="L102" s="1299"/>
      <c r="M102" s="1299"/>
      <c r="N102" s="1299"/>
      <c r="O102" s="1299"/>
      <c r="P102" s="1299"/>
      <c r="Q102" s="1299"/>
      <c r="R102" s="1299"/>
      <c r="S102" s="1299"/>
      <c r="T102" s="1299"/>
      <c r="U102" s="1299"/>
      <c r="V102" s="1299"/>
      <c r="W102" s="1299"/>
      <c r="X102" s="1299"/>
      <c r="Y102" s="1299"/>
      <c r="Z102" s="1299"/>
      <c r="AA102" s="1299"/>
      <c r="AB102" s="1299"/>
      <c r="AC102" s="1299"/>
      <c r="AD102" s="1299"/>
      <c r="AE102" s="1299"/>
      <c r="AF102" s="1299"/>
      <c r="AG102" s="1299"/>
      <c r="AH102" s="1299"/>
      <c r="AI102" s="1299"/>
      <c r="AJ102" s="1299"/>
      <c r="AK102" s="1299"/>
      <c r="AL102" s="1299"/>
      <c r="AM102" s="1299"/>
      <c r="AN102" s="1299"/>
      <c r="AO102" s="1299"/>
      <c r="AP102" s="1299"/>
      <c r="AQ102" s="1299"/>
      <c r="AR102" s="1299"/>
      <c r="AS102" s="1299"/>
      <c r="AT102" s="1299"/>
      <c r="AU102" s="20"/>
      <c r="AV102" s="20"/>
      <c r="AW102" s="20"/>
      <c r="AX102" s="20"/>
      <c r="AY102" s="20"/>
      <c r="AZ102" s="20"/>
    </row>
    <row r="103" spans="1:52" ht="12.95" customHeight="1">
      <c r="A103" s="1299"/>
      <c r="B103" s="1299"/>
      <c r="C103" s="1299"/>
      <c r="D103" s="1299"/>
      <c r="E103" s="1299"/>
      <c r="F103" s="1299"/>
      <c r="G103" s="1299"/>
      <c r="H103" s="1299"/>
      <c r="I103" s="1299"/>
      <c r="J103" s="1299"/>
      <c r="K103" s="1299"/>
      <c r="L103" s="1299"/>
      <c r="M103" s="1299"/>
      <c r="N103" s="1299"/>
      <c r="O103" s="1299"/>
      <c r="P103" s="1299"/>
      <c r="Q103" s="1299"/>
      <c r="R103" s="1299"/>
      <c r="S103" s="1299"/>
      <c r="T103" s="1299"/>
      <c r="U103" s="1299"/>
      <c r="V103" s="1299"/>
      <c r="W103" s="1299"/>
      <c r="X103" s="1299"/>
      <c r="Y103" s="1299"/>
      <c r="Z103" s="1299"/>
      <c r="AA103" s="1299"/>
      <c r="AB103" s="1299"/>
      <c r="AC103" s="1299"/>
      <c r="AD103" s="1299"/>
      <c r="AE103" s="1299"/>
      <c r="AF103" s="1299"/>
      <c r="AG103" s="1299"/>
      <c r="AH103" s="1299"/>
      <c r="AI103" s="1299"/>
      <c r="AJ103" s="1299"/>
      <c r="AK103" s="1299"/>
      <c r="AL103" s="1299"/>
      <c r="AM103" s="1299"/>
      <c r="AN103" s="1299"/>
      <c r="AO103" s="1299"/>
      <c r="AP103" s="1299"/>
      <c r="AQ103" s="1299"/>
      <c r="AR103" s="1299"/>
      <c r="AS103" s="1299"/>
      <c r="AT103" s="1299"/>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299" t="s">
        <v>2527</v>
      </c>
      <c r="B105" s="1299"/>
      <c r="C105" s="1299"/>
      <c r="D105" s="1299"/>
      <c r="E105" s="1299"/>
      <c r="F105" s="1299"/>
      <c r="G105" s="1299"/>
      <c r="H105" s="1299"/>
      <c r="I105" s="1299"/>
      <c r="J105" s="1299"/>
      <c r="K105" s="1299"/>
      <c r="L105" s="1299"/>
      <c r="M105" s="1299"/>
      <c r="N105" s="1299"/>
      <c r="O105" s="1299"/>
      <c r="P105" s="1299"/>
      <c r="Q105" s="1299"/>
      <c r="R105" s="1299"/>
      <c r="S105" s="1299"/>
      <c r="T105" s="1299"/>
      <c r="U105" s="1299"/>
      <c r="V105" s="1299"/>
      <c r="W105" s="1299"/>
      <c r="X105" s="1299"/>
      <c r="Y105" s="1299"/>
      <c r="Z105" s="1299"/>
      <c r="AA105" s="1299"/>
      <c r="AB105" s="1299"/>
      <c r="AC105" s="1299"/>
      <c r="AD105" s="1299"/>
      <c r="AE105" s="1299"/>
      <c r="AF105" s="1299"/>
      <c r="AG105" s="1299"/>
      <c r="AH105" s="1299"/>
      <c r="AI105" s="1299"/>
      <c r="AJ105" s="1299"/>
      <c r="AK105" s="1299"/>
      <c r="AL105" s="1299"/>
      <c r="AM105" s="1299"/>
      <c r="AN105" s="1299"/>
      <c r="AO105" s="1299"/>
      <c r="AP105" s="1299"/>
      <c r="AQ105" s="1299"/>
      <c r="AR105" s="1299"/>
      <c r="AS105" s="1299"/>
      <c r="AT105" s="1299"/>
      <c r="AU105" s="20"/>
      <c r="AV105" s="20"/>
      <c r="AW105" s="20"/>
      <c r="AX105" s="20"/>
      <c r="AY105" s="20"/>
    </row>
    <row r="106" spans="1:52" ht="12.95" customHeight="1">
      <c r="A106" s="1299"/>
      <c r="B106" s="1299"/>
      <c r="C106" s="1299"/>
      <c r="D106" s="1299"/>
      <c r="E106" s="1299"/>
      <c r="F106" s="1299"/>
      <c r="G106" s="1299"/>
      <c r="H106" s="1299"/>
      <c r="I106" s="1299"/>
      <c r="J106" s="1299"/>
      <c r="K106" s="1299"/>
      <c r="L106" s="1299"/>
      <c r="M106" s="1299"/>
      <c r="N106" s="1299"/>
      <c r="O106" s="1299"/>
      <c r="P106" s="1299"/>
      <c r="Q106" s="1299"/>
      <c r="R106" s="1299"/>
      <c r="S106" s="1299"/>
      <c r="T106" s="1299"/>
      <c r="U106" s="1299"/>
      <c r="V106" s="1299"/>
      <c r="W106" s="1299"/>
      <c r="X106" s="1299"/>
      <c r="Y106" s="1299"/>
      <c r="Z106" s="1299"/>
      <c r="AA106" s="1299"/>
      <c r="AB106" s="1299"/>
      <c r="AC106" s="1299"/>
      <c r="AD106" s="1299"/>
      <c r="AE106" s="1299"/>
      <c r="AF106" s="1299"/>
      <c r="AG106" s="1299"/>
      <c r="AH106" s="1299"/>
      <c r="AI106" s="1299"/>
      <c r="AJ106" s="1299"/>
      <c r="AK106" s="1299"/>
      <c r="AL106" s="1299"/>
      <c r="AM106" s="1299"/>
      <c r="AN106" s="1299"/>
      <c r="AO106" s="1299"/>
      <c r="AP106" s="1299"/>
      <c r="AQ106" s="1299"/>
      <c r="AR106" s="1299"/>
      <c r="AS106" s="1299"/>
      <c r="AT106" s="1299"/>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2528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180</v>
      </c>
      <c r="G113" s="1806"/>
      <c r="H113" s="1806"/>
      <c r="I113" s="3" t="s">
        <v>181</v>
      </c>
      <c r="L113" s="1806"/>
      <c r="M113" s="1806"/>
      <c r="N113" s="1806"/>
      <c r="O113" s="1806"/>
      <c r="P113" s="1803" t="s">
        <v>2529</v>
      </c>
      <c r="Q113" s="1803"/>
      <c r="R113" s="1803"/>
      <c r="S113" s="1803"/>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826"/>
      <c r="D115" s="1826"/>
      <c r="E115" s="1826"/>
      <c r="F115" s="1826"/>
      <c r="G115" s="1826"/>
      <c r="H115" s="1826"/>
      <c r="I115" s="1826"/>
      <c r="J115" s="1826"/>
      <c r="K115" s="1826"/>
      <c r="L115" s="216" t="s">
        <v>634</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635</v>
      </c>
      <c r="Y117" s="1806"/>
      <c r="Z117" s="1806"/>
      <c r="AA117" s="1806"/>
      <c r="AB117" s="1806"/>
      <c r="AC117" s="1806"/>
      <c r="AD117" s="1806"/>
      <c r="AE117" s="1806"/>
      <c r="AF117" s="1806"/>
      <c r="AG117" s="1806"/>
      <c r="AH117" s="1806"/>
      <c r="AI117" s="1806"/>
      <c r="AJ117" s="1806"/>
      <c r="AK117" s="1806"/>
    </row>
    <row r="118" spans="1:51" ht="12.95" customHeight="1">
      <c r="X118" s="3"/>
      <c r="Y118" s="3"/>
      <c r="Z118" s="3" t="s">
        <v>636</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806"/>
      <c r="Z120" s="1806"/>
      <c r="AA120" s="1806"/>
      <c r="AB120" s="1806"/>
      <c r="AC120" s="1806"/>
      <c r="AD120" s="1806"/>
      <c r="AE120" s="1806"/>
      <c r="AF120" s="1806"/>
      <c r="AG120" s="1806"/>
      <c r="AH120" s="1806"/>
      <c r="AI120" s="1806"/>
      <c r="AJ120" s="1806"/>
      <c r="AK120" s="1806"/>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637</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806"/>
      <c r="Z123" s="1806"/>
      <c r="AA123" s="1806"/>
      <c r="AB123" s="1806"/>
      <c r="AC123" s="1806"/>
      <c r="AD123" s="1806"/>
      <c r="AE123" s="1806"/>
      <c r="AF123" s="1806"/>
      <c r="AG123" s="1806"/>
      <c r="AH123" s="1806"/>
      <c r="AI123" s="1806"/>
      <c r="AJ123" s="1806"/>
      <c r="AK123" s="1806"/>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638</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3"/>
      <c r="G150" s="1303"/>
      <c r="H150" s="1303"/>
      <c r="I150" s="1303"/>
      <c r="J150" s="1303"/>
      <c r="K150" s="1303"/>
      <c r="L150" s="1303"/>
      <c r="M150" s="1303"/>
      <c r="N150" s="1303"/>
      <c r="O150" s="1303"/>
      <c r="P150" s="1303"/>
      <c r="Q150" s="1303"/>
      <c r="R150" s="1303"/>
      <c r="S150" s="1303"/>
      <c r="T150" s="130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652</v>
      </c>
      <c r="O153" s="1356" t="s">
        <v>2688</v>
      </c>
      <c r="P153" s="1441"/>
      <c r="Q153" s="1441"/>
      <c r="R153" s="1441"/>
      <c r="S153" s="1441"/>
      <c r="T153" s="1441"/>
      <c r="U153" s="1441"/>
      <c r="V153" s="1441"/>
      <c r="W153" s="1441"/>
      <c r="X153" s="1441"/>
      <c r="Y153" s="1441"/>
      <c r="Z153" s="1441"/>
      <c r="AA153" s="1441"/>
      <c r="AB153" s="1441"/>
      <c r="AC153" s="1441"/>
      <c r="AD153" s="1441"/>
      <c r="AE153" s="1441"/>
      <c r="AF153" s="1441"/>
      <c r="AG153" s="1441"/>
      <c r="AH153" s="1441"/>
    </row>
    <row r="154" spans="1:72" ht="12.95" customHeight="1">
      <c r="D154" s="325" t="s">
        <v>441</v>
      </c>
      <c r="O154" s="1554" t="s">
        <v>2690</v>
      </c>
      <c r="P154" s="1455"/>
      <c r="Q154" s="1455"/>
      <c r="R154" s="1455"/>
      <c r="S154" s="1455"/>
      <c r="T154" s="1455"/>
      <c r="U154" s="1455"/>
      <c r="V154" s="1455"/>
      <c r="W154" s="1455"/>
      <c r="X154" s="1455"/>
      <c r="Y154" s="1455"/>
      <c r="Z154" s="1455"/>
      <c r="AA154" s="1455"/>
      <c r="AB154" s="1455"/>
      <c r="AC154" s="1455"/>
      <c r="AD154" s="1455"/>
      <c r="AE154" s="1455"/>
      <c r="AF154" s="1455"/>
      <c r="AG154" s="1455"/>
      <c r="AH154" s="1455"/>
    </row>
    <row r="155" spans="1:72" ht="12.95" customHeight="1">
      <c r="D155" s="8" t="s">
        <v>442</v>
      </c>
      <c r="F155" s="8"/>
      <c r="G155" s="8"/>
      <c r="H155" s="8"/>
      <c r="I155" s="8"/>
      <c r="J155" s="8"/>
      <c r="K155" s="8"/>
      <c r="L155" s="8"/>
      <c r="M155" s="8"/>
      <c r="N155" s="8"/>
      <c r="O155" s="1796" t="s">
        <v>2691</v>
      </c>
      <c r="P155" s="1797"/>
      <c r="Q155" s="1797"/>
      <c r="R155" s="1797"/>
      <c r="S155" s="1797"/>
      <c r="T155" s="1797"/>
      <c r="U155" s="1797"/>
      <c r="V155" s="1797"/>
      <c r="W155" s="1797"/>
      <c r="X155" s="1797"/>
      <c r="Y155" s="1797"/>
      <c r="Z155" s="1797"/>
      <c r="AA155" s="1797"/>
      <c r="AB155" s="1797"/>
      <c r="AC155" s="1797"/>
      <c r="AD155" s="1797"/>
      <c r="AE155" s="1797"/>
      <c r="AF155" s="1797"/>
      <c r="AG155" s="1797"/>
      <c r="AH155" s="1797"/>
    </row>
    <row r="156" spans="1:72" ht="12.95" customHeight="1">
      <c r="D156" t="s">
        <v>313</v>
      </c>
      <c r="O156" s="1357" t="s">
        <v>2692</v>
      </c>
      <c r="P156" s="1357"/>
      <c r="Q156" s="1357"/>
      <c r="R156" s="1357"/>
      <c r="S156" s="1357"/>
      <c r="T156" s="1357"/>
      <c r="U156" s="1357"/>
      <c r="V156" s="1357"/>
      <c r="W156" s="1357"/>
      <c r="X156" s="1357"/>
      <c r="Y156" s="1357"/>
      <c r="Z156" s="1357"/>
      <c r="AA156" s="1357"/>
      <c r="AB156" s="1357"/>
      <c r="AC156" s="1357"/>
      <c r="AD156" s="1357"/>
      <c r="AE156" s="1357"/>
      <c r="AF156" s="1357"/>
      <c r="AG156" s="1357"/>
      <c r="AH156" s="1357"/>
      <c r="BT156" t="s">
        <v>307</v>
      </c>
    </row>
    <row r="157" spans="1:72" ht="12.95" customHeight="1">
      <c r="D157" t="s">
        <v>314</v>
      </c>
      <c r="O157" s="1356" t="s">
        <v>193</v>
      </c>
      <c r="P157" s="1441"/>
      <c r="Q157" s="1441"/>
      <c r="R157" s="1441"/>
      <c r="S157" s="1441"/>
      <c r="T157" s="1441"/>
      <c r="U157" s="1441"/>
      <c r="V157" s="1441"/>
      <c r="W157" s="1441"/>
      <c r="X157" s="1441"/>
      <c r="Y157" s="8"/>
      <c r="Z157" s="8"/>
      <c r="AA157" s="8"/>
      <c r="AB157" s="8"/>
      <c r="AC157" s="8"/>
      <c r="AD157" s="8"/>
      <c r="AE157" s="8"/>
      <c r="AF157" s="8"/>
      <c r="BN157" s="23" t="s">
        <v>643</v>
      </c>
      <c r="BT157" t="s">
        <v>483</v>
      </c>
    </row>
    <row r="158" spans="1:72" ht="12.95" customHeight="1">
      <c r="D158" t="s">
        <v>315</v>
      </c>
      <c r="O158" s="1798">
        <v>95060</v>
      </c>
      <c r="P158" s="1798"/>
      <c r="Q158" s="1798"/>
      <c r="R158" s="1798"/>
      <c r="S158" s="9"/>
      <c r="T158" s="9"/>
      <c r="U158" s="9"/>
      <c r="V158" s="9"/>
      <c r="W158" s="9"/>
      <c r="X158" s="9"/>
      <c r="Y158" s="9"/>
      <c r="Z158" s="9"/>
      <c r="AA158" s="9"/>
      <c r="AB158" s="9"/>
      <c r="AC158" s="9"/>
      <c r="AD158" s="9"/>
      <c r="AE158" s="9"/>
      <c r="AF158" s="9"/>
      <c r="BN158" s="23" t="s">
        <v>644</v>
      </c>
      <c r="BT158" t="s">
        <v>484</v>
      </c>
    </row>
    <row r="159" spans="1:72" ht="12.95" customHeight="1">
      <c r="D159" t="s">
        <v>316</v>
      </c>
      <c r="O159" s="1800" t="s">
        <v>2693</v>
      </c>
      <c r="P159" s="1800"/>
      <c r="Q159" s="1800"/>
      <c r="R159" s="1800"/>
      <c r="S159" s="1800"/>
      <c r="T159" s="1800"/>
      <c r="V159" s="97" t="s">
        <v>271</v>
      </c>
      <c r="W159" s="1799"/>
      <c r="X159" s="1799"/>
      <c r="Y159" s="10"/>
      <c r="Z159" s="10"/>
      <c r="AA159" s="10"/>
      <c r="AB159" s="10"/>
      <c r="AC159" s="10"/>
      <c r="AD159" s="10"/>
      <c r="AE159" s="10"/>
      <c r="AF159" s="10"/>
      <c r="BN159" s="23" t="s">
        <v>339</v>
      </c>
      <c r="BT159" t="s">
        <v>485</v>
      </c>
    </row>
    <row r="160" spans="1:72" ht="12.95" customHeight="1">
      <c r="D160" t="s">
        <v>317</v>
      </c>
      <c r="O160" s="1800"/>
      <c r="P160" s="1800"/>
      <c r="Q160" s="1800"/>
      <c r="R160" s="1800"/>
      <c r="S160" s="1800"/>
      <c r="T160" s="1800"/>
      <c r="U160" s="10"/>
      <c r="V160" s="10"/>
      <c r="W160" s="10"/>
      <c r="X160" s="10"/>
      <c r="Y160" s="10"/>
      <c r="Z160" s="10"/>
      <c r="AA160" s="10"/>
      <c r="AB160" s="10"/>
      <c r="AC160" s="10"/>
      <c r="AD160" s="10"/>
      <c r="AE160" s="10"/>
      <c r="AF160" s="10"/>
      <c r="BN160" s="23" t="s">
        <v>667</v>
      </c>
      <c r="BT160" t="s">
        <v>486</v>
      </c>
    </row>
    <row r="161" spans="1:72" ht="12.95" customHeight="1">
      <c r="D161" t="s">
        <v>318</v>
      </c>
      <c r="O161" s="1794" t="s">
        <v>2694</v>
      </c>
      <c r="P161" s="1794"/>
      <c r="Q161" s="1794"/>
      <c r="R161" s="1794"/>
      <c r="S161" s="1794"/>
      <c r="T161" s="1794"/>
      <c r="U161" s="1794"/>
      <c r="V161" s="1794"/>
      <c r="W161" s="1794"/>
      <c r="X161" s="1794"/>
      <c r="Y161" s="1794"/>
      <c r="Z161" s="1794"/>
      <c r="AA161" s="1794"/>
      <c r="AB161" s="1794"/>
      <c r="AC161" s="1794"/>
      <c r="AD161" s="1794"/>
      <c r="AE161" s="1794"/>
      <c r="AF161" s="1794"/>
      <c r="AG161" s="1794"/>
      <c r="AH161" s="1794"/>
      <c r="BJ161" t="s">
        <v>676</v>
      </c>
      <c r="BN161" s="23" t="s">
        <v>668</v>
      </c>
      <c r="BT161" t="s">
        <v>487</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552</v>
      </c>
      <c r="BN162" s="23" t="s">
        <v>669</v>
      </c>
      <c r="BT162" t="s">
        <v>488</v>
      </c>
    </row>
    <row r="163" spans="1:72" ht="12.95" customHeight="1">
      <c r="C163" s="27" t="s">
        <v>82</v>
      </c>
      <c r="D163" s="3" t="s">
        <v>2413</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670</v>
      </c>
      <c r="BT163" t="s">
        <v>489</v>
      </c>
    </row>
    <row r="164" spans="1:72" ht="12.95" customHeight="1">
      <c r="C164" s="27"/>
      <c r="D164" s="1827" t="s">
        <v>2624</v>
      </c>
      <c r="E164" s="1827"/>
      <c r="F164" s="1827"/>
      <c r="G164" s="1827"/>
      <c r="H164" s="1827"/>
      <c r="I164" s="1827"/>
      <c r="J164" s="1827"/>
      <c r="K164" s="1827"/>
      <c r="L164" s="1827"/>
      <c r="M164" s="1827"/>
      <c r="N164" s="1827"/>
      <c r="O164" s="1827"/>
      <c r="P164" s="1827"/>
      <c r="Q164" s="1827"/>
      <c r="R164" s="1827"/>
      <c r="S164" s="1827"/>
      <c r="T164" s="1827"/>
      <c r="U164" s="1827"/>
      <c r="V164" s="1827"/>
      <c r="W164" s="1827"/>
      <c r="X164" s="1827"/>
      <c r="Y164" s="1827"/>
      <c r="Z164" s="1827"/>
      <c r="AA164" s="1827"/>
      <c r="AB164" s="1827"/>
      <c r="AC164" s="1827"/>
      <c r="AD164" s="1827"/>
      <c r="AE164" s="1827"/>
      <c r="AF164" s="1827"/>
      <c r="AG164" s="1827"/>
      <c r="AH164" s="1827"/>
      <c r="BN164" s="23" t="s">
        <v>671</v>
      </c>
      <c r="BT164" t="s">
        <v>490</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672</v>
      </c>
      <c r="BT165" t="s">
        <v>491</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674</v>
      </c>
      <c r="BT166" t="s">
        <v>492</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677</v>
      </c>
      <c r="BT167" t="s">
        <v>493</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678</v>
      </c>
      <c r="BT168" t="s">
        <v>494</v>
      </c>
    </row>
    <row r="169" spans="1:72" ht="12.95" customHeight="1">
      <c r="A169" s="1446" t="s">
        <v>546</v>
      </c>
      <c r="B169" s="1446"/>
      <c r="C169" s="1446"/>
      <c r="D169" s="1446"/>
      <c r="E169" s="1446"/>
      <c r="F169" s="1446"/>
      <c r="G169" s="1446"/>
      <c r="H169" s="1446"/>
      <c r="I169" s="1446"/>
      <c r="J169" s="1446"/>
      <c r="K169" s="1446"/>
      <c r="L169" s="1446"/>
      <c r="M169" s="1446"/>
      <c r="N169" s="1446"/>
      <c r="O169" s="1446"/>
      <c r="P169" s="1446"/>
      <c r="Q169" s="1446"/>
      <c r="R169" s="1446"/>
      <c r="S169" s="1446"/>
      <c r="T169" s="1446"/>
      <c r="U169" s="1446"/>
      <c r="V169" s="1446"/>
      <c r="W169" s="1446"/>
      <c r="X169" s="1446"/>
      <c r="Y169" s="1446"/>
      <c r="Z169" s="1446"/>
      <c r="AA169" s="1446"/>
      <c r="AB169" s="1446"/>
      <c r="AC169" s="1446"/>
      <c r="AD169" s="1446"/>
      <c r="AE169" s="1446"/>
      <c r="AF169" s="1446"/>
      <c r="AG169" s="1446"/>
      <c r="AH169" s="1446"/>
      <c r="AI169" s="1446"/>
      <c r="AJ169" s="1446"/>
      <c r="AK169" s="1446"/>
      <c r="AL169" s="1446"/>
      <c r="AM169" s="1446"/>
      <c r="AN169" s="1446"/>
      <c r="AO169" s="1446"/>
      <c r="AP169" s="1446"/>
      <c r="AQ169" s="1446"/>
      <c r="AR169" s="1446"/>
      <c r="AS169" s="1446"/>
      <c r="AT169" s="1446"/>
      <c r="AU169" s="95"/>
      <c r="AV169" s="95"/>
      <c r="AW169" s="95"/>
      <c r="AX169" s="95"/>
      <c r="AY169" s="95"/>
      <c r="BN169" s="23" t="s">
        <v>680</v>
      </c>
      <c r="BT169" t="s">
        <v>495</v>
      </c>
    </row>
    <row r="170" spans="1:72" ht="12.95" customHeight="1">
      <c r="A170" s="1446"/>
      <c r="B170" s="1446"/>
      <c r="C170" s="1446"/>
      <c r="D170" s="1446"/>
      <c r="E170" s="1446"/>
      <c r="F170" s="1446"/>
      <c r="G170" s="1446"/>
      <c r="H170" s="1446"/>
      <c r="I170" s="1446"/>
      <c r="J170" s="1446"/>
      <c r="K170" s="1446"/>
      <c r="L170" s="1446"/>
      <c r="M170" s="1446"/>
      <c r="N170" s="1446"/>
      <c r="O170" s="1446"/>
      <c r="P170" s="1446"/>
      <c r="Q170" s="1446"/>
      <c r="R170" s="1446"/>
      <c r="S170" s="1446"/>
      <c r="T170" s="1446"/>
      <c r="U170" s="1446"/>
      <c r="V170" s="1446"/>
      <c r="W170" s="1446"/>
      <c r="X170" s="1446"/>
      <c r="Y170" s="1446"/>
      <c r="Z170" s="1446"/>
      <c r="AA170" s="1446"/>
      <c r="AB170" s="1446"/>
      <c r="AC170" s="1446"/>
      <c r="AD170" s="1446"/>
      <c r="AE170" s="1446"/>
      <c r="AF170" s="1446"/>
      <c r="AG170" s="1446"/>
      <c r="AH170" s="1446"/>
      <c r="AI170" s="1446"/>
      <c r="AJ170" s="1446"/>
      <c r="AK170" s="1446"/>
      <c r="AL170" s="1446"/>
      <c r="AM170" s="1446"/>
      <c r="AN170" s="1446"/>
      <c r="AO170" s="1446"/>
      <c r="AP170" s="1446"/>
      <c r="AQ170" s="1446"/>
      <c r="AR170" s="1446"/>
      <c r="AS170" s="1446"/>
      <c r="AT170" s="1446"/>
      <c r="AU170" s="95"/>
      <c r="AV170" s="95"/>
      <c r="AW170" s="95"/>
      <c r="AX170" s="95"/>
      <c r="AY170" s="95"/>
      <c r="BN170" s="23" t="s">
        <v>681</v>
      </c>
      <c r="BT170" t="s">
        <v>496</v>
      </c>
    </row>
    <row r="171" spans="1:72" ht="12.95" customHeight="1">
      <c r="BN171" s="23" t="s">
        <v>211</v>
      </c>
      <c r="BT171" t="s">
        <v>497</v>
      </c>
    </row>
    <row r="172" spans="1:72" ht="12.95" customHeight="1">
      <c r="A172" s="2" t="s">
        <v>319</v>
      </c>
      <c r="C172" s="2" t="s">
        <v>320</v>
      </c>
      <c r="BN172" s="23" t="s">
        <v>213</v>
      </c>
      <c r="BT172" t="s">
        <v>498</v>
      </c>
    </row>
    <row r="173" spans="1:72" ht="12.95" customHeight="1">
      <c r="C173" s="24"/>
      <c r="D173" t="s">
        <v>321</v>
      </c>
      <c r="J173" s="1795" t="s">
        <v>371</v>
      </c>
      <c r="K173" s="1795"/>
      <c r="L173" s="1795"/>
      <c r="M173" s="1795"/>
      <c r="N173" s="1795"/>
      <c r="O173" s="1795"/>
      <c r="P173" s="1795"/>
      <c r="Q173" s="1795"/>
      <c r="R173" s="1795"/>
      <c r="S173" s="1795"/>
      <c r="U173" s="25"/>
      <c r="X173" s="25"/>
      <c r="BB173" s="3" t="s">
        <v>307</v>
      </c>
      <c r="BN173" s="23" t="s">
        <v>214</v>
      </c>
      <c r="BT173" t="s">
        <v>499</v>
      </c>
    </row>
    <row r="174" spans="1:72" ht="12.95" customHeight="1">
      <c r="C174" s="24"/>
      <c r="D174" s="3" t="s">
        <v>1306</v>
      </c>
      <c r="J174" s="1357" t="s">
        <v>2419</v>
      </c>
      <c r="K174" s="1357"/>
      <c r="L174" s="1357"/>
      <c r="M174" s="1357"/>
      <c r="N174" s="1357"/>
      <c r="O174" s="1357"/>
      <c r="P174" s="1357"/>
      <c r="Q174" s="1357"/>
      <c r="R174" s="1357"/>
      <c r="S174" s="1357"/>
      <c r="T174" s="1357"/>
      <c r="U174" s="1357"/>
      <c r="V174" s="1357"/>
      <c r="W174" s="1357"/>
      <c r="X174" s="1357"/>
      <c r="Y174" s="1357"/>
      <c r="Z174" s="1357"/>
      <c r="AA174" s="1357"/>
      <c r="AB174" s="1357"/>
      <c r="BB174" t="s">
        <v>2272</v>
      </c>
      <c r="BN174" s="23" t="s">
        <v>216</v>
      </c>
      <c r="BT174" t="s">
        <v>500</v>
      </c>
    </row>
    <row r="175" spans="1:72" ht="12.95" customHeight="1">
      <c r="C175" s="8"/>
      <c r="D175" s="3" t="s">
        <v>322</v>
      </c>
      <c r="O175" s="27"/>
      <c r="U175" s="1358" t="s">
        <v>676</v>
      </c>
      <c r="V175" s="1358"/>
      <c r="BB175" t="s">
        <v>2236</v>
      </c>
      <c r="BN175" s="23" t="s">
        <v>217</v>
      </c>
      <c r="BT175" t="s">
        <v>501</v>
      </c>
    </row>
    <row r="176" spans="1:72" ht="12.95" customHeight="1">
      <c r="C176" s="8"/>
      <c r="D176" s="26"/>
      <c r="E176" t="s">
        <v>304</v>
      </c>
      <c r="O176" s="27"/>
      <c r="P176" t="s">
        <v>2394</v>
      </c>
      <c r="T176" s="27" t="s">
        <v>305</v>
      </c>
      <c r="U176" s="1447"/>
      <c r="V176" s="1447"/>
      <c r="W176" s="1" t="s">
        <v>306</v>
      </c>
      <c r="X176" s="1820"/>
      <c r="Y176" s="1820"/>
      <c r="BB176" t="s">
        <v>2273</v>
      </c>
      <c r="BN176" s="23" t="s">
        <v>219</v>
      </c>
      <c r="BT176" t="s">
        <v>502</v>
      </c>
    </row>
    <row r="177" spans="1:72" ht="12.95" customHeight="1">
      <c r="C177" s="24"/>
      <c r="D177" t="s">
        <v>249</v>
      </c>
      <c r="R177" s="1358" t="s">
        <v>676</v>
      </c>
      <c r="S177" s="1358"/>
      <c r="BB177" t="s">
        <v>2578</v>
      </c>
      <c r="BN177" s="23" t="s">
        <v>220</v>
      </c>
      <c r="BT177" t="s">
        <v>503</v>
      </c>
    </row>
    <row r="178" spans="1:72" ht="12.95" customHeight="1">
      <c r="C178" s="24"/>
      <c r="D178" s="3" t="s">
        <v>1307</v>
      </c>
      <c r="AA178" t="s">
        <v>2394</v>
      </c>
      <c r="AE178" s="27" t="s">
        <v>305</v>
      </c>
      <c r="AF178" s="1804"/>
      <c r="AG178" s="1804"/>
      <c r="AH178" s="1" t="s">
        <v>306</v>
      </c>
      <c r="AI178" s="1690"/>
      <c r="AJ178" s="1690"/>
      <c r="AK178" s="1690"/>
      <c r="BB178" t="s">
        <v>2579</v>
      </c>
      <c r="BN178" s="23" t="s">
        <v>221</v>
      </c>
      <c r="BT178" t="s">
        <v>53</v>
      </c>
    </row>
    <row r="179" spans="1:72" ht="12.95" customHeight="1">
      <c r="C179" s="24"/>
      <c r="BN179" s="23" t="s">
        <v>222</v>
      </c>
      <c r="BT179" t="s">
        <v>54</v>
      </c>
    </row>
    <row r="180" spans="1:72" ht="12.95" customHeight="1">
      <c r="C180" s="24"/>
      <c r="D180" t="s">
        <v>2395</v>
      </c>
      <c r="X180" s="1358" t="s">
        <v>676</v>
      </c>
      <c r="Y180" s="1358"/>
      <c r="BN180" s="23" t="s">
        <v>224</v>
      </c>
      <c r="BT180" t="s">
        <v>55</v>
      </c>
    </row>
    <row r="181" spans="1:72" ht="12.95" customHeight="1">
      <c r="C181" s="8"/>
      <c r="E181" s="4" t="s">
        <v>993</v>
      </c>
      <c r="BN181" s="23" t="s">
        <v>225</v>
      </c>
      <c r="BT181" t="s">
        <v>56</v>
      </c>
    </row>
    <row r="182" spans="1:72" ht="12.95" customHeight="1">
      <c r="C182" s="564"/>
      <c r="BN182" s="23" t="s">
        <v>226</v>
      </c>
      <c r="BT182" t="s">
        <v>60</v>
      </c>
    </row>
    <row r="183" spans="1:72" ht="12.95" customHeight="1">
      <c r="A183" s="2" t="s">
        <v>583</v>
      </c>
      <c r="C183" s="2" t="s">
        <v>584</v>
      </c>
      <c r="BN183" s="23" t="s">
        <v>228</v>
      </c>
      <c r="BT183" t="s">
        <v>61</v>
      </c>
    </row>
    <row r="184" spans="1:72" ht="12.95" customHeight="1">
      <c r="C184" s="21"/>
      <c r="D184" t="s">
        <v>585</v>
      </c>
      <c r="I184" s="1355" t="str">
        <f>H18</f>
        <v>Downtown Library Mixed Use Project</v>
      </c>
      <c r="J184" s="1355"/>
      <c r="K184" s="1355"/>
      <c r="L184" s="1355"/>
      <c r="M184" s="1355"/>
      <c r="N184" s="1355"/>
      <c r="O184" s="1355"/>
      <c r="P184" s="1355"/>
      <c r="Q184" s="1355"/>
      <c r="R184" s="1355"/>
      <c r="S184" s="1355"/>
      <c r="T184" s="1355"/>
      <c r="U184" s="1355"/>
      <c r="V184" s="1355"/>
      <c r="W184" s="1355"/>
      <c r="X184" s="1355"/>
      <c r="Y184" s="1355"/>
      <c r="Z184" s="1355"/>
      <c r="AA184" s="1355"/>
      <c r="AB184" s="1355"/>
      <c r="AC184" s="1355"/>
      <c r="AD184" s="1355"/>
      <c r="AE184" s="1355"/>
      <c r="BC184" t="s">
        <v>594</v>
      </c>
      <c r="BN184" s="23" t="s">
        <v>230</v>
      </c>
      <c r="BT184" t="s">
        <v>62</v>
      </c>
    </row>
    <row r="185" spans="1:72" ht="12.95" customHeight="1">
      <c r="C185" s="21"/>
      <c r="D185" t="s">
        <v>586</v>
      </c>
      <c r="I185" s="1554" t="s">
        <v>2638</v>
      </c>
      <c r="J185" s="1371"/>
      <c r="K185" s="1371"/>
      <c r="L185" s="1371"/>
      <c r="M185" s="1371"/>
      <c r="N185" s="1371"/>
      <c r="O185" s="1371"/>
      <c r="P185" s="1371"/>
      <c r="Q185" s="1371"/>
      <c r="R185" s="1371"/>
      <c r="S185" s="1371"/>
      <c r="T185" s="1371"/>
      <c r="U185" s="1371"/>
      <c r="V185" s="1371"/>
      <c r="W185" s="1371"/>
      <c r="X185" s="1371"/>
      <c r="Y185" s="1371"/>
      <c r="Z185" s="1371"/>
      <c r="AA185" s="1371"/>
      <c r="AB185" s="1371"/>
      <c r="AC185" s="1371"/>
      <c r="AD185" s="1371"/>
      <c r="AE185" s="1371"/>
      <c r="BC185" t="s">
        <v>595</v>
      </c>
      <c r="BN185" s="23" t="s">
        <v>231</v>
      </c>
      <c r="BT185" t="s">
        <v>63</v>
      </c>
    </row>
    <row r="186" spans="1:72" ht="12.95" customHeight="1">
      <c r="C186" s="21"/>
      <c r="E186" t="s">
        <v>167</v>
      </c>
      <c r="BN186" s="23" t="s">
        <v>232</v>
      </c>
      <c r="BT186" t="s">
        <v>64</v>
      </c>
    </row>
    <row r="187" spans="1:72" ht="12.95" customHeight="1">
      <c r="C187" s="21"/>
      <c r="E187" s="1814"/>
      <c r="F187" s="1814"/>
      <c r="G187" s="1814"/>
      <c r="H187" s="1814"/>
      <c r="I187" s="1814"/>
      <c r="J187" s="1814"/>
      <c r="K187" s="1814"/>
      <c r="L187" s="1814"/>
      <c r="M187" s="1814"/>
      <c r="N187" s="1814"/>
      <c r="O187" s="1814"/>
      <c r="P187" s="1814"/>
      <c r="Q187" s="1814"/>
      <c r="R187" s="1814"/>
      <c r="S187" s="1814"/>
      <c r="T187" s="1814"/>
      <c r="U187" s="1814"/>
      <c r="V187" s="1814"/>
      <c r="W187" s="1814"/>
      <c r="X187" s="1814"/>
      <c r="Y187" s="1814"/>
      <c r="Z187" s="1814"/>
      <c r="AA187" s="1814"/>
      <c r="AB187" s="1814"/>
      <c r="AC187" s="1814"/>
      <c r="AD187" s="1814"/>
      <c r="AE187" s="1814"/>
      <c r="BN187" s="23" t="s">
        <v>233</v>
      </c>
      <c r="BT187" t="s">
        <v>65</v>
      </c>
    </row>
    <row r="188" spans="1:72" ht="12.95" customHeight="1">
      <c r="C188" s="21"/>
      <c r="E188" s="1815"/>
      <c r="F188" s="1815"/>
      <c r="G188" s="1815"/>
      <c r="H188" s="1815"/>
      <c r="I188" s="1815"/>
      <c r="J188" s="1815"/>
      <c r="K188" s="1815"/>
      <c r="L188" s="1815"/>
      <c r="M188" s="1815"/>
      <c r="N188" s="1815"/>
      <c r="O188" s="1815"/>
      <c r="P188" s="1815"/>
      <c r="Q188" s="1815"/>
      <c r="R188" s="1815"/>
      <c r="S188" s="1815"/>
      <c r="T188" s="1815"/>
      <c r="U188" s="1815"/>
      <c r="V188" s="1815"/>
      <c r="W188" s="1815"/>
      <c r="X188" s="1815"/>
      <c r="Y188" s="1815"/>
      <c r="Z188" s="1815"/>
      <c r="AA188" s="1815"/>
      <c r="AB188" s="1815"/>
      <c r="AC188" s="1815"/>
      <c r="AD188" s="1815"/>
      <c r="AE188" s="1815"/>
      <c r="BN188" s="23" t="s">
        <v>235</v>
      </c>
      <c r="BT188" t="s">
        <v>66</v>
      </c>
    </row>
    <row r="189" spans="1:72" ht="12.95" customHeight="1">
      <c r="C189" s="21"/>
      <c r="D189" t="s">
        <v>587</v>
      </c>
      <c r="I189" s="1356" t="s">
        <v>193</v>
      </c>
      <c r="J189" s="1357"/>
      <c r="K189" s="1357"/>
      <c r="L189" s="1357"/>
      <c r="M189" s="1357"/>
      <c r="N189" s="1357"/>
      <c r="O189" s="1357"/>
      <c r="P189" s="1357"/>
      <c r="Q189" t="s">
        <v>589</v>
      </c>
      <c r="T189" s="1357" t="s">
        <v>193</v>
      </c>
      <c r="U189" s="1357"/>
      <c r="V189" s="1357"/>
      <c r="W189" s="1357"/>
      <c r="X189" s="1357"/>
      <c r="Y189" s="1357"/>
      <c r="Z189" s="1357"/>
      <c r="AA189" s="1357"/>
      <c r="AB189" s="1357"/>
      <c r="AC189" s="1357"/>
      <c r="AD189" s="1357"/>
      <c r="AE189" s="1357"/>
      <c r="BC189" t="s">
        <v>307</v>
      </c>
      <c r="BH189" s="3" t="s">
        <v>598</v>
      </c>
      <c r="BN189" s="23" t="s">
        <v>236</v>
      </c>
      <c r="BT189" t="s">
        <v>67</v>
      </c>
    </row>
    <row r="190" spans="1:72" ht="12.95" customHeight="1">
      <c r="C190" s="21"/>
      <c r="D190" t="s">
        <v>590</v>
      </c>
      <c r="I190" s="1371">
        <v>95060</v>
      </c>
      <c r="J190" s="1371"/>
      <c r="K190" s="1371"/>
      <c r="L190" s="1371"/>
      <c r="M190" s="1371"/>
      <c r="N190" s="1371"/>
      <c r="O190" t="s">
        <v>592</v>
      </c>
      <c r="T190" s="1811">
        <v>1010.02</v>
      </c>
      <c r="U190" s="1811"/>
      <c r="V190" s="1811"/>
      <c r="W190" s="1811"/>
      <c r="X190" s="1811"/>
      <c r="Y190" s="1811"/>
      <c r="Z190" s="1811"/>
      <c r="AA190" s="1811"/>
      <c r="AB190" s="1811"/>
      <c r="AC190" s="1811"/>
      <c r="AD190" s="1811"/>
      <c r="AE190" s="1811"/>
      <c r="BC190" t="s">
        <v>1063</v>
      </c>
      <c r="BH190" t="s">
        <v>1063</v>
      </c>
      <c r="BN190" s="23" t="s">
        <v>642</v>
      </c>
      <c r="BT190" t="s">
        <v>68</v>
      </c>
    </row>
    <row r="191" spans="1:72" ht="12.95" customHeight="1">
      <c r="C191" s="21"/>
      <c r="D191" t="s">
        <v>469</v>
      </c>
      <c r="N191" s="1813" t="s">
        <v>2644</v>
      </c>
      <c r="O191" s="1814"/>
      <c r="P191" s="1814"/>
      <c r="Q191" s="1814"/>
      <c r="R191" s="1814"/>
      <c r="S191" s="1814"/>
      <c r="T191" s="1814"/>
      <c r="U191" s="1814"/>
      <c r="V191" s="1814"/>
      <c r="W191" s="1814"/>
      <c r="X191" s="1814"/>
      <c r="Y191" s="1814"/>
      <c r="Z191" s="1814"/>
      <c r="AA191" s="1814"/>
      <c r="AB191" s="1814"/>
      <c r="AC191" s="1814"/>
      <c r="AD191" s="1814"/>
      <c r="AE191" s="1814"/>
      <c r="BC191" t="s">
        <v>1062</v>
      </c>
      <c r="BH191" t="s">
        <v>1062</v>
      </c>
      <c r="BN191" s="23" t="s">
        <v>696</v>
      </c>
      <c r="BT191" t="s">
        <v>735</v>
      </c>
    </row>
    <row r="192" spans="1:72" ht="12.95" customHeight="1">
      <c r="C192" s="21"/>
      <c r="M192" s="40"/>
      <c r="N192" s="1815"/>
      <c r="O192" s="1815"/>
      <c r="P192" s="1815"/>
      <c r="Q192" s="1815"/>
      <c r="R192" s="1815"/>
      <c r="S192" s="1815"/>
      <c r="T192" s="1815"/>
      <c r="U192" s="1815"/>
      <c r="V192" s="1815"/>
      <c r="W192" s="1815"/>
      <c r="X192" s="1815"/>
      <c r="Y192" s="1815"/>
      <c r="Z192" s="1815"/>
      <c r="AA192" s="1815"/>
      <c r="AB192" s="1815"/>
      <c r="AC192" s="1815"/>
      <c r="AD192" s="1815"/>
      <c r="AE192" s="1815"/>
      <c r="BC192" t="s">
        <v>1065</v>
      </c>
      <c r="BH192" s="3" t="s">
        <v>1473</v>
      </c>
      <c r="BN192" s="23" t="s">
        <v>697</v>
      </c>
      <c r="BT192" t="s">
        <v>736</v>
      </c>
    </row>
    <row r="193" spans="1:74" ht="12.95" customHeight="1">
      <c r="C193" s="21"/>
      <c r="D193" t="s">
        <v>2396</v>
      </c>
      <c r="M193" s="40"/>
      <c r="N193" s="928"/>
      <c r="O193" s="928"/>
      <c r="P193" s="928"/>
      <c r="Q193" s="928"/>
      <c r="R193" s="928"/>
      <c r="S193" s="928"/>
      <c r="T193" s="1818" t="s">
        <v>2272</v>
      </c>
      <c r="U193" s="1818"/>
      <c r="V193" s="1818"/>
      <c r="W193" s="1818"/>
      <c r="X193" s="1818"/>
      <c r="Y193" s="1818"/>
      <c r="Z193" s="1818"/>
      <c r="AA193" s="1818"/>
      <c r="AB193" s="1818"/>
      <c r="AC193" s="1818"/>
      <c r="AD193" s="1818"/>
      <c r="AE193" s="1818"/>
      <c r="AF193" s="1818"/>
      <c r="AG193" s="1818"/>
      <c r="AH193" s="1818"/>
      <c r="AI193" s="1818"/>
      <c r="BC193" t="s">
        <v>1064</v>
      </c>
      <c r="BH193" s="3" t="s">
        <v>1740</v>
      </c>
      <c r="BN193" s="23" t="s">
        <v>698</v>
      </c>
      <c r="BT193" t="s">
        <v>737</v>
      </c>
    </row>
    <row r="194" spans="1:74" ht="12.95" customHeight="1">
      <c r="C194" s="21"/>
      <c r="D194" s="3" t="s">
        <v>2580</v>
      </c>
      <c r="M194" s="40"/>
      <c r="N194" s="928"/>
      <c r="O194" s="928"/>
      <c r="P194" s="928"/>
      <c r="Q194" s="928"/>
      <c r="R194" s="928"/>
      <c r="S194" s="928"/>
      <c r="AH194" s="1358" t="s">
        <v>676</v>
      </c>
      <c r="AI194" s="1358"/>
      <c r="BC194" t="s">
        <v>1473</v>
      </c>
      <c r="BN194" s="23" t="s">
        <v>699</v>
      </c>
      <c r="BT194" t="s">
        <v>738</v>
      </c>
    </row>
    <row r="195" spans="1:74" ht="12.95" customHeight="1">
      <c r="C195" s="21"/>
      <c r="D195" t="s">
        <v>331</v>
      </c>
      <c r="T195" s="1358" t="s">
        <v>552</v>
      </c>
      <c r="U195" s="1358"/>
      <c r="W195" t="s">
        <v>692</v>
      </c>
      <c r="AH195" s="1358">
        <v>18</v>
      </c>
      <c r="AI195" s="1358"/>
      <c r="BC195" t="s">
        <v>2046</v>
      </c>
      <c r="BN195" s="23" t="s">
        <v>242</v>
      </c>
      <c r="BT195" t="s">
        <v>739</v>
      </c>
    </row>
    <row r="196" spans="1:74" ht="12.95" customHeight="1">
      <c r="C196" s="21"/>
      <c r="D196" t="s">
        <v>386</v>
      </c>
      <c r="T196" s="1421" t="s">
        <v>552</v>
      </c>
      <c r="U196" s="1421"/>
      <c r="W196" t="s">
        <v>693</v>
      </c>
      <c r="AH196" s="1358">
        <v>28</v>
      </c>
      <c r="AI196" s="1358"/>
      <c r="BN196" s="23" t="s">
        <v>243</v>
      </c>
      <c r="BT196" t="s">
        <v>69</v>
      </c>
    </row>
    <row r="197" spans="1:74" ht="12.95" customHeight="1">
      <c r="C197" s="21"/>
      <c r="D197" s="3" t="s">
        <v>168</v>
      </c>
      <c r="T197" s="1421" t="s">
        <v>676</v>
      </c>
      <c r="U197" s="1421"/>
      <c r="W197" t="s">
        <v>694</v>
      </c>
      <c r="AH197" s="1358">
        <v>17</v>
      </c>
      <c r="AI197" s="1358"/>
      <c r="BC197" t="s">
        <v>307</v>
      </c>
      <c r="BN197" s="23" t="s">
        <v>244</v>
      </c>
      <c r="BT197" t="s">
        <v>70</v>
      </c>
    </row>
    <row r="198" spans="1:74" s="14" customFormat="1" ht="12.95" customHeight="1">
      <c r="A198"/>
      <c r="B198"/>
      <c r="C198" s="21"/>
      <c r="D198" s="3" t="s">
        <v>1763</v>
      </c>
      <c r="E198"/>
      <c r="F198"/>
      <c r="G198"/>
      <c r="H198"/>
      <c r="I198"/>
      <c r="J198"/>
      <c r="K198"/>
      <c r="L198"/>
      <c r="M198"/>
      <c r="N198"/>
      <c r="O198"/>
      <c r="P198"/>
      <c r="Q198"/>
      <c r="R198"/>
      <c r="S198"/>
      <c r="T198" s="1825"/>
      <c r="U198" s="1421"/>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886</v>
      </c>
      <c r="BD198"/>
      <c r="BN198" s="23" t="s">
        <v>705</v>
      </c>
      <c r="BO198"/>
      <c r="BP198"/>
      <c r="BQ198"/>
      <c r="BR198"/>
      <c r="BS198"/>
      <c r="BT198" t="s">
        <v>191</v>
      </c>
      <c r="BU198"/>
      <c r="BV198" s="31"/>
    </row>
    <row r="199" spans="1:74" s="14" customFormat="1" ht="12.95" customHeight="1">
      <c r="A199"/>
      <c r="B199"/>
      <c r="C199" s="21"/>
      <c r="D199" s="118" t="s">
        <v>2530</v>
      </c>
      <c r="E199"/>
      <c r="F199"/>
      <c r="G199"/>
      <c r="H199"/>
      <c r="I199"/>
      <c r="J199"/>
      <c r="K199"/>
      <c r="L199"/>
      <c r="M199"/>
      <c r="N199"/>
      <c r="O199"/>
      <c r="P199"/>
      <c r="Q199"/>
      <c r="R199"/>
      <c r="S199"/>
      <c r="T199"/>
      <c r="U199"/>
      <c r="V199"/>
      <c r="W199"/>
      <c r="Z199" s="1358" t="s">
        <v>676</v>
      </c>
      <c r="AA199" s="1358"/>
      <c r="AC199"/>
      <c r="AD199"/>
      <c r="AE199"/>
      <c r="AF199"/>
      <c r="AG199"/>
      <c r="AJ199"/>
      <c r="AK199"/>
      <c r="AL199"/>
      <c r="AM199"/>
      <c r="AN199"/>
      <c r="AO199"/>
      <c r="AP199"/>
      <c r="AQ199"/>
      <c r="AR199"/>
      <c r="AS199"/>
      <c r="AT199"/>
      <c r="AU199"/>
      <c r="AV199"/>
      <c r="AW199"/>
      <c r="AX199"/>
      <c r="AY199"/>
      <c r="AZ199" s="30"/>
      <c r="BA199" s="30"/>
      <c r="BC199" s="3" t="s">
        <v>885</v>
      </c>
      <c r="BD199"/>
      <c r="BN199" s="23" t="s">
        <v>706</v>
      </c>
      <c r="BO199"/>
      <c r="BP199"/>
      <c r="BQ199"/>
      <c r="BR199"/>
      <c r="BS199"/>
      <c r="BT199" s="32" t="s">
        <v>192</v>
      </c>
      <c r="BU199"/>
      <c r="BV199" s="31"/>
    </row>
    <row r="200" spans="1:74" s="14" customFormat="1" ht="12.95" customHeight="1">
      <c r="A200"/>
      <c r="B200"/>
      <c r="C200" s="21"/>
      <c r="D200" t="s">
        <v>691</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1088</v>
      </c>
      <c r="BD200" s="469"/>
      <c r="BN200" s="23" t="s">
        <v>707</v>
      </c>
      <c r="BO200"/>
      <c r="BP200"/>
      <c r="BQ200"/>
      <c r="BR200"/>
      <c r="BS200"/>
      <c r="BT200" s="32" t="s">
        <v>193</v>
      </c>
      <c r="BU200"/>
    </row>
    <row r="201" spans="1:74" s="14" customFormat="1" ht="12.95" customHeight="1">
      <c r="A201"/>
      <c r="B201"/>
      <c r="C201" s="21"/>
      <c r="D201" s="221" t="s">
        <v>937</v>
      </c>
      <c r="E201"/>
      <c r="F201"/>
      <c r="G201"/>
      <c r="H201"/>
      <c r="I201"/>
      <c r="J201"/>
      <c r="K201"/>
      <c r="L201"/>
      <c r="M201"/>
      <c r="N201"/>
      <c r="O201"/>
      <c r="P201"/>
      <c r="Q201"/>
      <c r="R201"/>
      <c r="S201"/>
      <c r="T201" s="1"/>
      <c r="U201" s="1"/>
      <c r="V201"/>
      <c r="W201" s="221" t="s">
        <v>936</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618</v>
      </c>
      <c r="BD201" s="469"/>
      <c r="BN201" s="23" t="s">
        <v>708</v>
      </c>
      <c r="BO201" s="31"/>
      <c r="BP201" s="32"/>
      <c r="BQ201" s="32"/>
      <c r="BR201" s="32"/>
      <c r="BS201" s="32"/>
      <c r="BT201" s="32" t="s">
        <v>194</v>
      </c>
      <c r="BU201"/>
    </row>
    <row r="202" spans="1:74" ht="12.95" customHeight="1">
      <c r="C202" s="21"/>
      <c r="D202" s="546"/>
      <c r="BC202" t="s">
        <v>1089</v>
      </c>
      <c r="BD202" s="469"/>
      <c r="BN202" s="23" t="s">
        <v>709</v>
      </c>
      <c r="BO202" s="14"/>
      <c r="BP202" s="32"/>
      <c r="BQ202" s="32"/>
      <c r="BR202" s="32"/>
      <c r="BS202" s="32"/>
      <c r="BT202" s="32" t="s">
        <v>195</v>
      </c>
    </row>
    <row r="203" spans="1:74" ht="12.95" customHeight="1">
      <c r="A203" s="2" t="s">
        <v>593</v>
      </c>
      <c r="C203" s="2" t="s">
        <v>136</v>
      </c>
      <c r="BC203" t="s">
        <v>1090</v>
      </c>
      <c r="BN203" s="23" t="s">
        <v>710</v>
      </c>
      <c r="BO203" s="14"/>
      <c r="BP203" s="32"/>
      <c r="BQ203" s="32"/>
      <c r="BR203" s="32"/>
      <c r="BS203" s="32"/>
      <c r="BT203" s="32" t="s">
        <v>196</v>
      </c>
    </row>
    <row r="204" spans="1:74" ht="12.95" customHeight="1">
      <c r="D204" s="1355" t="s">
        <v>385</v>
      </c>
      <c r="E204" s="1355"/>
      <c r="F204" s="1355"/>
      <c r="G204" s="1355"/>
      <c r="H204" s="1355"/>
      <c r="I204" s="1355"/>
      <c r="J204" s="1355"/>
      <c r="K204" s="1355"/>
      <c r="L204" s="1355"/>
      <c r="M204" s="1355"/>
      <c r="P204" s="1807">
        <f>M26</f>
        <v>5080757</v>
      </c>
      <c r="Q204" s="1808"/>
      <c r="R204" s="1808"/>
      <c r="S204" s="1808"/>
      <c r="T204" s="1808"/>
      <c r="U204" s="1808"/>
      <c r="Z204" s="1822" t="s">
        <v>2628</v>
      </c>
      <c r="AA204" s="1822"/>
      <c r="AB204" s="1822"/>
      <c r="AC204" s="1822"/>
      <c r="AD204" s="1822"/>
      <c r="AE204" s="1822"/>
      <c r="AF204" s="1822"/>
      <c r="BC204" t="s">
        <v>617</v>
      </c>
      <c r="BN204" s="23" t="s">
        <v>711</v>
      </c>
      <c r="BT204" s="32" t="s">
        <v>197</v>
      </c>
      <c r="BU204" s="14"/>
    </row>
    <row r="205" spans="1:74" ht="12.95" customHeight="1">
      <c r="C205" s="21"/>
      <c r="D205" s="1821" t="s">
        <v>1353</v>
      </c>
      <c r="E205" s="1355"/>
      <c r="F205" s="1355"/>
      <c r="G205" s="1355"/>
      <c r="H205" s="1355"/>
      <c r="I205" s="1355"/>
      <c r="J205" s="1355"/>
      <c r="K205" s="1355"/>
      <c r="L205" s="1355"/>
      <c r="M205" s="1355"/>
      <c r="P205" s="1808">
        <f>M27</f>
        <v>2136060</v>
      </c>
      <c r="Q205" s="1808"/>
      <c r="R205" s="1808"/>
      <c r="S205" s="1808"/>
      <c r="T205" s="1808"/>
      <c r="U205" s="1808"/>
      <c r="V205" s="28"/>
      <c r="W205" s="3" t="s">
        <v>1908</v>
      </c>
      <c r="Z205" s="1822"/>
      <c r="AA205" s="1822"/>
      <c r="AB205" s="1822"/>
      <c r="AC205" s="1822"/>
      <c r="AD205" s="1822"/>
      <c r="AE205" s="1822"/>
      <c r="AF205" s="1822"/>
      <c r="AG205" t="s">
        <v>1354</v>
      </c>
      <c r="AP205" s="1358" t="s">
        <v>676</v>
      </c>
      <c r="AQ205" s="1358"/>
      <c r="BC205" t="s">
        <v>1048</v>
      </c>
      <c r="BN205" s="23" t="s">
        <v>109</v>
      </c>
      <c r="BT205" s="32" t="s">
        <v>173</v>
      </c>
      <c r="BU205" s="14"/>
    </row>
    <row r="206" spans="1:74" ht="12.95" customHeight="1">
      <c r="D206" s="29"/>
      <c r="E206" s="29"/>
      <c r="F206" s="29"/>
      <c r="G206" s="29"/>
      <c r="H206" s="29"/>
      <c r="I206" s="29"/>
      <c r="J206" s="29"/>
      <c r="K206" s="29"/>
      <c r="L206" s="29"/>
      <c r="M206" s="29"/>
      <c r="N206" s="29"/>
      <c r="O206" s="29"/>
      <c r="P206" s="29"/>
      <c r="Z206" s="1823"/>
      <c r="AA206" s="1823"/>
      <c r="AB206" s="1823"/>
      <c r="AC206" s="1823"/>
      <c r="AD206" s="1823"/>
      <c r="AE206" s="1823"/>
      <c r="AF206" s="1823"/>
      <c r="BC206" s="470" t="s">
        <v>1091</v>
      </c>
      <c r="BN206" s="23" t="s">
        <v>110</v>
      </c>
      <c r="BT206" s="32" t="s">
        <v>198</v>
      </c>
      <c r="BU206" s="14"/>
    </row>
    <row r="207" spans="1:74" ht="12.95" customHeight="1">
      <c r="A207" s="2" t="s">
        <v>596</v>
      </c>
      <c r="C207" s="2" t="s">
        <v>558</v>
      </c>
      <c r="BC207" s="3" t="s">
        <v>2570</v>
      </c>
      <c r="BN207" s="23" t="s">
        <v>45</v>
      </c>
      <c r="BT207" s="32" t="s">
        <v>199</v>
      </c>
    </row>
    <row r="208" spans="1:74" ht="12.95" customHeight="1">
      <c r="C208" s="21"/>
      <c r="D208" s="1441" t="s">
        <v>2689</v>
      </c>
      <c r="E208" s="1441"/>
      <c r="F208" s="1441"/>
      <c r="G208" s="1441"/>
      <c r="H208" s="1441"/>
      <c r="I208" s="1441"/>
      <c r="J208" s="1441"/>
      <c r="K208" s="1441"/>
      <c r="L208" s="1441"/>
      <c r="M208" s="1441"/>
      <c r="BC208" t="s">
        <v>1092</v>
      </c>
      <c r="BN208" s="23" t="s">
        <v>46</v>
      </c>
      <c r="BT208" s="32" t="s">
        <v>200</v>
      </c>
    </row>
    <row r="209" spans="1:72" ht="12.95" customHeight="1">
      <c r="BC209" t="s">
        <v>666</v>
      </c>
      <c r="BN209" s="23" t="s">
        <v>47</v>
      </c>
      <c r="BT209" s="32" t="s">
        <v>201</v>
      </c>
    </row>
    <row r="210" spans="1:72" ht="12.95" customHeight="1">
      <c r="A210" s="2" t="s">
        <v>597</v>
      </c>
      <c r="C210" s="2" t="s">
        <v>388</v>
      </c>
      <c r="BN210" s="23" t="s">
        <v>48</v>
      </c>
      <c r="BT210" s="32" t="s">
        <v>202</v>
      </c>
    </row>
    <row r="211" spans="1:72" ht="12.95" customHeight="1">
      <c r="C211" s="21"/>
      <c r="D211" s="1441" t="s">
        <v>1063</v>
      </c>
      <c r="E211" s="1441"/>
      <c r="F211" s="1441"/>
      <c r="G211" s="1441"/>
      <c r="H211" s="1441"/>
      <c r="I211" s="1441"/>
      <c r="J211" s="1441"/>
      <c r="K211" s="1441"/>
      <c r="L211" s="1441"/>
      <c r="M211" s="1441"/>
      <c r="BN211" s="23" t="s">
        <v>129</v>
      </c>
      <c r="BT211" s="32" t="s">
        <v>130</v>
      </c>
    </row>
    <row r="212" spans="1:72" ht="12.95" customHeight="1">
      <c r="C212" s="21"/>
      <c r="D212" t="s">
        <v>1350</v>
      </c>
      <c r="Y212" s="1358"/>
      <c r="Z212" s="1358"/>
      <c r="AB212" s="1816">
        <f>IFERROR(Y212/AG440,"")</f>
        <v>0</v>
      </c>
      <c r="AC212" s="1817"/>
      <c r="BC212" t="s">
        <v>307</v>
      </c>
      <c r="BI212" t="s">
        <v>1288</v>
      </c>
      <c r="BN212" s="23" t="s">
        <v>49</v>
      </c>
      <c r="BT212" s="32" t="s">
        <v>203</v>
      </c>
    </row>
    <row r="213" spans="1:72" ht="12.95" customHeight="1">
      <c r="D213" s="1189" t="s">
        <v>1739</v>
      </c>
      <c r="BC213" t="s">
        <v>533</v>
      </c>
      <c r="BI213" t="s">
        <v>2628</v>
      </c>
      <c r="BN213" s="23" t="s">
        <v>50</v>
      </c>
      <c r="BT213" s="32" t="s">
        <v>204</v>
      </c>
    </row>
    <row r="214" spans="1:72" ht="12.95" customHeight="1">
      <c r="D214" s="1828" t="s">
        <v>598</v>
      </c>
      <c r="E214" s="1828"/>
      <c r="F214" s="1828"/>
      <c r="G214" s="1828"/>
      <c r="H214" s="1828"/>
      <c r="I214" s="1828"/>
      <c r="J214" s="1828"/>
      <c r="K214" s="1828"/>
      <c r="L214" s="1828"/>
      <c r="M214" s="1828"/>
      <c r="N214" s="1828"/>
      <c r="O214" s="1828"/>
      <c r="P214" s="1828"/>
      <c r="Q214" s="1828"/>
      <c r="R214" s="1828"/>
      <c r="S214" s="1828"/>
      <c r="T214" s="1828"/>
      <c r="U214" s="1828"/>
      <c r="V214" s="1828"/>
      <c r="W214" s="1828"/>
      <c r="X214" s="1828"/>
      <c r="Y214" s="1828"/>
      <c r="Z214" s="1828"/>
      <c r="AU214" s="21"/>
      <c r="AV214" s="21"/>
      <c r="AW214" s="21"/>
      <c r="AX214" s="21"/>
      <c r="AY214" s="21"/>
      <c r="BC214" t="s">
        <v>537</v>
      </c>
      <c r="BI214" t="s">
        <v>2634</v>
      </c>
      <c r="BN214" s="23" t="s">
        <v>326</v>
      </c>
      <c r="BT214" s="32" t="s">
        <v>205</v>
      </c>
    </row>
    <row r="215" spans="1:72" ht="12.95" customHeight="1">
      <c r="D215" s="3" t="s">
        <v>1764</v>
      </c>
      <c r="Z215" s="40"/>
      <c r="AB215" s="1824"/>
      <c r="AC215" s="1824"/>
      <c r="AD215" s="1824"/>
      <c r="AE215" s="1824"/>
      <c r="AF215" s="1824"/>
      <c r="AG215" s="1824"/>
      <c r="AH215" s="1824"/>
      <c r="AI215" s="1824"/>
      <c r="AJ215" s="1824"/>
      <c r="AK215" s="1824"/>
      <c r="AL215" s="1824"/>
      <c r="AM215" s="21"/>
      <c r="AN215" s="21"/>
      <c r="AO215" s="21"/>
      <c r="AP215" s="21"/>
      <c r="AQ215" s="21"/>
      <c r="AR215" s="21"/>
      <c r="AS215" s="21"/>
      <c r="AT215" s="21"/>
      <c r="AU215" s="21"/>
      <c r="AV215" s="21"/>
      <c r="AW215" s="21"/>
      <c r="AX215" s="21"/>
      <c r="AY215" s="21"/>
      <c r="BC215" t="s">
        <v>534</v>
      </c>
      <c r="BI215" t="s">
        <v>2629</v>
      </c>
    </row>
    <row r="216" spans="1:72" ht="12.95" customHeight="1">
      <c r="D216" s="3" t="s">
        <v>1762</v>
      </c>
      <c r="Z216" s="40"/>
      <c r="AB216" s="1824"/>
      <c r="AC216" s="1824"/>
      <c r="AD216" s="1824"/>
      <c r="AE216" s="1824"/>
      <c r="AF216" s="1824"/>
      <c r="AG216" s="1824"/>
      <c r="AH216" s="1824"/>
      <c r="AI216" s="1824"/>
      <c r="AJ216" s="1824"/>
      <c r="AK216" s="1824"/>
      <c r="AL216" s="1824"/>
      <c r="AM216" s="21"/>
      <c r="AN216" s="21"/>
      <c r="AO216" s="21"/>
      <c r="AP216" s="21"/>
      <c r="AQ216" s="21"/>
      <c r="AR216" s="21"/>
      <c r="AS216" s="21"/>
      <c r="AT216" s="21"/>
      <c r="AU216" s="21"/>
      <c r="AV216" s="21"/>
      <c r="AW216" s="21"/>
      <c r="AX216" s="21"/>
      <c r="AY216" s="21"/>
      <c r="BC216" t="s">
        <v>573</v>
      </c>
      <c r="BI216" t="s">
        <v>2630</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535</v>
      </c>
    </row>
    <row r="218" spans="1:72" ht="12.95" customHeight="1">
      <c r="A218" s="2" t="s">
        <v>599</v>
      </c>
      <c r="C218" s="2" t="s">
        <v>1326</v>
      </c>
      <c r="D218" s="28"/>
      <c r="BC218" t="s">
        <v>536</v>
      </c>
    </row>
    <row r="219" spans="1:72" ht="12.95" customHeight="1">
      <c r="A219" s="2"/>
      <c r="C219" s="2"/>
      <c r="D219" s="4" t="s">
        <v>1006</v>
      </c>
      <c r="AZ219" s="3"/>
      <c r="BA219" s="3"/>
      <c r="BC219" t="s">
        <v>377</v>
      </c>
    </row>
    <row r="220" spans="1:72" ht="12.95" customHeight="1">
      <c r="A220" s="2"/>
      <c r="C220" s="2"/>
      <c r="D220" s="1441" t="s">
        <v>2570</v>
      </c>
      <c r="E220" s="1441"/>
      <c r="F220" s="1441"/>
      <c r="G220" s="1441"/>
      <c r="H220" s="1441"/>
      <c r="I220" s="1441"/>
      <c r="J220" s="1441"/>
      <c r="K220" s="1441"/>
      <c r="L220" s="1441"/>
      <c r="M220" s="1441"/>
      <c r="N220" s="1441"/>
      <c r="O220" s="1441"/>
      <c r="P220" s="1441"/>
      <c r="Q220" s="1441"/>
      <c r="R220" s="1441"/>
      <c r="S220" s="1441"/>
      <c r="T220" s="1441"/>
      <c r="U220" s="1441"/>
      <c r="V220" s="1441"/>
      <c r="W220" s="1441"/>
      <c r="X220" s="1441"/>
      <c r="Y220" s="1441"/>
      <c r="Z220" s="1441"/>
      <c r="BA220" s="3"/>
      <c r="BC220" t="s">
        <v>300</v>
      </c>
    </row>
    <row r="221" spans="1:72" ht="12.95" customHeight="1">
      <c r="A221" s="2"/>
      <c r="B221" s="14"/>
      <c r="C221" s="2"/>
      <c r="AU221" s="95"/>
      <c r="AV221" s="95"/>
      <c r="AW221" s="95"/>
      <c r="AX221" s="95"/>
      <c r="AY221" s="95"/>
      <c r="BA221" s="3"/>
    </row>
    <row r="222" spans="1:72" ht="12.95" customHeight="1">
      <c r="A222" s="1446" t="s">
        <v>547</v>
      </c>
      <c r="B222" s="1446"/>
      <c r="C222" s="1446"/>
      <c r="D222" s="1446"/>
      <c r="E222" s="1446"/>
      <c r="F222" s="1446"/>
      <c r="G222" s="1446"/>
      <c r="H222" s="1446"/>
      <c r="I222" s="1446"/>
      <c r="J222" s="1446"/>
      <c r="K222" s="1446"/>
      <c r="L222" s="1446"/>
      <c r="M222" s="1446"/>
      <c r="N222" s="1446"/>
      <c r="O222" s="1446"/>
      <c r="P222" s="1446"/>
      <c r="Q222" s="1446"/>
      <c r="R222" s="1446"/>
      <c r="S222" s="1446"/>
      <c r="T222" s="1446"/>
      <c r="U222" s="1446"/>
      <c r="V222" s="1446"/>
      <c r="W222" s="1446"/>
      <c r="X222" s="1446"/>
      <c r="Y222" s="1446"/>
      <c r="Z222" s="1446"/>
      <c r="AA222" s="1446"/>
      <c r="AB222" s="1446"/>
      <c r="AC222" s="1446"/>
      <c r="AD222" s="1446"/>
      <c r="AE222" s="1446"/>
      <c r="AF222" s="1446"/>
      <c r="AG222" s="1446"/>
      <c r="AH222" s="1446"/>
      <c r="AI222" s="1446"/>
      <c r="AJ222" s="1446"/>
      <c r="AK222" s="1446"/>
      <c r="AL222" s="1446"/>
      <c r="AM222" s="1446"/>
      <c r="AN222" s="1446"/>
      <c r="AO222" s="1446"/>
      <c r="AP222" s="1446"/>
      <c r="AQ222" s="1446"/>
      <c r="AR222" s="1446"/>
      <c r="AS222" s="1446"/>
      <c r="AT222" s="1446"/>
      <c r="AU222" s="95"/>
      <c r="AV222" s="95"/>
      <c r="AW222" s="95"/>
      <c r="AX222" s="95"/>
      <c r="AY222" s="95"/>
      <c r="AZ222" s="3"/>
      <c r="BA222" s="3"/>
      <c r="BP222" s="34"/>
    </row>
    <row r="223" spans="1:72" ht="12.95" customHeight="1">
      <c r="A223" s="1446"/>
      <c r="B223" s="1446"/>
      <c r="C223" s="1446"/>
      <c r="D223" s="1446"/>
      <c r="E223" s="1446"/>
      <c r="F223" s="1446"/>
      <c r="G223" s="1446"/>
      <c r="H223" s="1446"/>
      <c r="I223" s="1446"/>
      <c r="J223" s="1446"/>
      <c r="K223" s="1446"/>
      <c r="L223" s="1446"/>
      <c r="M223" s="1446"/>
      <c r="N223" s="1446"/>
      <c r="O223" s="1446"/>
      <c r="P223" s="1446"/>
      <c r="Q223" s="1446"/>
      <c r="R223" s="1446"/>
      <c r="S223" s="1446"/>
      <c r="T223" s="1446"/>
      <c r="U223" s="1446"/>
      <c r="V223" s="1446"/>
      <c r="W223" s="1446"/>
      <c r="X223" s="1446"/>
      <c r="Y223" s="1446"/>
      <c r="Z223" s="1446"/>
      <c r="AA223" s="1446"/>
      <c r="AB223" s="1446"/>
      <c r="AC223" s="1446"/>
      <c r="AD223" s="1446"/>
      <c r="AE223" s="1446"/>
      <c r="AF223" s="1446"/>
      <c r="AG223" s="1446"/>
      <c r="AH223" s="1446"/>
      <c r="AI223" s="1446"/>
      <c r="AJ223" s="1446"/>
      <c r="AK223" s="1446"/>
      <c r="AL223" s="1446"/>
      <c r="AM223" s="1446"/>
      <c r="AN223" s="1446"/>
      <c r="AO223" s="1446"/>
      <c r="AP223" s="1446"/>
      <c r="AQ223" s="1446"/>
      <c r="AR223" s="1446"/>
      <c r="AS223" s="1446"/>
      <c r="AT223" s="1446"/>
      <c r="BA223" s="3"/>
      <c r="BB223" s="3"/>
      <c r="BQ223" s="34"/>
    </row>
    <row r="224" spans="1:72" ht="12.95" customHeight="1">
      <c r="AZ224" s="4"/>
      <c r="BA224" s="3"/>
      <c r="BB224" s="3"/>
      <c r="BQ224" s="34"/>
    </row>
    <row r="225" spans="1:69" ht="12.95" customHeight="1">
      <c r="A225" s="2" t="s">
        <v>319</v>
      </c>
      <c r="B225" s="2"/>
      <c r="C225" s="2" t="s">
        <v>2397</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614</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58" t="s">
        <v>598</v>
      </c>
      <c r="AJ226" s="1358"/>
      <c r="AL226" s="3"/>
      <c r="AM226" s="3"/>
      <c r="AN226" s="3"/>
      <c r="AO226" s="3"/>
      <c r="AP226" s="3"/>
      <c r="AQ226" s="3"/>
      <c r="AR226" s="3"/>
      <c r="AS226" s="3"/>
      <c r="AT226" s="3"/>
      <c r="AU226" s="3"/>
      <c r="AV226" s="3"/>
      <c r="AW226" s="3"/>
      <c r="AX226" s="3"/>
      <c r="AY226" s="3"/>
      <c r="AZ226" s="4"/>
      <c r="BB226" s="218" t="s">
        <v>545</v>
      </c>
      <c r="BG226" s="259">
        <f>IF(AND(AND($M$249="for profit",$M$257="for profit",$M$265="nonprofit")),2,0)</f>
        <v>0</v>
      </c>
      <c r="BO226" s="34"/>
    </row>
    <row r="227" spans="1:69" ht="12.95" customHeight="1">
      <c r="B227" s="4"/>
      <c r="D227" s="4" t="s">
        <v>561</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58" t="s">
        <v>552</v>
      </c>
      <c r="AJ227" s="1358"/>
      <c r="AL227" s="3"/>
      <c r="AM227" s="3"/>
      <c r="AN227" s="3"/>
      <c r="AO227" s="3"/>
      <c r="AP227" s="3"/>
      <c r="AQ227" s="3"/>
      <c r="AR227" s="3"/>
      <c r="AS227" s="3"/>
      <c r="AT227" s="3"/>
      <c r="AU227" s="3"/>
      <c r="AV227" s="3"/>
      <c r="AW227" s="3"/>
      <c r="AX227" s="3"/>
      <c r="AY227" s="3"/>
      <c r="BA227" s="3"/>
      <c r="BB227" s="218" t="s">
        <v>545</v>
      </c>
      <c r="BG227" s="259">
        <f>IF(AND(AND($M$249="for profit",$M$257="nonprofit",$M$265="for profit")),2,0)</f>
        <v>0</v>
      </c>
      <c r="BQ227" s="34"/>
    </row>
    <row r="228" spans="1:69" ht="12.95"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58" t="s">
        <v>598</v>
      </c>
      <c r="AJ228" s="1358"/>
      <c r="AL228" s="3"/>
      <c r="AM228" s="3"/>
      <c r="AN228" s="3"/>
      <c r="AO228" s="3"/>
      <c r="AP228" s="3"/>
      <c r="AQ228" s="3"/>
      <c r="AR228" s="3"/>
      <c r="AS228" s="3"/>
      <c r="AT228" s="3"/>
      <c r="AU228" s="3"/>
      <c r="AV228" s="3"/>
      <c r="AW228" s="3"/>
      <c r="AX228" s="3"/>
      <c r="AY228" s="3"/>
      <c r="AZ228" s="4"/>
      <c r="BA228" s="3"/>
      <c r="BB228" s="218" t="s">
        <v>545</v>
      </c>
      <c r="BG228" s="259">
        <f>IF(AND(AND($M$249="nonprofit",$M$257="for profit",$M$265="for profit")),2,0)</f>
        <v>0</v>
      </c>
      <c r="BQ228" s="34"/>
    </row>
    <row r="229" spans="1:6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58" t="s">
        <v>598</v>
      </c>
      <c r="AJ229" s="1358"/>
      <c r="AL229" s="3"/>
      <c r="AM229" s="3"/>
      <c r="AN229" s="3"/>
      <c r="AO229" s="3"/>
      <c r="AP229" s="3"/>
      <c r="AQ229" s="3"/>
      <c r="AR229" s="3"/>
      <c r="AS229" s="3"/>
      <c r="AT229" s="3"/>
      <c r="AU229" s="3"/>
      <c r="AV229" s="3"/>
      <c r="AW229" s="3"/>
      <c r="AX229" s="3"/>
      <c r="AY229" s="3"/>
      <c r="BA229" s="3"/>
      <c r="BB229" s="218" t="s">
        <v>545</v>
      </c>
      <c r="BG229" s="259">
        <f>IF(AND(AND($M$249="for profit",$M$257="nonprofit",$M$265="(select one)")),2,0)</f>
        <v>0</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545</v>
      </c>
      <c r="BG230" s="258">
        <f>IF(AND(AND($M$249="nonprofit",$M$257="for profit",$M$265="(select one)")),2,0)</f>
        <v>2</v>
      </c>
      <c r="BO230" s="34"/>
    </row>
    <row r="231" spans="1:69" ht="12.95" customHeight="1">
      <c r="A231" s="2" t="s">
        <v>583</v>
      </c>
      <c r="B231" s="4"/>
      <c r="C231" s="2" t="s">
        <v>2398</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477</v>
      </c>
      <c r="E232" s="4"/>
      <c r="F232" s="4"/>
      <c r="G232" s="4"/>
      <c r="H232" s="4"/>
      <c r="I232" s="4"/>
      <c r="J232" s="4"/>
      <c r="K232" s="4"/>
      <c r="M232" s="1812" t="str">
        <f>H16</f>
        <v>DTLMU Investors, L.P.</v>
      </c>
      <c r="N232" s="1812"/>
      <c r="O232" s="1812"/>
      <c r="P232" s="1812"/>
      <c r="Q232" s="1812"/>
      <c r="R232" s="1812"/>
      <c r="S232" s="1812"/>
      <c r="T232" s="1812"/>
      <c r="U232" s="1812"/>
      <c r="V232" s="1812"/>
      <c r="W232" s="1812"/>
      <c r="X232" s="1812"/>
      <c r="Y232" s="1812"/>
      <c r="Z232" s="1812"/>
      <c r="AA232" s="1812"/>
      <c r="AB232" s="1812"/>
      <c r="AC232" s="1812"/>
      <c r="AD232" s="1812"/>
      <c r="AE232" s="1812"/>
      <c r="AF232" s="1812"/>
      <c r="AG232" s="1812"/>
      <c r="AH232" s="1812"/>
      <c r="AI232" s="1812"/>
      <c r="AJ232" s="1812"/>
      <c r="AK232" s="1812"/>
      <c r="AZ232" s="4"/>
      <c r="BA232" s="3"/>
      <c r="BB232" s="219" t="s">
        <v>545</v>
      </c>
      <c r="BG232" s="259">
        <f>IF(AND(AND($M$249="nonprofit",$M$257="nonprofit",$M$265="for profit")),2,0)</f>
        <v>0</v>
      </c>
      <c r="BQ232" s="34"/>
    </row>
    <row r="233" spans="1:69" ht="12.95" customHeight="1">
      <c r="D233" s="4" t="s">
        <v>85</v>
      </c>
      <c r="E233" s="4"/>
      <c r="F233" s="4"/>
      <c r="G233" s="4"/>
      <c r="H233" s="4"/>
      <c r="I233" s="4"/>
      <c r="J233" s="4"/>
      <c r="K233" s="4"/>
      <c r="M233" s="1356" t="s">
        <v>2639</v>
      </c>
      <c r="N233" s="1441"/>
      <c r="O233" s="1441"/>
      <c r="P233" s="1441"/>
      <c r="Q233" s="1441"/>
      <c r="R233" s="1441"/>
      <c r="S233" s="1441"/>
      <c r="T233" s="1441"/>
      <c r="U233" s="1441"/>
      <c r="V233" s="1441"/>
      <c r="W233" s="1441"/>
      <c r="X233" s="1441"/>
      <c r="Y233" s="1441"/>
      <c r="Z233" s="1441"/>
      <c r="AA233" s="1441"/>
      <c r="AB233" s="1441"/>
      <c r="AC233" s="1441"/>
      <c r="AD233" s="1441"/>
      <c r="AE233" s="1441"/>
      <c r="BB233" s="219" t="s">
        <v>545</v>
      </c>
      <c r="BG233" s="259">
        <f>IF(AND(AND($M$249="nonprofit",$M$257="for profit",$M$265="nonprofit")),2,0)</f>
        <v>0</v>
      </c>
    </row>
    <row r="234" spans="1:69" ht="12.95" customHeight="1">
      <c r="D234" s="4" t="s">
        <v>587</v>
      </c>
      <c r="E234" s="4"/>
      <c r="M234" s="1356" t="s">
        <v>2640</v>
      </c>
      <c r="N234" s="1441"/>
      <c r="O234" s="1441"/>
      <c r="P234" s="1441"/>
      <c r="Q234" s="1441"/>
      <c r="R234" s="1441"/>
      <c r="S234" s="1441"/>
      <c r="T234" s="1441"/>
      <c r="V234" s="33" t="s">
        <v>86</v>
      </c>
      <c r="W234" s="1554" t="s">
        <v>2641</v>
      </c>
      <c r="X234" s="1455"/>
      <c r="Y234" s="4" t="s">
        <v>590</v>
      </c>
      <c r="AC234" s="1441">
        <v>94541</v>
      </c>
      <c r="AD234" s="1441"/>
      <c r="AE234" s="1441"/>
      <c r="AU234" s="4"/>
      <c r="AV234" s="4"/>
      <c r="AW234" s="4"/>
      <c r="AX234" s="4"/>
      <c r="AY234" s="4"/>
      <c r="AZ234" s="4"/>
      <c r="BB234" s="219" t="s">
        <v>545</v>
      </c>
      <c r="BG234" s="258">
        <f>IF(AND(AND($M$249="for profit",$M$257="nonprofit",$M$265="nonprofit")),2,0)</f>
        <v>0</v>
      </c>
      <c r="BO234" s="34"/>
    </row>
    <row r="235" spans="1:69" ht="12.95" customHeight="1">
      <c r="D235" s="4" t="s">
        <v>87</v>
      </c>
      <c r="E235" s="4"/>
      <c r="F235" s="4"/>
      <c r="G235" s="4"/>
      <c r="H235" s="4"/>
      <c r="I235" s="4"/>
      <c r="J235" s="4"/>
      <c r="K235" s="19"/>
      <c r="M235" s="1356" t="s">
        <v>2645</v>
      </c>
      <c r="N235" s="1441"/>
      <c r="O235" s="1441"/>
      <c r="P235" s="1441"/>
      <c r="Q235" s="1441"/>
      <c r="R235" s="1441"/>
      <c r="S235" s="1441"/>
      <c r="T235" s="1441"/>
      <c r="U235" s="1441"/>
      <c r="V235" s="1441"/>
      <c r="W235" s="1441"/>
      <c r="X235" s="1441"/>
      <c r="Y235" s="1441"/>
      <c r="Z235" s="1441"/>
      <c r="AA235" s="1441"/>
      <c r="AB235" s="1441"/>
      <c r="AC235" s="1441"/>
      <c r="AD235" s="1441"/>
      <c r="AE235" s="1441"/>
      <c r="AI235" s="4"/>
      <c r="AJ235" s="4"/>
      <c r="AK235" s="4"/>
      <c r="AL235" s="4"/>
      <c r="AM235" s="4"/>
      <c r="AN235" s="4"/>
      <c r="AO235" s="4"/>
      <c r="AP235" s="4"/>
      <c r="AQ235" s="4"/>
      <c r="AR235" s="4"/>
      <c r="AS235" s="4"/>
      <c r="AT235" s="4"/>
      <c r="BB235" s="219"/>
      <c r="BG235" s="218"/>
    </row>
    <row r="236" spans="1:69" ht="12.95" customHeight="1">
      <c r="D236" s="4" t="s">
        <v>88</v>
      </c>
      <c r="E236" s="4"/>
      <c r="F236" s="4"/>
      <c r="M236" s="1482" t="s">
        <v>2646</v>
      </c>
      <c r="N236" s="1460"/>
      <c r="O236" s="1460"/>
      <c r="P236" s="1460"/>
      <c r="Q236" s="1460"/>
      <c r="R236" s="1460"/>
      <c r="S236" s="4" t="s">
        <v>206</v>
      </c>
      <c r="T236" s="4"/>
      <c r="U236" s="1455"/>
      <c r="V236" s="1455"/>
      <c r="W236" s="1455"/>
      <c r="X236" s="4" t="s">
        <v>89</v>
      </c>
      <c r="Z236" s="1460"/>
      <c r="AA236" s="1460"/>
      <c r="AB236" s="1460"/>
      <c r="AC236" s="1460"/>
      <c r="AD236" s="1460"/>
      <c r="AE236" s="1460"/>
      <c r="AU236" s="4"/>
      <c r="AV236" s="4"/>
      <c r="AW236" s="4"/>
      <c r="AX236" s="4"/>
      <c r="AY236" s="4"/>
      <c r="AZ236" s="4"/>
      <c r="BB236" s="218" t="s">
        <v>544</v>
      </c>
      <c r="BG236" s="259">
        <f>IF(AND(AND($M$249="nonprofit",$M$257="nonprofit",$M$265="(select one)")),1,0)</f>
        <v>0</v>
      </c>
    </row>
    <row r="237" spans="1:69" ht="12.95" customHeight="1">
      <c r="D237" s="4" t="s">
        <v>90</v>
      </c>
      <c r="E237" s="4"/>
      <c r="F237" s="4"/>
      <c r="M237" s="1794" t="s">
        <v>2647</v>
      </c>
      <c r="N237" s="1794"/>
      <c r="O237" s="1794"/>
      <c r="P237" s="1794"/>
      <c r="Q237" s="1794"/>
      <c r="R237" s="1794"/>
      <c r="S237" s="1794"/>
      <c r="T237" s="1794"/>
      <c r="U237" s="1794"/>
      <c r="V237" s="1794"/>
      <c r="W237" s="1794"/>
      <c r="X237" s="1794"/>
      <c r="Y237" s="1794"/>
      <c r="Z237" s="1794"/>
      <c r="AA237" s="1794"/>
      <c r="AB237" s="1794"/>
      <c r="AC237" s="1794"/>
      <c r="AD237" s="1794"/>
      <c r="AE237" s="1794"/>
      <c r="AF237" s="4"/>
      <c r="AG237" s="4"/>
      <c r="AH237" s="4"/>
      <c r="AI237" s="4"/>
      <c r="AJ237" s="4"/>
      <c r="AK237" s="4"/>
      <c r="AL237" s="4"/>
      <c r="AM237" s="4"/>
      <c r="AN237" s="4"/>
      <c r="AO237" s="4"/>
      <c r="AP237" s="4"/>
      <c r="AQ237" s="4"/>
      <c r="AR237" s="4"/>
      <c r="AS237" s="4"/>
      <c r="AT237" s="4"/>
      <c r="AU237" s="3"/>
      <c r="AV237" s="3"/>
      <c r="AW237" s="3"/>
      <c r="AX237" s="3"/>
      <c r="AY237" s="3"/>
      <c r="BB237" s="218" t="s">
        <v>544</v>
      </c>
      <c r="BG237" s="259">
        <f>IF(AND(AND($M$249="nonprofit",$M$257="nonprofit",$M$265="nonprofit")),1,0)</f>
        <v>0</v>
      </c>
    </row>
    <row r="238" spans="1:69" ht="12.95" customHeight="1">
      <c r="A238" s="2" t="s">
        <v>593</v>
      </c>
      <c r="C238" s="2" t="s">
        <v>532</v>
      </c>
      <c r="M238" s="1371" t="s">
        <v>535</v>
      </c>
      <c r="N238" s="1371"/>
      <c r="O238" s="1371"/>
      <c r="P238" s="1371"/>
      <c r="Q238" s="1371"/>
      <c r="R238" s="1371"/>
      <c r="S238" s="1371"/>
      <c r="T238" s="1371"/>
      <c r="U238" s="218" t="s">
        <v>920</v>
      </c>
      <c r="V238" s="218"/>
      <c r="W238" s="218"/>
      <c r="X238" s="218"/>
      <c r="Y238" s="218"/>
      <c r="Z238" s="218"/>
      <c r="AA238" s="1809" t="s">
        <v>2636</v>
      </c>
      <c r="AB238" s="1810"/>
      <c r="AC238" s="1810"/>
      <c r="AD238" s="1810"/>
      <c r="AE238" s="1810"/>
      <c r="AF238" s="1810"/>
      <c r="AG238" s="1810"/>
      <c r="AH238" s="1810"/>
      <c r="AI238" s="1810"/>
      <c r="AJ238" s="1810"/>
      <c r="AK238" s="1810"/>
      <c r="AL238" s="3"/>
      <c r="AM238" s="3"/>
      <c r="AN238" s="3"/>
      <c r="AO238" s="3"/>
      <c r="AP238" s="3"/>
      <c r="AQ238" s="3"/>
      <c r="AR238" s="3"/>
      <c r="AS238" s="3"/>
      <c r="AT238" s="3"/>
      <c r="AU238" s="3"/>
      <c r="AV238" s="3"/>
      <c r="AW238" s="3"/>
      <c r="AX238" s="3"/>
      <c r="AY238" s="3"/>
      <c r="BB238" s="218" t="s">
        <v>544</v>
      </c>
      <c r="BG238" s="259">
        <f>IF(AND(AND($M$249="nonprofit",$M$257="(select one)",$M$265="(select one)")),1,0)</f>
        <v>0</v>
      </c>
      <c r="BN238" s="34"/>
    </row>
    <row r="239" spans="1:69" ht="12.95" customHeight="1">
      <c r="D239" t="s">
        <v>538</v>
      </c>
      <c r="M239" s="1357"/>
      <c r="N239" s="1357"/>
      <c r="O239" s="1357"/>
      <c r="P239" s="1357"/>
      <c r="Q239" s="1357"/>
      <c r="R239" s="1357"/>
      <c r="S239" s="1357"/>
      <c r="T239" s="1357"/>
      <c r="U239" s="1357"/>
      <c r="V239" s="1357"/>
      <c r="W239" s="1357"/>
      <c r="X239" s="1357"/>
      <c r="Y239" s="1357"/>
      <c r="Z239" s="1357"/>
      <c r="AA239" s="1357"/>
      <c r="AB239" s="1357"/>
      <c r="AC239" s="1357"/>
      <c r="AD239" s="1357"/>
      <c r="AE239" s="1357"/>
      <c r="AF239" s="4"/>
      <c r="AG239" s="4"/>
      <c r="AH239" s="4"/>
      <c r="AI239" s="4"/>
      <c r="AJ239" s="4"/>
      <c r="AK239" s="3"/>
      <c r="AL239" s="3"/>
      <c r="AM239" s="3"/>
      <c r="AN239" s="3"/>
      <c r="AO239" s="3"/>
      <c r="AP239" s="3"/>
      <c r="AQ239" s="3"/>
      <c r="AR239" s="3"/>
      <c r="AS239" s="3"/>
      <c r="AT239" s="3"/>
      <c r="BB239" s="218" t="s">
        <v>888</v>
      </c>
      <c r="BG239" s="259">
        <f>IF(AND(AND($M$249="for profit",$M$257="for profit",$M$265="(select one)")),3,0)</f>
        <v>0</v>
      </c>
    </row>
    <row r="240" spans="1:69" ht="12.95" customHeight="1">
      <c r="D240" s="4"/>
      <c r="BB240" s="218" t="s">
        <v>888</v>
      </c>
      <c r="BG240" s="259">
        <f>IF(AND(AND($M$249="for profit",$M$257="for profit",$M$265="for profit")),3,0)</f>
        <v>0</v>
      </c>
    </row>
    <row r="241" spans="1:71" ht="12.95" customHeight="1">
      <c r="A241" s="2" t="s">
        <v>596</v>
      </c>
      <c r="C241" s="2" t="s">
        <v>1287</v>
      </c>
      <c r="D241" s="4"/>
      <c r="L241" s="8"/>
      <c r="M241" s="8"/>
      <c r="N241" s="8"/>
      <c r="AU241" s="3"/>
      <c r="AV241" s="3"/>
      <c r="AW241" s="3"/>
      <c r="AX241" s="3"/>
      <c r="AY241" s="3"/>
      <c r="BB241" s="218" t="s">
        <v>888</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480</v>
      </c>
      <c r="D243" s="4" t="s">
        <v>539</v>
      </c>
      <c r="E243" s="4"/>
      <c r="F243" s="4"/>
      <c r="G243" s="4"/>
      <c r="H243" s="4"/>
      <c r="I243" s="4"/>
      <c r="J243" s="4"/>
      <c r="K243" s="4"/>
      <c r="L243" s="4"/>
      <c r="M243" s="1443" t="s">
        <v>2648</v>
      </c>
      <c r="N243" s="1444"/>
      <c r="O243" s="1444"/>
      <c r="P243" s="1444"/>
      <c r="Q243" s="1444"/>
      <c r="R243" s="1444"/>
      <c r="S243" s="1444"/>
      <c r="T243" s="1444"/>
      <c r="U243" s="1444"/>
      <c r="V243" s="1444"/>
      <c r="W243" s="1444"/>
      <c r="X243" s="1444"/>
      <c r="Y243" s="1444"/>
      <c r="Z243" s="1444"/>
      <c r="AA243" s="1444"/>
      <c r="AB243" s="1444"/>
      <c r="AC243" s="1444"/>
      <c r="AD243" s="1444"/>
      <c r="AE243" s="1444"/>
      <c r="AF243" s="1444" t="s">
        <v>2649</v>
      </c>
      <c r="AG243" s="1444"/>
      <c r="AH243" s="1444"/>
      <c r="AI243" s="1444"/>
      <c r="AJ243" s="1444"/>
      <c r="AK243" s="1444"/>
      <c r="AU243" s="4"/>
      <c r="AV243" s="4"/>
      <c r="AW243" s="4"/>
      <c r="AX243" s="4"/>
      <c r="AY243" s="4"/>
      <c r="BG243">
        <f>SUM(BG226:BG241)</f>
        <v>2</v>
      </c>
    </row>
    <row r="244" spans="1:71" ht="12.95" customHeight="1">
      <c r="A244" s="19"/>
      <c r="B244" s="4"/>
      <c r="C244" s="4"/>
      <c r="D244" s="4" t="s">
        <v>85</v>
      </c>
      <c r="E244" s="4"/>
      <c r="F244" s="4"/>
      <c r="G244" s="4"/>
      <c r="H244" s="4"/>
      <c r="I244" s="4"/>
      <c r="J244" s="4"/>
      <c r="K244" s="4"/>
      <c r="L244" s="4"/>
      <c r="M244" s="1356" t="s">
        <v>2639</v>
      </c>
      <c r="N244" s="1441"/>
      <c r="O244" s="1441"/>
      <c r="P244" s="1441"/>
      <c r="Q244" s="1441"/>
      <c r="R244" s="1441"/>
      <c r="S244" s="1441"/>
      <c r="T244" s="1441"/>
      <c r="U244" s="1441"/>
      <c r="V244" s="1441"/>
      <c r="W244" s="1441"/>
      <c r="X244" s="1441"/>
      <c r="Y244" s="1441"/>
      <c r="Z244" s="1441"/>
      <c r="AA244" s="1441"/>
      <c r="AB244" s="1441"/>
      <c r="AC244" s="1441"/>
      <c r="AD244" s="1441"/>
      <c r="AE244" s="1441"/>
      <c r="AF244" s="3" t="s">
        <v>1283</v>
      </c>
      <c r="AL244" s="4"/>
      <c r="AM244" s="4"/>
      <c r="AN244" s="4"/>
      <c r="AO244" s="4"/>
      <c r="AP244" s="4"/>
      <c r="AQ244" s="4"/>
      <c r="AR244" s="4"/>
      <c r="AS244" s="4"/>
      <c r="AT244" s="4"/>
      <c r="BB244" t="s">
        <v>307</v>
      </c>
      <c r="BG244">
        <v>1</v>
      </c>
      <c r="BH244" t="s">
        <v>541</v>
      </c>
    </row>
    <row r="245" spans="1:71" ht="12.95" customHeight="1">
      <c r="A245" s="19"/>
      <c r="B245" s="4"/>
      <c r="C245" s="4"/>
      <c r="D245" s="4" t="s">
        <v>587</v>
      </c>
      <c r="E245" s="4"/>
      <c r="M245" s="1356" t="s">
        <v>2640</v>
      </c>
      <c r="N245" s="1441"/>
      <c r="O245" s="1441"/>
      <c r="P245" s="1441"/>
      <c r="Q245" s="1441"/>
      <c r="R245" s="1441"/>
      <c r="S245" s="1441"/>
      <c r="T245" s="1441"/>
      <c r="V245" s="33" t="s">
        <v>86</v>
      </c>
      <c r="W245" s="1554" t="s">
        <v>2641</v>
      </c>
      <c r="X245" s="1455"/>
      <c r="Y245" s="4" t="s">
        <v>590</v>
      </c>
      <c r="AC245" s="1441">
        <v>94541</v>
      </c>
      <c r="AD245" s="1441"/>
      <c r="AE245" s="1441"/>
      <c r="AF245" s="3" t="s">
        <v>1284</v>
      </c>
      <c r="AU245" s="4"/>
      <c r="AV245" s="4"/>
      <c r="AW245" s="4"/>
      <c r="AX245" s="4"/>
      <c r="AY245" s="4"/>
      <c r="BB245" s="4" t="s">
        <v>280</v>
      </c>
      <c r="BG245">
        <v>2</v>
      </c>
      <c r="BH245" t="s">
        <v>573</v>
      </c>
      <c r="BO245" s="257" t="str">
        <f>VLOOKUP(BG243,BG244:BH247,2,FALSE)</f>
        <v>Joint Venture</v>
      </c>
    </row>
    <row r="246" spans="1:71" ht="12.95" customHeight="1">
      <c r="A246" s="19"/>
      <c r="B246" s="4"/>
      <c r="C246" s="4"/>
      <c r="D246" s="4" t="s">
        <v>87</v>
      </c>
      <c r="E246" s="4"/>
      <c r="F246" s="4"/>
      <c r="G246" s="4"/>
      <c r="H246" s="4"/>
      <c r="I246" s="4"/>
      <c r="J246" s="4"/>
      <c r="K246" s="4"/>
      <c r="L246" s="19"/>
      <c r="M246" s="1356" t="s">
        <v>2645</v>
      </c>
      <c r="N246" s="1441"/>
      <c r="O246" s="1441"/>
      <c r="P246" s="1441"/>
      <c r="Q246" s="1441"/>
      <c r="R246" s="1441"/>
      <c r="S246" s="1441"/>
      <c r="T246" s="1441"/>
      <c r="U246" s="1441"/>
      <c r="V246" s="1441"/>
      <c r="W246" s="1441"/>
      <c r="X246" s="1441"/>
      <c r="Y246" s="1441"/>
      <c r="Z246" s="1441"/>
      <c r="AA246" s="1441"/>
      <c r="AB246" s="1441"/>
      <c r="AC246" s="1441"/>
      <c r="AD246" s="1441"/>
      <c r="AE246" s="1441"/>
      <c r="AH246" s="1801">
        <v>0.51</v>
      </c>
      <c r="AI246" s="1802"/>
      <c r="AJ246" s="1802"/>
      <c r="AK246" s="1802"/>
      <c r="AL246" s="4"/>
      <c r="AM246" s="4"/>
      <c r="AN246" s="4"/>
      <c r="AO246" s="4"/>
      <c r="AP246" s="4"/>
      <c r="AQ246" s="4"/>
      <c r="AR246" s="4"/>
      <c r="AS246" s="4"/>
      <c r="AT246" s="4"/>
      <c r="BB246" s="4" t="s">
        <v>172</v>
      </c>
      <c r="BG246">
        <v>3</v>
      </c>
      <c r="BH246" t="s">
        <v>543</v>
      </c>
      <c r="BN246" s="34"/>
    </row>
    <row r="247" spans="1:71" ht="12.95" customHeight="1">
      <c r="A247" s="19"/>
      <c r="B247" s="4"/>
      <c r="C247" s="4"/>
      <c r="D247" s="4" t="s">
        <v>88</v>
      </c>
      <c r="E247" s="4"/>
      <c r="F247" s="4"/>
      <c r="M247" s="1482" t="s">
        <v>2646</v>
      </c>
      <c r="N247" s="1460"/>
      <c r="O247" s="1460"/>
      <c r="P247" s="1460"/>
      <c r="Q247" s="1460"/>
      <c r="R247" s="1460"/>
      <c r="S247" s="4" t="s">
        <v>206</v>
      </c>
      <c r="T247" s="4"/>
      <c r="U247" s="1455"/>
      <c r="V247" s="1455"/>
      <c r="W247" s="1455"/>
      <c r="X247" s="4" t="s">
        <v>89</v>
      </c>
      <c r="Z247" s="1460"/>
      <c r="AA247" s="1460"/>
      <c r="AB247" s="1460"/>
      <c r="AC247" s="1460"/>
      <c r="AD247" s="1460"/>
      <c r="AE247" s="1460"/>
      <c r="AU247" s="4"/>
      <c r="AV247" s="4"/>
      <c r="AW247" s="4"/>
      <c r="AX247" s="4"/>
      <c r="AY247" s="4"/>
      <c r="BG247">
        <v>0</v>
      </c>
      <c r="BH247" s="3"/>
      <c r="BN247" s="34"/>
    </row>
    <row r="248" spans="1:71" ht="12.95" customHeight="1">
      <c r="A248" s="19"/>
      <c r="B248" s="4"/>
      <c r="C248" s="4"/>
      <c r="D248" s="4" t="s">
        <v>90</v>
      </c>
      <c r="E248" s="4"/>
      <c r="F248" s="4"/>
      <c r="M248" s="1794" t="s">
        <v>2647</v>
      </c>
      <c r="N248" s="1794"/>
      <c r="O248" s="1794"/>
      <c r="P248" s="1794"/>
      <c r="Q248" s="1794"/>
      <c r="R248" s="1794"/>
      <c r="S248" s="1794"/>
      <c r="T248" s="1794"/>
      <c r="U248" s="1794"/>
      <c r="V248" s="1794"/>
      <c r="W248" s="1794"/>
      <c r="X248" s="1794"/>
      <c r="Y248" s="1794"/>
      <c r="Z248" s="1794"/>
      <c r="AA248" s="1794"/>
      <c r="AB248" s="1794"/>
      <c r="AC248" s="1794"/>
      <c r="AD248" s="1794"/>
      <c r="AE248" s="1794"/>
      <c r="AG248" s="4"/>
      <c r="AH248" s="4"/>
      <c r="AI248" s="4"/>
      <c r="AJ248" s="4"/>
      <c r="AK248" s="4"/>
      <c r="AL248" s="4"/>
      <c r="AM248" s="4"/>
      <c r="AN248" s="4"/>
      <c r="AO248" s="4"/>
      <c r="AP248" s="4"/>
      <c r="AQ248" s="4"/>
      <c r="AR248" s="4"/>
      <c r="AS248" s="4"/>
      <c r="AT248" s="4"/>
      <c r="BN248" s="34"/>
    </row>
    <row r="249" spans="1:71" ht="12.95" customHeight="1">
      <c r="A249" s="13"/>
      <c r="B249" s="4"/>
      <c r="C249" s="56"/>
      <c r="D249" s="4" t="s">
        <v>542</v>
      </c>
      <c r="E249" s="4"/>
      <c r="F249" s="4"/>
      <c r="G249" s="4"/>
      <c r="H249" s="4"/>
      <c r="I249" s="4"/>
      <c r="J249" s="4"/>
      <c r="K249" s="4"/>
      <c r="L249" s="4"/>
      <c r="M249" s="1371" t="s">
        <v>541</v>
      </c>
      <c r="N249" s="1371"/>
      <c r="O249" s="1371"/>
      <c r="P249" s="1371"/>
      <c r="Q249" s="1371"/>
      <c r="R249" s="1371"/>
      <c r="S249" s="1371"/>
      <c r="T249" s="1371"/>
      <c r="U249" s="218" t="s">
        <v>920</v>
      </c>
      <c r="V249" s="218"/>
      <c r="W249" s="218"/>
      <c r="X249" s="218"/>
      <c r="Y249" s="218"/>
      <c r="Z249" s="218"/>
      <c r="AA249" s="1809" t="s">
        <v>2636</v>
      </c>
      <c r="AB249" s="1810"/>
      <c r="AC249" s="1810"/>
      <c r="AD249" s="1810"/>
      <c r="AE249" s="1810"/>
      <c r="AF249" s="1810"/>
      <c r="AG249" s="1810"/>
      <c r="AH249" s="1810"/>
      <c r="AI249" s="1810"/>
      <c r="AJ249" s="1810"/>
      <c r="AK249" s="1810"/>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973</v>
      </c>
      <c r="E251" s="4"/>
      <c r="F251" s="4"/>
      <c r="G251" s="4"/>
      <c r="H251" s="4"/>
      <c r="I251" s="4"/>
      <c r="J251" s="4"/>
      <c r="K251" s="4"/>
      <c r="L251" s="4"/>
      <c r="M251" s="1443" t="s">
        <v>2650</v>
      </c>
      <c r="N251" s="1444"/>
      <c r="O251" s="1444"/>
      <c r="P251" s="1444"/>
      <c r="Q251" s="1444"/>
      <c r="R251" s="1444"/>
      <c r="S251" s="1444"/>
      <c r="T251" s="1444"/>
      <c r="U251" s="1444"/>
      <c r="V251" s="1444"/>
      <c r="W251" s="1444"/>
      <c r="X251" s="1444"/>
      <c r="Y251" s="1444"/>
      <c r="Z251" s="1444"/>
      <c r="AA251" s="1444"/>
      <c r="AB251" s="1444"/>
      <c r="AC251" s="1444"/>
      <c r="AD251" s="1444"/>
      <c r="AE251" s="1444"/>
      <c r="AF251" s="1444" t="s">
        <v>2651</v>
      </c>
      <c r="AG251" s="1444"/>
      <c r="AH251" s="1444"/>
      <c r="AI251" s="1444"/>
      <c r="AJ251" s="1444"/>
      <c r="AK251" s="1444"/>
      <c r="AU251" s="4"/>
      <c r="AV251" s="4"/>
      <c r="AW251" s="4"/>
      <c r="AX251" s="4"/>
      <c r="AY251" s="4"/>
      <c r="BN251" s="34"/>
    </row>
    <row r="252" spans="1:71" ht="12.95" customHeight="1">
      <c r="A252" s="19"/>
      <c r="B252" s="4"/>
      <c r="C252" s="4"/>
      <c r="D252" s="4" t="s">
        <v>85</v>
      </c>
      <c r="E252" s="4"/>
      <c r="F252" s="4"/>
      <c r="G252" s="4"/>
      <c r="H252" s="4"/>
      <c r="I252" s="4"/>
      <c r="J252" s="4"/>
      <c r="K252" s="4"/>
      <c r="L252" s="4"/>
      <c r="M252" s="1356" t="s">
        <v>2652</v>
      </c>
      <c r="N252" s="1441"/>
      <c r="O252" s="1441"/>
      <c r="P252" s="1441"/>
      <c r="Q252" s="1441"/>
      <c r="R252" s="1441"/>
      <c r="S252" s="1441"/>
      <c r="T252" s="1441"/>
      <c r="U252" s="1441"/>
      <c r="V252" s="1441"/>
      <c r="W252" s="1441"/>
      <c r="X252" s="1441"/>
      <c r="Y252" s="1441"/>
      <c r="Z252" s="1441"/>
      <c r="AA252" s="1441"/>
      <c r="AB252" s="1441"/>
      <c r="AC252" s="1441"/>
      <c r="AD252" s="1441"/>
      <c r="AE252" s="1441"/>
      <c r="AF252" s="3" t="s">
        <v>1283</v>
      </c>
      <c r="AL252" s="4"/>
      <c r="AM252" s="4"/>
      <c r="AN252" s="4"/>
      <c r="AO252" s="4"/>
      <c r="AP252" s="4"/>
      <c r="AQ252" s="4"/>
      <c r="AR252" s="4"/>
      <c r="AS252" s="4"/>
      <c r="AT252" s="4"/>
      <c r="BN252" s="34"/>
    </row>
    <row r="253" spans="1:71" ht="12.95" customHeight="1">
      <c r="A253" s="19"/>
      <c r="B253" s="4"/>
      <c r="C253" s="4"/>
      <c r="D253" s="4" t="s">
        <v>587</v>
      </c>
      <c r="E253" s="4"/>
      <c r="M253" s="1356" t="s">
        <v>69</v>
      </c>
      <c r="N253" s="1441"/>
      <c r="O253" s="1441"/>
      <c r="P253" s="1441"/>
      <c r="Q253" s="1441"/>
      <c r="R253" s="1441"/>
      <c r="S253" s="1441"/>
      <c r="T253" s="1441"/>
      <c r="V253" s="33" t="s">
        <v>86</v>
      </c>
      <c r="W253" s="1554" t="s">
        <v>2641</v>
      </c>
      <c r="X253" s="1455"/>
      <c r="Y253" s="4" t="s">
        <v>590</v>
      </c>
      <c r="AC253" s="1441">
        <v>93410</v>
      </c>
      <c r="AD253" s="1441"/>
      <c r="AE253" s="1441"/>
      <c r="AF253" s="3" t="s">
        <v>1284</v>
      </c>
      <c r="AU253" s="4"/>
      <c r="AV253" s="4"/>
      <c r="AW253" s="4"/>
      <c r="AX253" s="4"/>
      <c r="AY253" s="4"/>
      <c r="BN253" s="34"/>
    </row>
    <row r="254" spans="1:71" ht="12.95" customHeight="1">
      <c r="A254" s="19"/>
      <c r="B254" s="4"/>
      <c r="C254" s="4"/>
      <c r="D254" s="4" t="s">
        <v>87</v>
      </c>
      <c r="E254" s="4"/>
      <c r="F254" s="4"/>
      <c r="G254" s="4"/>
      <c r="H254" s="4"/>
      <c r="I254" s="4"/>
      <c r="J254" s="4"/>
      <c r="K254" s="4"/>
      <c r="L254" s="19"/>
      <c r="M254" s="1356" t="s">
        <v>2653</v>
      </c>
      <c r="N254" s="1441"/>
      <c r="O254" s="1441"/>
      <c r="P254" s="1441"/>
      <c r="Q254" s="1441"/>
      <c r="R254" s="1441"/>
      <c r="S254" s="1441"/>
      <c r="T254" s="1441"/>
      <c r="U254" s="1441"/>
      <c r="V254" s="1441"/>
      <c r="W254" s="1441"/>
      <c r="X254" s="1441"/>
      <c r="Y254" s="1441"/>
      <c r="Z254" s="1441"/>
      <c r="AA254" s="1441"/>
      <c r="AB254" s="1441"/>
      <c r="AC254" s="1441"/>
      <c r="AD254" s="1441"/>
      <c r="AE254" s="1441"/>
      <c r="AH254" s="1801">
        <v>0.49</v>
      </c>
      <c r="AI254" s="1802"/>
      <c r="AJ254" s="1802"/>
      <c r="AK254" s="1802"/>
      <c r="AL254" s="4"/>
      <c r="AM254" s="4"/>
      <c r="AN254" s="4"/>
      <c r="AO254" s="4"/>
      <c r="AP254" s="4"/>
      <c r="AQ254" s="4"/>
      <c r="AR254" s="4"/>
      <c r="AS254" s="4"/>
      <c r="AT254" s="4"/>
    </row>
    <row r="255" spans="1:71" ht="12.95" customHeight="1">
      <c r="A255" s="19"/>
      <c r="B255" s="4"/>
      <c r="C255" s="4"/>
      <c r="D255" s="4" t="s">
        <v>88</v>
      </c>
      <c r="E255" s="4"/>
      <c r="F255" s="4"/>
      <c r="M255" s="1482" t="s">
        <v>2654</v>
      </c>
      <c r="N255" s="1460"/>
      <c r="O255" s="1460"/>
      <c r="P255" s="1460"/>
      <c r="Q255" s="1460"/>
      <c r="R255" s="1460"/>
      <c r="S255" s="4" t="s">
        <v>206</v>
      </c>
      <c r="T255" s="4"/>
      <c r="U255" s="1455"/>
      <c r="V255" s="1455"/>
      <c r="W255" s="1455"/>
      <c r="X255" s="4" t="s">
        <v>89</v>
      </c>
      <c r="Z255" s="1460"/>
      <c r="AA255" s="1460"/>
      <c r="AB255" s="1460"/>
      <c r="AC255" s="1460"/>
      <c r="AD255" s="1460"/>
      <c r="AE255" s="1460"/>
      <c r="AU255" s="4"/>
      <c r="AV255" s="4"/>
      <c r="AW255" s="4"/>
      <c r="AX255" s="4"/>
      <c r="AY255" s="4"/>
      <c r="BN255" s="34"/>
    </row>
    <row r="256" spans="1:71" ht="12.95" customHeight="1">
      <c r="A256" s="19"/>
      <c r="B256" s="4"/>
      <c r="C256" s="4"/>
      <c r="D256" s="4" t="s">
        <v>90</v>
      </c>
      <c r="E256" s="4"/>
      <c r="F256" s="4"/>
      <c r="M256" s="1794" t="s">
        <v>2658</v>
      </c>
      <c r="N256" s="1794"/>
      <c r="O256" s="1794"/>
      <c r="P256" s="1794"/>
      <c r="Q256" s="1794"/>
      <c r="R256" s="1794"/>
      <c r="S256" s="1794"/>
      <c r="T256" s="1794"/>
      <c r="U256" s="1794"/>
      <c r="V256" s="1794"/>
      <c r="W256" s="1794"/>
      <c r="X256" s="1794"/>
      <c r="Y256" s="1794"/>
      <c r="Z256" s="1794"/>
      <c r="AA256" s="1794"/>
      <c r="AB256" s="1794"/>
      <c r="AC256" s="1794"/>
      <c r="AD256" s="1794"/>
      <c r="AE256" s="1794"/>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542</v>
      </c>
      <c r="E257" s="4"/>
      <c r="F257" s="4"/>
      <c r="G257" s="4"/>
      <c r="H257" s="4"/>
      <c r="I257" s="4"/>
      <c r="J257" s="4"/>
      <c r="K257" s="4"/>
      <c r="L257" s="4"/>
      <c r="M257" s="1371" t="s">
        <v>543</v>
      </c>
      <c r="N257" s="1371"/>
      <c r="O257" s="1371"/>
      <c r="P257" s="1371"/>
      <c r="Q257" s="1371"/>
      <c r="R257" s="1371"/>
      <c r="S257" s="1371"/>
      <c r="T257" s="1371"/>
      <c r="U257" s="218" t="s">
        <v>920</v>
      </c>
      <c r="V257" s="218"/>
      <c r="W257" s="218"/>
      <c r="X257" s="218"/>
      <c r="Y257" s="218"/>
      <c r="Z257" s="218"/>
      <c r="AA257" s="1809" t="s">
        <v>2655</v>
      </c>
      <c r="AB257" s="1810"/>
      <c r="AC257" s="1810"/>
      <c r="AD257" s="1810"/>
      <c r="AE257" s="1810"/>
      <c r="AF257" s="1810"/>
      <c r="AG257" s="1810"/>
      <c r="AH257" s="1810"/>
      <c r="AI257" s="1810"/>
      <c r="AJ257" s="1810"/>
      <c r="AK257" s="1810"/>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887</v>
      </c>
      <c r="D259" s="4" t="s">
        <v>539</v>
      </c>
      <c r="E259" s="4"/>
      <c r="F259" s="4"/>
      <c r="G259" s="4"/>
      <c r="H259" s="4"/>
      <c r="I259" s="4"/>
      <c r="J259" s="4"/>
      <c r="K259" s="4"/>
      <c r="L259" s="4"/>
      <c r="M259" s="1444"/>
      <c r="N259" s="1444"/>
      <c r="O259" s="1444"/>
      <c r="P259" s="1444"/>
      <c r="Q259" s="1444"/>
      <c r="R259" s="1444"/>
      <c r="S259" s="1444"/>
      <c r="T259" s="1444"/>
      <c r="U259" s="1444"/>
      <c r="V259" s="1444"/>
      <c r="W259" s="1444"/>
      <c r="X259" s="1444"/>
      <c r="Y259" s="1444"/>
      <c r="Z259" s="1444"/>
      <c r="AA259" s="1444"/>
      <c r="AB259" s="1444"/>
      <c r="AC259" s="1444"/>
      <c r="AD259" s="1444"/>
      <c r="AE259" s="1444"/>
      <c r="AF259" s="1444" t="s">
        <v>307</v>
      </c>
      <c r="AG259" s="1444"/>
      <c r="AH259" s="1444"/>
      <c r="AI259" s="1444"/>
      <c r="AJ259" s="1444"/>
      <c r="AK259" s="1444"/>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441"/>
      <c r="N260" s="1441"/>
      <c r="O260" s="1441"/>
      <c r="P260" s="1441"/>
      <c r="Q260" s="1441"/>
      <c r="R260" s="1441"/>
      <c r="S260" s="1441"/>
      <c r="T260" s="1441"/>
      <c r="U260" s="1441"/>
      <c r="V260" s="1441"/>
      <c r="W260" s="1441"/>
      <c r="X260" s="1441"/>
      <c r="Y260" s="1441"/>
      <c r="Z260" s="1441"/>
      <c r="AA260" s="1441"/>
      <c r="AB260" s="1441"/>
      <c r="AC260" s="1441"/>
      <c r="AD260" s="1441"/>
      <c r="AE260" s="1441"/>
      <c r="AF260" s="3" t="s">
        <v>1283</v>
      </c>
      <c r="AL260" s="3"/>
      <c r="AM260" s="3"/>
      <c r="AN260" s="3"/>
      <c r="AO260" s="3"/>
      <c r="AP260" s="3"/>
      <c r="AQ260" s="3"/>
      <c r="AR260" s="3"/>
      <c r="AS260" s="3"/>
      <c r="AT260" s="3"/>
      <c r="AU260" s="3"/>
      <c r="AV260" s="3"/>
      <c r="AW260" s="3"/>
      <c r="AX260" s="3"/>
      <c r="AY260" s="3"/>
      <c r="BN260" s="34"/>
    </row>
    <row r="261" spans="1:66" ht="12.95" customHeight="1">
      <c r="A261" s="13"/>
      <c r="B261" s="4"/>
      <c r="C261" s="4"/>
      <c r="D261" s="4" t="s">
        <v>587</v>
      </c>
      <c r="E261" s="4"/>
      <c r="M261" s="1441"/>
      <c r="N261" s="1441"/>
      <c r="O261" s="1441"/>
      <c r="P261" s="1441"/>
      <c r="Q261" s="1441"/>
      <c r="R261" s="1441"/>
      <c r="S261" s="1441"/>
      <c r="T261" s="1441"/>
      <c r="V261" s="33" t="s">
        <v>86</v>
      </c>
      <c r="W261" s="1455"/>
      <c r="X261" s="1455"/>
      <c r="Y261" s="4" t="s">
        <v>590</v>
      </c>
      <c r="AC261" s="1441"/>
      <c r="AD261" s="1441"/>
      <c r="AE261" s="1441"/>
      <c r="AF261" s="3" t="s">
        <v>1284</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441"/>
      <c r="N262" s="1441"/>
      <c r="O262" s="1441"/>
      <c r="P262" s="1441"/>
      <c r="Q262" s="1441"/>
      <c r="R262" s="1441"/>
      <c r="S262" s="1441"/>
      <c r="T262" s="1441"/>
      <c r="U262" s="1441"/>
      <c r="V262" s="1441"/>
      <c r="W262" s="1441"/>
      <c r="X262" s="1441"/>
      <c r="Y262" s="1441"/>
      <c r="Z262" s="1441"/>
      <c r="AA262" s="1441"/>
      <c r="AB262" s="1441"/>
      <c r="AC262" s="1441"/>
      <c r="AD262" s="1441"/>
      <c r="AE262" s="1441"/>
      <c r="AH262" s="1802"/>
      <c r="AI262" s="1802"/>
      <c r="AJ262" s="1802"/>
      <c r="AK262" s="1802"/>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460"/>
      <c r="N263" s="1460"/>
      <c r="O263" s="1460"/>
      <c r="P263" s="1460"/>
      <c r="Q263" s="1460"/>
      <c r="R263" s="1460"/>
      <c r="S263" s="4" t="s">
        <v>206</v>
      </c>
      <c r="T263" s="4"/>
      <c r="U263" s="1455"/>
      <c r="V263" s="1455"/>
      <c r="W263" s="1455"/>
      <c r="X263" s="4" t="s">
        <v>89</v>
      </c>
      <c r="Z263" s="1460"/>
      <c r="AA263" s="1460"/>
      <c r="AB263" s="1460"/>
      <c r="AC263" s="1460"/>
      <c r="AD263" s="1460"/>
      <c r="AE263" s="1460"/>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794"/>
      <c r="N264" s="1794"/>
      <c r="O264" s="1794"/>
      <c r="P264" s="1794"/>
      <c r="Q264" s="1794"/>
      <c r="R264" s="1794"/>
      <c r="S264" s="1794"/>
      <c r="T264" s="1794"/>
      <c r="U264" s="1794"/>
      <c r="V264" s="1794"/>
      <c r="W264" s="1794"/>
      <c r="X264" s="1794"/>
      <c r="Y264" s="1794"/>
      <c r="Z264" s="1794"/>
      <c r="AA264" s="1832"/>
      <c r="AB264" s="1832"/>
      <c r="AC264" s="1832"/>
      <c r="AD264" s="1832"/>
      <c r="AE264" s="1832"/>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542</v>
      </c>
      <c r="E265" s="4"/>
      <c r="F265" s="4"/>
      <c r="G265" s="4"/>
      <c r="H265" s="4"/>
      <c r="I265" s="4"/>
      <c r="J265" s="4"/>
      <c r="K265" s="4"/>
      <c r="L265" s="4"/>
      <c r="M265" s="1371" t="s">
        <v>307</v>
      </c>
      <c r="N265" s="1371"/>
      <c r="O265" s="1371"/>
      <c r="P265" s="1371"/>
      <c r="Q265" s="1371"/>
      <c r="R265" s="1371"/>
      <c r="S265" s="1371"/>
      <c r="T265" s="1371"/>
      <c r="U265" s="218" t="s">
        <v>920</v>
      </c>
      <c r="V265" s="218"/>
      <c r="W265" s="218"/>
      <c r="X265" s="218"/>
      <c r="Y265" s="218"/>
      <c r="Z265" s="218"/>
      <c r="AA265" s="1831"/>
      <c r="AB265" s="1831"/>
      <c r="AC265" s="1831"/>
      <c r="AD265" s="1831"/>
      <c r="AE265" s="1831"/>
      <c r="AF265" s="1831"/>
      <c r="AG265" s="1831"/>
      <c r="AH265" s="1831"/>
      <c r="AI265" s="1831"/>
      <c r="AJ265" s="1831"/>
      <c r="AK265" s="1831"/>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597</v>
      </c>
      <c r="B267" s="4"/>
      <c r="C267" s="2" t="s">
        <v>295</v>
      </c>
      <c r="D267" s="4"/>
      <c r="E267" s="4"/>
      <c r="F267" s="4"/>
      <c r="G267" s="4"/>
      <c r="H267" s="4"/>
      <c r="I267" s="4"/>
      <c r="J267" s="4"/>
      <c r="K267" s="4"/>
      <c r="L267" s="4"/>
      <c r="M267" s="35"/>
      <c r="N267" s="35"/>
      <c r="O267" s="35"/>
      <c r="P267" s="35"/>
      <c r="Q267" s="35"/>
      <c r="T267" s="1829" t="str">
        <f>IFERROR(BO245,"")</f>
        <v>Joint Venture</v>
      </c>
      <c r="U267" s="1829"/>
      <c r="V267" s="1829"/>
      <c r="W267" s="1829"/>
      <c r="X267" s="1829"/>
      <c r="Z267" s="331" t="s">
        <v>972</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815</v>
      </c>
      <c r="AF268" s="4"/>
      <c r="AG268" s="4"/>
      <c r="AH268" s="4"/>
      <c r="AI268" s="4"/>
      <c r="AJ268" s="4"/>
      <c r="AL268" s="65"/>
      <c r="BN268" s="34"/>
    </row>
    <row r="269" spans="1:66" ht="12.95" customHeight="1">
      <c r="A269" s="2" t="s">
        <v>599</v>
      </c>
      <c r="B269" s="4"/>
      <c r="C269" s="2" t="s">
        <v>171</v>
      </c>
      <c r="D269" s="4"/>
      <c r="E269" s="4"/>
      <c r="F269" s="4"/>
      <c r="G269" s="4"/>
      <c r="H269" s="4"/>
      <c r="I269" s="4"/>
      <c r="J269" s="4"/>
      <c r="K269" s="4"/>
      <c r="L269" s="4"/>
      <c r="M269" s="4"/>
      <c r="N269" s="4"/>
      <c r="O269" s="4"/>
      <c r="P269" s="4"/>
      <c r="Q269" s="4"/>
      <c r="R269" s="4"/>
      <c r="S269" s="4"/>
      <c r="T269" s="4"/>
      <c r="U269" s="4"/>
      <c r="V269" s="4"/>
      <c r="W269" s="4"/>
      <c r="Z269" s="335" t="s">
        <v>971</v>
      </c>
      <c r="AA269" s="48"/>
      <c r="AB269" s="48"/>
      <c r="AC269" s="48"/>
      <c r="AD269" s="48"/>
      <c r="AE269" s="48"/>
      <c r="AF269" s="104"/>
      <c r="AG269" s="104"/>
      <c r="AH269" s="104"/>
      <c r="AI269" s="104"/>
      <c r="AJ269" s="104"/>
      <c r="AK269" s="48"/>
      <c r="AL269" s="49"/>
      <c r="BN269" s="34"/>
    </row>
    <row r="270" spans="1:66" ht="12.95" customHeight="1">
      <c r="A270" s="4"/>
      <c r="B270" s="36">
        <v>0</v>
      </c>
      <c r="D270" s="1441" t="s">
        <v>280</v>
      </c>
      <c r="E270" s="1441"/>
      <c r="F270" s="1441"/>
      <c r="G270" s="1441"/>
      <c r="H270" s="1441"/>
      <c r="J270" t="s">
        <v>279</v>
      </c>
      <c r="X270" s="1496"/>
      <c r="Y270" s="1496"/>
      <c r="Z270" s="1496"/>
      <c r="AA270" s="1496"/>
      <c r="AB270" s="1496"/>
      <c r="AC270" s="1496"/>
      <c r="AU270" s="3"/>
      <c r="AV270" s="3"/>
      <c r="AW270" s="3"/>
      <c r="AX270" s="3"/>
      <c r="AY270" s="3"/>
      <c r="BN270" s="34"/>
    </row>
    <row r="271" spans="1:66"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474</v>
      </c>
      <c r="B273" s="2"/>
      <c r="C273" s="2" t="s">
        <v>629</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296</v>
      </c>
      <c r="E274" s="4"/>
      <c r="F274" s="4"/>
      <c r="G274" s="4"/>
      <c r="H274" s="4"/>
      <c r="I274" s="4"/>
      <c r="J274" s="4"/>
      <c r="K274" s="4"/>
      <c r="L274" s="1443" t="s">
        <v>2636</v>
      </c>
      <c r="M274" s="1444"/>
      <c r="N274" s="1444"/>
      <c r="O274" s="1444"/>
      <c r="P274" s="1444"/>
      <c r="Q274" s="1444"/>
      <c r="R274" s="1444"/>
      <c r="S274" s="1444"/>
      <c r="T274" s="1444"/>
      <c r="U274" s="1444"/>
      <c r="V274" s="1444"/>
      <c r="W274" s="1444"/>
      <c r="X274" s="1444"/>
      <c r="Y274" s="1444"/>
      <c r="Z274" s="1444"/>
      <c r="AA274" s="1444"/>
      <c r="AB274" s="1444"/>
      <c r="AC274" s="1444"/>
      <c r="AD274" s="1444"/>
      <c r="AE274" s="1444"/>
      <c r="AF274" s="1444"/>
      <c r="AG274" s="1444"/>
      <c r="AH274" s="1444"/>
      <c r="AI274" s="1444"/>
      <c r="AJ274" s="1444"/>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356" t="s">
        <v>2639</v>
      </c>
      <c r="M275" s="1441"/>
      <c r="N275" s="1441"/>
      <c r="O275" s="1441"/>
      <c r="P275" s="1441"/>
      <c r="Q275" s="1441"/>
      <c r="R275" s="1441"/>
      <c r="S275" s="1441"/>
      <c r="T275" s="1441"/>
      <c r="U275" s="1441"/>
      <c r="V275" s="1441"/>
      <c r="W275" s="1441"/>
      <c r="X275" s="1441"/>
      <c r="Y275" s="1441"/>
      <c r="Z275" s="1441"/>
      <c r="AA275" s="1441"/>
      <c r="AB275" s="1441"/>
      <c r="AC275" s="1441"/>
      <c r="AD275" s="1441"/>
      <c r="AK275" s="3"/>
      <c r="AL275" s="3"/>
      <c r="AM275" s="3"/>
      <c r="AN275" s="3"/>
      <c r="AO275" s="3"/>
      <c r="AP275" s="3"/>
      <c r="AQ275" s="3"/>
      <c r="AR275" s="3"/>
      <c r="AS275" s="3"/>
      <c r="AT275" s="3"/>
      <c r="AU275" s="3"/>
      <c r="AV275" s="3"/>
      <c r="AW275" s="3"/>
      <c r="AX275" s="3"/>
      <c r="AY275" s="3"/>
      <c r="BN275" s="34"/>
    </row>
    <row r="276" spans="1:66" ht="12.95" customHeight="1">
      <c r="D276" s="4" t="s">
        <v>587</v>
      </c>
      <c r="E276" s="4"/>
      <c r="L276" s="1356" t="s">
        <v>2640</v>
      </c>
      <c r="M276" s="1441"/>
      <c r="N276" s="1441"/>
      <c r="O276" s="1441"/>
      <c r="P276" s="1441"/>
      <c r="Q276" s="1441"/>
      <c r="R276" s="1441"/>
      <c r="S276" s="1441"/>
      <c r="U276" s="33" t="s">
        <v>86</v>
      </c>
      <c r="V276" s="1554" t="s">
        <v>2641</v>
      </c>
      <c r="W276" s="1455"/>
      <c r="X276" s="4" t="s">
        <v>590</v>
      </c>
      <c r="AB276" s="1441">
        <v>94541</v>
      </c>
      <c r="AC276" s="1441"/>
      <c r="AD276" s="1441"/>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356" t="s">
        <v>2642</v>
      </c>
      <c r="M277" s="1441"/>
      <c r="N277" s="1441"/>
      <c r="O277" s="1441"/>
      <c r="P277" s="1441"/>
      <c r="Q277" s="1441"/>
      <c r="R277" s="1441"/>
      <c r="S277" s="1441"/>
      <c r="T277" s="1441"/>
      <c r="U277" s="1441"/>
      <c r="V277" s="1441"/>
      <c r="W277" s="1441"/>
      <c r="X277" s="1441"/>
      <c r="Y277" s="1441"/>
      <c r="Z277" s="1441"/>
      <c r="AA277" s="1441"/>
      <c r="AB277" s="1441"/>
      <c r="AC277" s="1441"/>
      <c r="AD277" s="1441"/>
      <c r="AI277" s="4"/>
      <c r="AJ277" s="4"/>
      <c r="AK277" s="3"/>
      <c r="AL277" s="3"/>
      <c r="AM277" s="3"/>
      <c r="AN277" s="3"/>
      <c r="AO277" s="3"/>
      <c r="AP277" s="3"/>
      <c r="AQ277" s="3"/>
      <c r="AR277" s="3"/>
      <c r="AS277" s="3"/>
      <c r="AT277" s="3"/>
      <c r="BN277" s="34"/>
    </row>
    <row r="278" spans="1:66" ht="12.95" customHeight="1">
      <c r="D278" s="4" t="s">
        <v>88</v>
      </c>
      <c r="E278" s="4"/>
      <c r="F278" s="4"/>
      <c r="L278" s="1460">
        <v>5103295102</v>
      </c>
      <c r="M278" s="1460"/>
      <c r="N278" s="1460"/>
      <c r="O278" s="1460"/>
      <c r="P278" s="1460"/>
      <c r="Q278" s="1460"/>
      <c r="R278" s="4" t="s">
        <v>206</v>
      </c>
      <c r="S278" s="4"/>
      <c r="T278" s="1455"/>
      <c r="U278" s="1455"/>
      <c r="V278" s="1455"/>
      <c r="W278" s="4" t="s">
        <v>89</v>
      </c>
      <c r="Y278" s="1460"/>
      <c r="Z278" s="1460"/>
      <c r="AA278" s="1460"/>
      <c r="AB278" s="1460"/>
      <c r="AC278" s="1460"/>
      <c r="AD278" s="1460"/>
      <c r="BN278" s="34"/>
    </row>
    <row r="279" spans="1:66" ht="12.95" customHeight="1">
      <c r="D279" s="4" t="s">
        <v>90</v>
      </c>
      <c r="E279" s="4"/>
      <c r="F279" s="4"/>
      <c r="L279" s="1794" t="s">
        <v>2643</v>
      </c>
      <c r="M279" s="1794"/>
      <c r="N279" s="1794"/>
      <c r="O279" s="1794"/>
      <c r="P279" s="1794"/>
      <c r="Q279" s="1794"/>
      <c r="R279" s="1794"/>
      <c r="S279" s="1794"/>
      <c r="T279" s="1794"/>
      <c r="U279" s="1794"/>
      <c r="V279" s="1794"/>
      <c r="W279" s="1794"/>
      <c r="X279" s="1794"/>
      <c r="Y279" s="1794"/>
      <c r="Z279" s="1794"/>
      <c r="AA279" s="1794"/>
      <c r="AB279" s="1794"/>
      <c r="AC279" s="1794"/>
      <c r="AD279" s="1794"/>
      <c r="AF279" s="4"/>
      <c r="AG279" s="4"/>
      <c r="AH279" s="4"/>
      <c r="AI279" s="4"/>
      <c r="AJ279" s="4"/>
      <c r="AU279" s="3"/>
      <c r="AV279" s="3"/>
      <c r="AW279" s="3"/>
      <c r="AX279" s="3"/>
      <c r="AY279" s="3"/>
      <c r="BN279" s="34"/>
    </row>
    <row r="280" spans="1:66" ht="12.95" customHeight="1">
      <c r="D280" s="3" t="s">
        <v>630</v>
      </c>
      <c r="E280" s="3"/>
      <c r="F280" s="3"/>
      <c r="G280" s="3"/>
      <c r="H280" s="3"/>
      <c r="I280" s="3"/>
      <c r="L280" s="1554" t="s">
        <v>2656</v>
      </c>
      <c r="M280" s="1554"/>
      <c r="N280" s="1554"/>
      <c r="O280" s="1554"/>
      <c r="P280" s="1554"/>
      <c r="Q280" s="1554"/>
      <c r="R280" s="1554"/>
      <c r="S280" s="1554"/>
      <c r="T280" s="1554"/>
      <c r="U280" s="1554"/>
      <c r="V280" s="1554"/>
      <c r="W280" s="1554"/>
      <c r="X280" s="1554"/>
      <c r="Y280" s="1554"/>
      <c r="Z280" s="1554"/>
      <c r="AA280" s="1554"/>
      <c r="AB280" s="1554"/>
      <c r="AC280" s="1554"/>
      <c r="AD280" s="1554"/>
      <c r="AK280" s="3"/>
      <c r="AL280" s="3"/>
      <c r="AM280" s="3"/>
      <c r="AN280" s="3"/>
      <c r="AO280" s="3"/>
      <c r="AP280" s="3"/>
      <c r="AQ280" s="3"/>
      <c r="AR280" s="3"/>
      <c r="AS280" s="3"/>
      <c r="AT280" s="3"/>
      <c r="BN280" s="34"/>
    </row>
    <row r="281" spans="1:66" ht="12.95" customHeight="1">
      <c r="L281" s="22" t="s">
        <v>631</v>
      </c>
      <c r="AU281" s="95"/>
      <c r="AV281" s="95"/>
      <c r="AW281" s="95"/>
      <c r="AX281" s="95"/>
      <c r="AY281" s="95"/>
      <c r="BN281" s="34"/>
    </row>
    <row r="282" spans="1:66" ht="12.95" customHeight="1">
      <c r="A282" s="1446" t="s">
        <v>548</v>
      </c>
      <c r="B282" s="1446"/>
      <c r="C282" s="1446"/>
      <c r="D282" s="1446"/>
      <c r="E282" s="1446"/>
      <c r="F282" s="1446"/>
      <c r="G282" s="1446"/>
      <c r="H282" s="1446"/>
      <c r="I282" s="1446"/>
      <c r="J282" s="1446"/>
      <c r="K282" s="1446"/>
      <c r="L282" s="1446"/>
      <c r="M282" s="1446"/>
      <c r="N282" s="1446"/>
      <c r="O282" s="1446"/>
      <c r="P282" s="1446"/>
      <c r="Q282" s="1446"/>
      <c r="R282" s="1446"/>
      <c r="S282" s="1446"/>
      <c r="T282" s="1446"/>
      <c r="U282" s="1446"/>
      <c r="V282" s="1446"/>
      <c r="W282" s="1446"/>
      <c r="X282" s="1446"/>
      <c r="Y282" s="1446"/>
      <c r="Z282" s="1446"/>
      <c r="AA282" s="1446"/>
      <c r="AB282" s="1446"/>
      <c r="AC282" s="1446"/>
      <c r="AD282" s="1446"/>
      <c r="AE282" s="1446"/>
      <c r="AF282" s="1446"/>
      <c r="AG282" s="1446"/>
      <c r="AH282" s="1446"/>
      <c r="AI282" s="1446"/>
      <c r="AJ282" s="1446"/>
      <c r="AK282" s="1446"/>
      <c r="AL282" s="1446"/>
      <c r="AM282" s="1446"/>
      <c r="AN282" s="1446"/>
      <c r="AO282" s="1446"/>
      <c r="AP282" s="1446"/>
      <c r="AQ282" s="1446"/>
      <c r="AR282" s="1446"/>
      <c r="AS282" s="1446"/>
      <c r="AT282" s="1446"/>
      <c r="AU282" s="95"/>
      <c r="AV282" s="95"/>
      <c r="AW282" s="95"/>
      <c r="AX282" s="95"/>
      <c r="AY282" s="95"/>
      <c r="BN282" s="34"/>
    </row>
    <row r="283" spans="1:66" ht="12.95" customHeight="1">
      <c r="A283" s="1446"/>
      <c r="B283" s="1446"/>
      <c r="C283" s="1446"/>
      <c r="D283" s="1446"/>
      <c r="E283" s="1446"/>
      <c r="F283" s="1446"/>
      <c r="G283" s="1446"/>
      <c r="H283" s="1446"/>
      <c r="I283" s="1446"/>
      <c r="J283" s="1446"/>
      <c r="K283" s="1446"/>
      <c r="L283" s="1446"/>
      <c r="M283" s="1446"/>
      <c r="N283" s="1446"/>
      <c r="O283" s="1446"/>
      <c r="P283" s="1446"/>
      <c r="Q283" s="1446"/>
      <c r="R283" s="1446"/>
      <c r="S283" s="1446"/>
      <c r="T283" s="1446"/>
      <c r="U283" s="1446"/>
      <c r="V283" s="1446"/>
      <c r="W283" s="1446"/>
      <c r="X283" s="1446"/>
      <c r="Y283" s="1446"/>
      <c r="Z283" s="1446"/>
      <c r="AA283" s="1446"/>
      <c r="AB283" s="1446"/>
      <c r="AC283" s="1446"/>
      <c r="AD283" s="1446"/>
      <c r="AE283" s="1446"/>
      <c r="AF283" s="1446"/>
      <c r="AG283" s="1446"/>
      <c r="AH283" s="1446"/>
      <c r="AI283" s="1446"/>
      <c r="AJ283" s="1446"/>
      <c r="AK283" s="1446"/>
      <c r="AL283" s="1446"/>
      <c r="AM283" s="1446"/>
      <c r="AN283" s="1446"/>
      <c r="AO283" s="1446"/>
      <c r="AP283" s="1446"/>
      <c r="AQ283" s="1446"/>
      <c r="AR283" s="1446"/>
      <c r="AS283" s="1446"/>
      <c r="AT283" s="1446"/>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319</v>
      </c>
      <c r="C285" s="2" t="s">
        <v>632</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633</v>
      </c>
      <c r="C287" s="3"/>
      <c r="D287" s="3"/>
      <c r="E287" s="3"/>
      <c r="F287" s="3"/>
      <c r="H287" s="1356" t="s">
        <v>2655</v>
      </c>
      <c r="I287" s="1357"/>
      <c r="J287" s="1357"/>
      <c r="K287" s="1357"/>
      <c r="L287" s="1357"/>
      <c r="M287" s="1357"/>
      <c r="N287" s="1357"/>
      <c r="O287" s="1357"/>
      <c r="P287" s="1357"/>
      <c r="Q287" s="1357"/>
      <c r="R287" s="1357"/>
      <c r="T287" s="3" t="s">
        <v>574</v>
      </c>
      <c r="V287" s="3"/>
      <c r="W287" s="3"/>
      <c r="X287" s="3"/>
      <c r="Y287" s="3"/>
      <c r="AA287" s="1356" t="s">
        <v>2678</v>
      </c>
      <c r="AB287" s="1357"/>
      <c r="AC287" s="1357"/>
      <c r="AD287" s="1357"/>
      <c r="AE287" s="1357"/>
      <c r="AF287" s="1357"/>
      <c r="AG287" s="1357"/>
      <c r="AH287" s="1357"/>
      <c r="AI287" s="1357"/>
      <c r="AJ287" s="1357"/>
      <c r="AK287" s="1357"/>
      <c r="BN287" s="34"/>
    </row>
    <row r="288" spans="1:66" ht="12.95" customHeight="1">
      <c r="B288" s="3" t="s">
        <v>478</v>
      </c>
      <c r="C288" s="3"/>
      <c r="D288" s="3"/>
      <c r="E288" s="3"/>
      <c r="F288" s="3"/>
      <c r="H288" s="1554" t="s">
        <v>2652</v>
      </c>
      <c r="I288" s="1371"/>
      <c r="J288" s="1371"/>
      <c r="K288" s="1371"/>
      <c r="L288" s="1371"/>
      <c r="M288" s="1371"/>
      <c r="N288" s="1371"/>
      <c r="O288" s="1371"/>
      <c r="P288" s="1371"/>
      <c r="Q288" s="1371"/>
      <c r="R288" s="1371"/>
      <c r="T288" s="3" t="s">
        <v>478</v>
      </c>
      <c r="V288" s="3"/>
      <c r="W288" s="3"/>
      <c r="X288" s="3"/>
      <c r="Y288" s="3"/>
      <c r="AA288" s="1554" t="s">
        <v>2679</v>
      </c>
      <c r="AB288" s="1371"/>
      <c r="AC288" s="1371"/>
      <c r="AD288" s="1371"/>
      <c r="AE288" s="1371"/>
      <c r="AF288" s="1371"/>
      <c r="AG288" s="1371"/>
      <c r="AH288" s="1371"/>
      <c r="AI288" s="1371"/>
      <c r="AJ288" s="1371"/>
      <c r="AK288" s="1371"/>
      <c r="BN288" s="34"/>
    </row>
    <row r="289" spans="2:66" ht="12.95" customHeight="1">
      <c r="B289" s="3" t="s">
        <v>479</v>
      </c>
      <c r="C289" s="3"/>
      <c r="D289" s="3"/>
      <c r="E289" s="3"/>
      <c r="F289" s="3"/>
      <c r="H289" s="1554" t="s">
        <v>2657</v>
      </c>
      <c r="I289" s="1371"/>
      <c r="J289" s="1371"/>
      <c r="K289" s="1371"/>
      <c r="L289" s="1371"/>
      <c r="M289" s="1371"/>
      <c r="N289" s="1371"/>
      <c r="O289" s="1371"/>
      <c r="P289" s="1371"/>
      <c r="Q289" s="1371"/>
      <c r="R289" s="1371"/>
      <c r="T289" s="3" t="s">
        <v>75</v>
      </c>
      <c r="V289" s="3"/>
      <c r="W289" s="3"/>
      <c r="X289" s="3"/>
      <c r="Y289" s="3"/>
      <c r="AA289" s="1554" t="s">
        <v>2657</v>
      </c>
      <c r="AB289" s="1371"/>
      <c r="AC289" s="1371"/>
      <c r="AD289" s="1371"/>
      <c r="AE289" s="1371"/>
      <c r="AF289" s="1371"/>
      <c r="AG289" s="1371"/>
      <c r="AH289" s="1371"/>
      <c r="AI289" s="1371"/>
      <c r="AJ289" s="1371"/>
      <c r="AK289" s="1371"/>
      <c r="BN289" s="34"/>
    </row>
    <row r="290" spans="2:66" ht="12.95" customHeight="1">
      <c r="B290" s="3" t="s">
        <v>87</v>
      </c>
      <c r="C290" s="3"/>
      <c r="D290" s="3"/>
      <c r="E290" s="3"/>
      <c r="F290" s="3"/>
      <c r="H290" s="1554" t="s">
        <v>2653</v>
      </c>
      <c r="I290" s="1371"/>
      <c r="J290" s="1371"/>
      <c r="K290" s="1371"/>
      <c r="L290" s="1371"/>
      <c r="M290" s="1371"/>
      <c r="N290" s="1371"/>
      <c r="O290" s="1371"/>
      <c r="P290" s="1371"/>
      <c r="Q290" s="1371"/>
      <c r="R290" s="1371"/>
      <c r="T290" s="3" t="s">
        <v>87</v>
      </c>
      <c r="V290" s="3"/>
      <c r="W290" s="3"/>
      <c r="X290" s="3"/>
      <c r="Y290" s="3"/>
      <c r="AA290" s="1554" t="s">
        <v>2680</v>
      </c>
      <c r="AB290" s="1371"/>
      <c r="AC290" s="1371"/>
      <c r="AD290" s="1371"/>
      <c r="AE290" s="1371"/>
      <c r="AF290" s="1371"/>
      <c r="AG290" s="1371"/>
      <c r="AH290" s="1371"/>
      <c r="AI290" s="1371"/>
      <c r="AJ290" s="1371"/>
      <c r="AK290" s="1371"/>
      <c r="BN290" s="34"/>
    </row>
    <row r="291" spans="2:66" ht="12.95" customHeight="1">
      <c r="B291" s="3" t="s">
        <v>88</v>
      </c>
      <c r="C291" s="3"/>
      <c r="D291" s="3"/>
      <c r="E291" s="3"/>
      <c r="F291" s="3"/>
      <c r="G291" s="3"/>
      <c r="H291" s="1830">
        <v>4088919303</v>
      </c>
      <c r="I291" s="1706"/>
      <c r="J291" s="1706"/>
      <c r="K291" s="1706"/>
      <c r="L291" s="1706"/>
      <c r="M291" s="1706"/>
      <c r="N291" s="4" t="s">
        <v>206</v>
      </c>
      <c r="O291" s="4"/>
      <c r="P291" s="1441"/>
      <c r="Q291" s="1441"/>
      <c r="R291" s="1441"/>
      <c r="S291" s="3"/>
      <c r="T291" s="3" t="s">
        <v>88</v>
      </c>
      <c r="V291" s="3"/>
      <c r="W291" s="3"/>
      <c r="X291" s="3"/>
      <c r="Y291" s="3"/>
      <c r="AA291" s="1706">
        <v>8052881010</v>
      </c>
      <c r="AB291" s="1706"/>
      <c r="AC291" s="1706"/>
      <c r="AD291" s="1706"/>
      <c r="AE291" s="1706"/>
      <c r="AF291" s="1706"/>
      <c r="AG291" s="4" t="s">
        <v>206</v>
      </c>
      <c r="AH291" s="4"/>
      <c r="AI291" s="1441"/>
      <c r="AJ291" s="1441"/>
      <c r="AK291" s="1441"/>
      <c r="BN291" s="34"/>
    </row>
    <row r="292" spans="2:66" ht="12.95" customHeight="1">
      <c r="B292" s="3" t="s">
        <v>89</v>
      </c>
      <c r="C292" s="3"/>
      <c r="D292" s="3"/>
      <c r="E292" s="3"/>
      <c r="F292" s="3"/>
      <c r="G292" s="3"/>
      <c r="H292" s="1460"/>
      <c r="I292" s="1460"/>
      <c r="J292" s="1460"/>
      <c r="K292" s="1460"/>
      <c r="L292" s="1460"/>
      <c r="M292" s="1460"/>
      <c r="N292" s="4"/>
      <c r="O292" s="4"/>
      <c r="P292" s="35"/>
      <c r="Q292" s="35"/>
      <c r="R292" s="35"/>
      <c r="S292" s="3"/>
      <c r="T292" s="3" t="s">
        <v>89</v>
      </c>
      <c r="V292" s="3"/>
      <c r="W292" s="3"/>
      <c r="X292" s="3"/>
      <c r="Y292" s="3"/>
      <c r="AA292" s="1460"/>
      <c r="AB292" s="1460"/>
      <c r="AC292" s="1460"/>
      <c r="AD292" s="1460"/>
      <c r="AE292" s="1460"/>
      <c r="AF292" s="1460"/>
      <c r="AG292" s="4"/>
      <c r="AH292" s="4"/>
      <c r="AI292" s="35"/>
      <c r="AJ292" s="35"/>
      <c r="AK292" s="35"/>
      <c r="BN292" s="34"/>
    </row>
    <row r="293" spans="2:66" ht="12.95" customHeight="1">
      <c r="B293" s="3" t="s">
        <v>76</v>
      </c>
      <c r="C293" s="3"/>
      <c r="D293" s="3"/>
      <c r="E293" s="3"/>
      <c r="F293" s="3"/>
      <c r="G293" s="3"/>
      <c r="H293" s="1554" t="s">
        <v>2658</v>
      </c>
      <c r="I293" s="1371"/>
      <c r="J293" s="1371"/>
      <c r="K293" s="1371"/>
      <c r="L293" s="1371"/>
      <c r="M293" s="1371"/>
      <c r="N293" s="1357"/>
      <c r="O293" s="1357"/>
      <c r="P293" s="1357"/>
      <c r="Q293" s="1357"/>
      <c r="R293" s="1357"/>
      <c r="S293" s="3"/>
      <c r="T293" s="3" t="s">
        <v>76</v>
      </c>
      <c r="V293" s="3"/>
      <c r="W293" s="3"/>
      <c r="X293" s="3"/>
      <c r="Y293" s="3"/>
      <c r="AA293" s="1554" t="s">
        <v>2681</v>
      </c>
      <c r="AB293" s="1371"/>
      <c r="AC293" s="1371"/>
      <c r="AD293" s="1371"/>
      <c r="AE293" s="1371"/>
      <c r="AF293" s="1371"/>
      <c r="AG293" s="1357"/>
      <c r="AH293" s="1357"/>
      <c r="AI293" s="1357"/>
      <c r="AJ293" s="1357"/>
      <c r="AK293" s="1357"/>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323</v>
      </c>
      <c r="C295" s="3"/>
      <c r="D295" s="3"/>
      <c r="E295" s="3"/>
      <c r="F295" s="3"/>
      <c r="H295" s="1356" t="s">
        <v>2659</v>
      </c>
      <c r="I295" s="1357"/>
      <c r="J295" s="1357"/>
      <c r="K295" s="1357"/>
      <c r="L295" s="1357"/>
      <c r="M295" s="1357"/>
      <c r="N295" s="1357"/>
      <c r="O295" s="1357"/>
      <c r="P295" s="1357"/>
      <c r="Q295" s="1357"/>
      <c r="R295" s="1357"/>
      <c r="T295" s="3" t="s">
        <v>364</v>
      </c>
      <c r="V295" s="3"/>
      <c r="W295" s="3"/>
      <c r="X295" s="3"/>
      <c r="Y295" s="3"/>
      <c r="AA295" s="1356" t="s">
        <v>2682</v>
      </c>
      <c r="AB295" s="1357"/>
      <c r="AC295" s="1357"/>
      <c r="AD295" s="1357"/>
      <c r="AE295" s="1357"/>
      <c r="AF295" s="1357"/>
      <c r="AG295" s="1357"/>
      <c r="AH295" s="1357"/>
      <c r="AI295" s="1357"/>
      <c r="AJ295" s="1357"/>
      <c r="AK295" s="1357"/>
      <c r="BN295" s="34"/>
    </row>
    <row r="296" spans="2:66" ht="12.95" customHeight="1">
      <c r="B296" s="3" t="s">
        <v>478</v>
      </c>
      <c r="C296" s="3"/>
      <c r="D296" s="3"/>
      <c r="E296" s="3"/>
      <c r="F296" s="3"/>
      <c r="H296" s="1554" t="s">
        <v>2660</v>
      </c>
      <c r="I296" s="1371"/>
      <c r="J296" s="1371"/>
      <c r="K296" s="1371"/>
      <c r="L296" s="1371"/>
      <c r="M296" s="1371"/>
      <c r="N296" s="1371"/>
      <c r="O296" s="1371"/>
      <c r="P296" s="1371"/>
      <c r="Q296" s="1371"/>
      <c r="R296" s="1371"/>
      <c r="T296" s="3" t="s">
        <v>478</v>
      </c>
      <c r="V296" s="3"/>
      <c r="W296" s="3"/>
      <c r="X296" s="3"/>
      <c r="Y296" s="3"/>
      <c r="AA296" s="1554" t="s">
        <v>2683</v>
      </c>
      <c r="AB296" s="1371"/>
      <c r="AC296" s="1371"/>
      <c r="AD296" s="1371"/>
      <c r="AE296" s="1371"/>
      <c r="AF296" s="1371"/>
      <c r="AG296" s="1371"/>
      <c r="AH296" s="1371"/>
      <c r="AI296" s="1371"/>
      <c r="AJ296" s="1371"/>
      <c r="AK296" s="1371"/>
      <c r="BN296" s="34"/>
    </row>
    <row r="297" spans="2:66" ht="12.95" customHeight="1">
      <c r="B297" s="3" t="s">
        <v>479</v>
      </c>
      <c r="C297" s="3"/>
      <c r="D297" s="3"/>
      <c r="E297" s="3"/>
      <c r="F297" s="3"/>
      <c r="H297" s="1554" t="s">
        <v>2777</v>
      </c>
      <c r="I297" s="1371"/>
      <c r="J297" s="1371"/>
      <c r="K297" s="1371"/>
      <c r="L297" s="1371"/>
      <c r="M297" s="1371"/>
      <c r="N297" s="1371"/>
      <c r="O297" s="1371"/>
      <c r="P297" s="1371"/>
      <c r="Q297" s="1371"/>
      <c r="R297" s="1371"/>
      <c r="T297" s="3" t="s">
        <v>75</v>
      </c>
      <c r="V297" s="3"/>
      <c r="W297" s="3"/>
      <c r="X297" s="3"/>
      <c r="Y297" s="3"/>
      <c r="AA297" s="1554" t="s">
        <v>2684</v>
      </c>
      <c r="AB297" s="1371"/>
      <c r="AC297" s="1371"/>
      <c r="AD297" s="1371"/>
      <c r="AE297" s="1371"/>
      <c r="AF297" s="1371"/>
      <c r="AG297" s="1371"/>
      <c r="AH297" s="1371"/>
      <c r="AI297" s="1371"/>
      <c r="AJ297" s="1371"/>
      <c r="AK297" s="1371"/>
      <c r="BN297" s="34"/>
    </row>
    <row r="298" spans="2:66" ht="12.95" customHeight="1">
      <c r="B298" s="3" t="s">
        <v>87</v>
      </c>
      <c r="C298" s="3"/>
      <c r="D298" s="3"/>
      <c r="E298" s="3"/>
      <c r="F298" s="3"/>
      <c r="H298" s="1554" t="s">
        <v>2661</v>
      </c>
      <c r="I298" s="1371"/>
      <c r="J298" s="1371"/>
      <c r="K298" s="1371"/>
      <c r="L298" s="1371"/>
      <c r="M298" s="1371"/>
      <c r="N298" s="1371"/>
      <c r="O298" s="1371"/>
      <c r="P298" s="1371"/>
      <c r="Q298" s="1371"/>
      <c r="R298" s="1371"/>
      <c r="T298" s="3" t="s">
        <v>87</v>
      </c>
      <c r="V298" s="3"/>
      <c r="W298" s="3"/>
      <c r="X298" s="3"/>
      <c r="Y298" s="3"/>
      <c r="AA298" s="1554" t="s">
        <v>2685</v>
      </c>
      <c r="AB298" s="1371"/>
      <c r="AC298" s="1371"/>
      <c r="AD298" s="1371"/>
      <c r="AE298" s="1371"/>
      <c r="AF298" s="1371"/>
      <c r="AG298" s="1371"/>
      <c r="AH298" s="1371"/>
      <c r="AI298" s="1371"/>
      <c r="AJ298" s="1371"/>
      <c r="AK298" s="1371"/>
      <c r="BN298" s="34"/>
    </row>
    <row r="299" spans="2:66" ht="12.95" customHeight="1">
      <c r="B299" s="3" t="s">
        <v>88</v>
      </c>
      <c r="C299" s="3"/>
      <c r="D299" s="3"/>
      <c r="E299" s="3"/>
      <c r="F299" s="3"/>
      <c r="G299" s="3"/>
      <c r="H299" s="1830">
        <v>4152625165</v>
      </c>
      <c r="I299" s="1706"/>
      <c r="J299" s="1706"/>
      <c r="K299" s="1706"/>
      <c r="L299" s="1706"/>
      <c r="M299" s="1706"/>
      <c r="N299" s="4" t="s">
        <v>206</v>
      </c>
      <c r="O299" s="4"/>
      <c r="P299" s="1441"/>
      <c r="Q299" s="1441"/>
      <c r="R299" s="1441"/>
      <c r="S299" s="3"/>
      <c r="T299" s="3" t="s">
        <v>88</v>
      </c>
      <c r="V299" s="3"/>
      <c r="W299" s="3"/>
      <c r="X299" s="3"/>
      <c r="Y299" s="3"/>
      <c r="AA299" s="1706">
        <v>4086455158</v>
      </c>
      <c r="AB299" s="1706"/>
      <c r="AC299" s="1706"/>
      <c r="AD299" s="1706"/>
      <c r="AE299" s="1706"/>
      <c r="AF299" s="1706"/>
      <c r="AG299" s="4" t="s">
        <v>206</v>
      </c>
      <c r="AH299" s="4"/>
      <c r="AI299" s="1441"/>
      <c r="AJ299" s="1441"/>
      <c r="AK299" s="1441"/>
      <c r="BN299" s="34"/>
    </row>
    <row r="300" spans="2:66" ht="12.95" customHeight="1">
      <c r="B300" s="3" t="s">
        <v>89</v>
      </c>
      <c r="C300" s="3"/>
      <c r="D300" s="3"/>
      <c r="E300" s="3"/>
      <c r="F300" s="3"/>
      <c r="G300" s="3"/>
      <c r="H300" s="1460"/>
      <c r="I300" s="1460"/>
      <c r="J300" s="1460"/>
      <c r="K300" s="1460"/>
      <c r="L300" s="1460"/>
      <c r="M300" s="1460"/>
      <c r="N300" s="4"/>
      <c r="O300" s="4"/>
      <c r="P300" s="35"/>
      <c r="Q300" s="35"/>
      <c r="R300" s="35"/>
      <c r="S300" s="3"/>
      <c r="T300" s="3" t="s">
        <v>89</v>
      </c>
      <c r="V300" s="3"/>
      <c r="W300" s="3"/>
      <c r="X300" s="3"/>
      <c r="Y300" s="3"/>
      <c r="AA300" s="1460"/>
      <c r="AB300" s="1460"/>
      <c r="AC300" s="1460"/>
      <c r="AD300" s="1460"/>
      <c r="AE300" s="1460"/>
      <c r="AF300" s="1460"/>
      <c r="AG300" s="4"/>
      <c r="AH300" s="4"/>
      <c r="AI300" s="35"/>
      <c r="AJ300" s="35"/>
      <c r="AK300" s="35"/>
      <c r="BN300" s="34"/>
    </row>
    <row r="301" spans="2:66" ht="12.95" customHeight="1">
      <c r="B301" s="3" t="s">
        <v>76</v>
      </c>
      <c r="C301" s="3"/>
      <c r="D301" s="3"/>
      <c r="E301" s="3"/>
      <c r="F301" s="3"/>
      <c r="G301" s="3"/>
      <c r="H301" s="1554" t="s">
        <v>2662</v>
      </c>
      <c r="I301" s="1371"/>
      <c r="J301" s="1371"/>
      <c r="K301" s="1371"/>
      <c r="L301" s="1371"/>
      <c r="M301" s="1371"/>
      <c r="N301" s="1357"/>
      <c r="O301" s="1357"/>
      <c r="P301" s="1357"/>
      <c r="Q301" s="1357"/>
      <c r="R301" s="1357"/>
      <c r="S301" s="3"/>
      <c r="T301" s="3" t="s">
        <v>76</v>
      </c>
      <c r="V301" s="3"/>
      <c r="W301" s="3"/>
      <c r="X301" s="3"/>
      <c r="Y301" s="3"/>
      <c r="AA301" s="1554" t="s">
        <v>2686</v>
      </c>
      <c r="AB301" s="1371"/>
      <c r="AC301" s="1371"/>
      <c r="AD301" s="1371"/>
      <c r="AE301" s="1371"/>
      <c r="AF301" s="1371"/>
      <c r="AG301" s="1357"/>
      <c r="AH301" s="1357"/>
      <c r="AI301" s="1357"/>
      <c r="AJ301" s="1357"/>
      <c r="AK301" s="1357"/>
      <c r="BN301" s="34"/>
    </row>
    <row r="302" spans="2:66" ht="12.95" customHeight="1">
      <c r="BN302" s="34"/>
    </row>
    <row r="303" spans="2:66" ht="12.95" customHeight="1">
      <c r="B303" s="3" t="s">
        <v>77</v>
      </c>
      <c r="C303" s="3"/>
      <c r="D303" s="3"/>
      <c r="E303" s="3"/>
      <c r="F303" s="3"/>
      <c r="H303" s="1356" t="s">
        <v>2659</v>
      </c>
      <c r="I303" s="1357"/>
      <c r="J303" s="1357"/>
      <c r="K303" s="1357"/>
      <c r="L303" s="1357"/>
      <c r="M303" s="1357"/>
      <c r="N303" s="1357"/>
      <c r="O303" s="1357"/>
      <c r="P303" s="1357"/>
      <c r="Q303" s="1357"/>
      <c r="R303" s="1357"/>
      <c r="T303" s="4" t="s">
        <v>889</v>
      </c>
      <c r="V303" s="3"/>
      <c r="W303" s="3"/>
      <c r="X303" s="3"/>
      <c r="Y303" s="3"/>
      <c r="AA303" s="1356" t="s">
        <v>2754</v>
      </c>
      <c r="AB303" s="1357"/>
      <c r="AC303" s="1357"/>
      <c r="AD303" s="1357"/>
      <c r="AE303" s="1357"/>
      <c r="AF303" s="1357"/>
      <c r="AG303" s="1357"/>
      <c r="AH303" s="1357"/>
      <c r="AI303" s="1357"/>
      <c r="AJ303" s="1357"/>
      <c r="AK303" s="1357"/>
      <c r="BN303" s="34"/>
    </row>
    <row r="304" spans="2:66" ht="12.95" customHeight="1">
      <c r="B304" s="3" t="s">
        <v>478</v>
      </c>
      <c r="C304" s="3"/>
      <c r="D304" s="3"/>
      <c r="E304" s="3"/>
      <c r="F304" s="3"/>
      <c r="H304" s="1554" t="s">
        <v>2660</v>
      </c>
      <c r="I304" s="1371"/>
      <c r="J304" s="1371"/>
      <c r="K304" s="1371"/>
      <c r="L304" s="1371"/>
      <c r="M304" s="1371"/>
      <c r="N304" s="1371"/>
      <c r="O304" s="1371"/>
      <c r="P304" s="1371"/>
      <c r="Q304" s="1371"/>
      <c r="R304" s="1371"/>
      <c r="T304" s="3" t="s">
        <v>478</v>
      </c>
      <c r="V304" s="3"/>
      <c r="W304" s="3"/>
      <c r="X304" s="3"/>
      <c r="Y304" s="3"/>
      <c r="AA304" s="1554" t="s">
        <v>2755</v>
      </c>
      <c r="AB304" s="1371"/>
      <c r="AC304" s="1371"/>
      <c r="AD304" s="1371"/>
      <c r="AE304" s="1371"/>
      <c r="AF304" s="1371"/>
      <c r="AG304" s="1371"/>
      <c r="AH304" s="1371"/>
      <c r="AI304" s="1371"/>
      <c r="AJ304" s="1371"/>
      <c r="AK304" s="1371"/>
      <c r="BN304" s="34"/>
    </row>
    <row r="305" spans="2:66" ht="12.95" customHeight="1">
      <c r="B305" s="3" t="s">
        <v>479</v>
      </c>
      <c r="C305" s="3"/>
      <c r="D305" s="3"/>
      <c r="E305" s="3"/>
      <c r="F305" s="3"/>
      <c r="H305" s="1554" t="s">
        <v>2777</v>
      </c>
      <c r="I305" s="1371"/>
      <c r="J305" s="1371"/>
      <c r="K305" s="1371"/>
      <c r="L305" s="1371"/>
      <c r="M305" s="1371"/>
      <c r="N305" s="1371"/>
      <c r="O305" s="1371"/>
      <c r="P305" s="1371"/>
      <c r="Q305" s="1371"/>
      <c r="R305" s="1371"/>
      <c r="T305" s="3" t="s">
        <v>75</v>
      </c>
      <c r="V305" s="3"/>
      <c r="W305" s="3"/>
      <c r="X305" s="3"/>
      <c r="Y305" s="3"/>
      <c r="AA305" s="1554" t="s">
        <v>2756</v>
      </c>
      <c r="AB305" s="1371"/>
      <c r="AC305" s="1371"/>
      <c r="AD305" s="1371"/>
      <c r="AE305" s="1371"/>
      <c r="AF305" s="1371"/>
      <c r="AG305" s="1371"/>
      <c r="AH305" s="1371"/>
      <c r="AI305" s="1371"/>
      <c r="AJ305" s="1371"/>
      <c r="AK305" s="1371"/>
      <c r="BN305" s="34"/>
    </row>
    <row r="306" spans="2:66" ht="12.95" customHeight="1">
      <c r="B306" s="3" t="s">
        <v>87</v>
      </c>
      <c r="C306" s="3"/>
      <c r="D306" s="3"/>
      <c r="E306" s="3"/>
      <c r="F306" s="3"/>
      <c r="H306" s="1371" t="s">
        <v>2661</v>
      </c>
      <c r="I306" s="1371"/>
      <c r="J306" s="1371"/>
      <c r="K306" s="1371"/>
      <c r="L306" s="1371"/>
      <c r="M306" s="1371"/>
      <c r="N306" s="1371"/>
      <c r="O306" s="1371"/>
      <c r="P306" s="1371"/>
      <c r="Q306" s="1371"/>
      <c r="R306" s="1371"/>
      <c r="T306" s="3" t="s">
        <v>87</v>
      </c>
      <c r="V306" s="3"/>
      <c r="W306" s="3"/>
      <c r="X306" s="3"/>
      <c r="Y306" s="3"/>
      <c r="AA306" s="1554" t="s">
        <v>2757</v>
      </c>
      <c r="AB306" s="1371"/>
      <c r="AC306" s="1371"/>
      <c r="AD306" s="1371"/>
      <c r="AE306" s="1371"/>
      <c r="AF306" s="1371"/>
      <c r="AG306" s="1371"/>
      <c r="AH306" s="1371"/>
      <c r="AI306" s="1371"/>
      <c r="AJ306" s="1371"/>
      <c r="AK306" s="1371"/>
      <c r="BN306" s="34"/>
    </row>
    <row r="307" spans="2:66" ht="12.95" customHeight="1">
      <c r="B307" s="3" t="s">
        <v>88</v>
      </c>
      <c r="C307" s="3"/>
      <c r="D307" s="3"/>
      <c r="E307" s="3"/>
      <c r="F307" s="3"/>
      <c r="G307" s="3"/>
      <c r="H307" s="1706">
        <v>4152625165</v>
      </c>
      <c r="I307" s="1706"/>
      <c r="J307" s="1706"/>
      <c r="K307" s="1706"/>
      <c r="L307" s="1706"/>
      <c r="M307" s="1706"/>
      <c r="N307" s="4" t="s">
        <v>206</v>
      </c>
      <c r="O307" s="4"/>
      <c r="P307" s="1441"/>
      <c r="Q307" s="1441"/>
      <c r="R307" s="1441"/>
      <c r="S307" s="3"/>
      <c r="T307" s="3" t="s">
        <v>88</v>
      </c>
      <c r="V307" s="3"/>
      <c r="W307" s="3"/>
      <c r="X307" s="3"/>
      <c r="Y307" s="3"/>
      <c r="AA307" s="1830" t="s">
        <v>2758</v>
      </c>
      <c r="AB307" s="1706"/>
      <c r="AC307" s="1706"/>
      <c r="AD307" s="1706"/>
      <c r="AE307" s="1706"/>
      <c r="AF307" s="1706"/>
      <c r="AG307" s="4" t="s">
        <v>206</v>
      </c>
      <c r="AH307" s="4"/>
      <c r="AI307" s="1441"/>
      <c r="AJ307" s="1441"/>
      <c r="AK307" s="1441"/>
      <c r="BN307" s="34"/>
    </row>
    <row r="308" spans="2:66" ht="12.95" customHeight="1">
      <c r="B308" s="3" t="s">
        <v>89</v>
      </c>
      <c r="C308" s="3"/>
      <c r="D308" s="3"/>
      <c r="E308" s="3"/>
      <c r="F308" s="3"/>
      <c r="G308" s="3"/>
      <c r="H308" s="1460"/>
      <c r="I308" s="1460"/>
      <c r="J308" s="1460"/>
      <c r="K308" s="1460"/>
      <c r="L308" s="1460"/>
      <c r="M308" s="1460"/>
      <c r="N308" s="4"/>
      <c r="O308" s="4"/>
      <c r="P308" s="35"/>
      <c r="Q308" s="35"/>
      <c r="R308" s="35"/>
      <c r="S308" s="3"/>
      <c r="T308" s="3" t="s">
        <v>89</v>
      </c>
      <c r="V308" s="3"/>
      <c r="W308" s="3"/>
      <c r="X308" s="3"/>
      <c r="Y308" s="3"/>
      <c r="AA308" s="1460"/>
      <c r="AB308" s="1460"/>
      <c r="AC308" s="1460"/>
      <c r="AD308" s="1460"/>
      <c r="AE308" s="1460"/>
      <c r="AF308" s="1460"/>
      <c r="AG308" s="4"/>
      <c r="AH308" s="4"/>
      <c r="AI308" s="35"/>
      <c r="AJ308" s="35"/>
      <c r="AK308" s="35"/>
      <c r="BN308" s="34"/>
    </row>
    <row r="309" spans="2:66" ht="12.95" customHeight="1">
      <c r="B309" s="3" t="s">
        <v>76</v>
      </c>
      <c r="C309" s="3"/>
      <c r="D309" s="3"/>
      <c r="E309" s="3"/>
      <c r="F309" s="3"/>
      <c r="G309" s="3"/>
      <c r="H309" s="1371" t="s">
        <v>2662</v>
      </c>
      <c r="I309" s="1371"/>
      <c r="J309" s="1371"/>
      <c r="K309" s="1371"/>
      <c r="L309" s="1371"/>
      <c r="M309" s="1371"/>
      <c r="N309" s="1357"/>
      <c r="O309" s="1357"/>
      <c r="P309" s="1357"/>
      <c r="Q309" s="1357"/>
      <c r="R309" s="1357"/>
      <c r="S309" s="3"/>
      <c r="T309" s="3" t="s">
        <v>76</v>
      </c>
      <c r="V309" s="3"/>
      <c r="W309" s="3"/>
      <c r="X309" s="3"/>
      <c r="Y309" s="3"/>
      <c r="AA309" s="1554" t="s">
        <v>2759</v>
      </c>
      <c r="AB309" s="1371"/>
      <c r="AC309" s="1371"/>
      <c r="AD309" s="1371"/>
      <c r="AE309" s="1371"/>
      <c r="AF309" s="1371"/>
      <c r="AG309" s="1357"/>
      <c r="AH309" s="1357"/>
      <c r="AI309" s="1357"/>
      <c r="AJ309" s="1357"/>
      <c r="AK309" s="1357"/>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921</v>
      </c>
      <c r="C311" s="3"/>
      <c r="D311" s="3"/>
      <c r="E311" s="3"/>
      <c r="F311" s="3"/>
      <c r="H311" s="1357" t="s">
        <v>2663</v>
      </c>
      <c r="I311" s="1357"/>
      <c r="J311" s="1357"/>
      <c r="K311" s="1357"/>
      <c r="L311" s="1357"/>
      <c r="M311" s="1357"/>
      <c r="N311" s="1357"/>
      <c r="O311" s="1357"/>
      <c r="P311" s="1357"/>
      <c r="Q311" s="1357"/>
      <c r="R311" s="1357"/>
      <c r="S311" s="3"/>
      <c r="T311" s="3" t="s">
        <v>365</v>
      </c>
      <c r="V311" s="3"/>
      <c r="W311" s="3"/>
      <c r="X311" s="3"/>
      <c r="Y311" s="3"/>
      <c r="AA311" s="1356" t="s">
        <v>2687</v>
      </c>
      <c r="AB311" s="1357"/>
      <c r="AC311" s="1357"/>
      <c r="AD311" s="1357"/>
      <c r="AE311" s="1357"/>
      <c r="AF311" s="1357"/>
      <c r="AG311" s="1357"/>
      <c r="AH311" s="1357"/>
      <c r="AI311" s="1357"/>
      <c r="AJ311" s="1357"/>
      <c r="AK311" s="1357"/>
      <c r="BN311" s="34"/>
    </row>
    <row r="312" spans="2:66" ht="12.95" customHeight="1">
      <c r="B312" s="3" t="s">
        <v>478</v>
      </c>
      <c r="C312" s="3"/>
      <c r="D312" s="3"/>
      <c r="E312" s="3"/>
      <c r="F312" s="3"/>
      <c r="H312" s="1371" t="s">
        <v>2664</v>
      </c>
      <c r="I312" s="1371"/>
      <c r="J312" s="1371"/>
      <c r="K312" s="1371"/>
      <c r="L312" s="1371"/>
      <c r="M312" s="1371"/>
      <c r="N312" s="1371"/>
      <c r="O312" s="1371"/>
      <c r="P312" s="1371"/>
      <c r="Q312" s="1371"/>
      <c r="R312" s="1371"/>
      <c r="S312" s="3"/>
      <c r="T312" s="3" t="s">
        <v>478</v>
      </c>
      <c r="V312" s="3"/>
      <c r="W312" s="3"/>
      <c r="X312" s="3"/>
      <c r="Y312" s="3"/>
      <c r="AA312" s="1371"/>
      <c r="AB312" s="1371"/>
      <c r="AC312" s="1371"/>
      <c r="AD312" s="1371"/>
      <c r="AE312" s="1371"/>
      <c r="AF312" s="1371"/>
      <c r="AG312" s="1371"/>
      <c r="AH312" s="1371"/>
      <c r="AI312" s="1371"/>
      <c r="AJ312" s="1371"/>
      <c r="AK312" s="1371"/>
      <c r="BN312" s="34"/>
    </row>
    <row r="313" spans="2:66" ht="12.95" customHeight="1">
      <c r="B313" s="3" t="s">
        <v>479</v>
      </c>
      <c r="C313" s="3"/>
      <c r="D313" s="3"/>
      <c r="E313" s="3"/>
      <c r="F313" s="3"/>
      <c r="H313" s="1371" t="s">
        <v>2665</v>
      </c>
      <c r="I313" s="1371"/>
      <c r="J313" s="1371"/>
      <c r="K313" s="1371"/>
      <c r="L313" s="1371"/>
      <c r="M313" s="1371"/>
      <c r="N313" s="1371"/>
      <c r="O313" s="1371"/>
      <c r="P313" s="1371"/>
      <c r="Q313" s="1371"/>
      <c r="R313" s="1371"/>
      <c r="S313" s="3"/>
      <c r="T313" s="3" t="s">
        <v>75</v>
      </c>
      <c r="V313" s="3"/>
      <c r="W313" s="3"/>
      <c r="X313" s="3"/>
      <c r="Y313" s="3"/>
      <c r="AA313" s="1371"/>
      <c r="AB313" s="1371"/>
      <c r="AC313" s="1371"/>
      <c r="AD313" s="1371"/>
      <c r="AE313" s="1371"/>
      <c r="AF313" s="1371"/>
      <c r="AG313" s="1371"/>
      <c r="AH313" s="1371"/>
      <c r="AI313" s="1371"/>
      <c r="AJ313" s="1371"/>
      <c r="AK313" s="1371"/>
      <c r="BN313" s="34"/>
    </row>
    <row r="314" spans="2:66" ht="12.95" customHeight="1">
      <c r="B314" s="3" t="s">
        <v>87</v>
      </c>
      <c r="C314" s="3"/>
      <c r="D314" s="3"/>
      <c r="E314" s="3"/>
      <c r="F314" s="3"/>
      <c r="H314" s="1371" t="s">
        <v>2696</v>
      </c>
      <c r="I314" s="1371"/>
      <c r="J314" s="1371"/>
      <c r="K314" s="1371"/>
      <c r="L314" s="1371"/>
      <c r="M314" s="1371"/>
      <c r="N314" s="1371"/>
      <c r="O314" s="1371"/>
      <c r="P314" s="1371"/>
      <c r="Q314" s="1371"/>
      <c r="R314" s="1371"/>
      <c r="S314" s="3"/>
      <c r="T314" s="3" t="s">
        <v>87</v>
      </c>
      <c r="V314" s="3"/>
      <c r="W314" s="3"/>
      <c r="X314" s="3"/>
      <c r="Y314" s="3"/>
      <c r="AA314" s="1371"/>
      <c r="AB314" s="1371"/>
      <c r="AC314" s="1371"/>
      <c r="AD314" s="1371"/>
      <c r="AE314" s="1371"/>
      <c r="AF314" s="1371"/>
      <c r="AG314" s="1371"/>
      <c r="AH314" s="1371"/>
      <c r="AI314" s="1371"/>
      <c r="AJ314" s="1371"/>
      <c r="AK314" s="1371"/>
      <c r="BN314" s="34"/>
    </row>
    <row r="315" spans="2:66" ht="12.95" customHeight="1">
      <c r="B315" s="3" t="s">
        <v>88</v>
      </c>
      <c r="C315" s="3"/>
      <c r="D315" s="3"/>
      <c r="E315" s="3"/>
      <c r="F315" s="3"/>
      <c r="G315" s="3"/>
      <c r="H315" s="1706" t="s">
        <v>2697</v>
      </c>
      <c r="I315" s="1706"/>
      <c r="J315" s="1706"/>
      <c r="K315" s="1706"/>
      <c r="L315" s="1706"/>
      <c r="M315" s="1706"/>
      <c r="N315" s="4" t="s">
        <v>206</v>
      </c>
      <c r="O315" s="4"/>
      <c r="P315" s="1441"/>
      <c r="Q315" s="1441"/>
      <c r="R315" s="1441"/>
      <c r="S315" s="3"/>
      <c r="T315" s="3" t="s">
        <v>88</v>
      </c>
      <c r="V315" s="3"/>
      <c r="W315" s="3"/>
      <c r="X315" s="3"/>
      <c r="Y315" s="3"/>
      <c r="AA315" s="1706"/>
      <c r="AB315" s="1706"/>
      <c r="AC315" s="1706"/>
      <c r="AD315" s="1706"/>
      <c r="AE315" s="1706"/>
      <c r="AF315" s="1706"/>
      <c r="AG315" s="4" t="s">
        <v>206</v>
      </c>
      <c r="AH315" s="4"/>
      <c r="AI315" s="1441"/>
      <c r="AJ315" s="1441"/>
      <c r="AK315" s="1441"/>
      <c r="BN315" s="34"/>
    </row>
    <row r="316" spans="2:66" ht="12.95" customHeight="1">
      <c r="B316" s="3" t="s">
        <v>89</v>
      </c>
      <c r="C316" s="3"/>
      <c r="D316" s="3"/>
      <c r="E316" s="3"/>
      <c r="F316" s="3"/>
      <c r="G316" s="3"/>
      <c r="H316" s="1460" t="s">
        <v>2698</v>
      </c>
      <c r="I316" s="1460"/>
      <c r="J316" s="1460"/>
      <c r="K316" s="1460"/>
      <c r="L316" s="1460"/>
      <c r="M316" s="1460"/>
      <c r="N316" s="4"/>
      <c r="O316" s="4"/>
      <c r="P316" s="35"/>
      <c r="Q316" s="35"/>
      <c r="R316" s="35"/>
      <c r="S316" s="3"/>
      <c r="T316" s="3" t="s">
        <v>89</v>
      </c>
      <c r="V316" s="3"/>
      <c r="W316" s="3"/>
      <c r="X316" s="3"/>
      <c r="Y316" s="3"/>
      <c r="AA316" s="1460"/>
      <c r="AB316" s="1460"/>
      <c r="AC316" s="1460"/>
      <c r="AD316" s="1460"/>
      <c r="AE316" s="1460"/>
      <c r="AF316" s="1460"/>
      <c r="AG316" s="4"/>
      <c r="AH316" s="4"/>
      <c r="AI316" s="35"/>
      <c r="AJ316" s="35"/>
      <c r="AK316" s="35"/>
      <c r="BN316" s="34"/>
    </row>
    <row r="317" spans="2:66" ht="12.95" customHeight="1">
      <c r="B317" s="3" t="s">
        <v>76</v>
      </c>
      <c r="C317" s="3"/>
      <c r="D317" s="3"/>
      <c r="E317" s="3"/>
      <c r="F317" s="3"/>
      <c r="G317" s="3"/>
      <c r="H317" s="1371" t="s">
        <v>2699</v>
      </c>
      <c r="I317" s="1371"/>
      <c r="J317" s="1371"/>
      <c r="K317" s="1371"/>
      <c r="L317" s="1371"/>
      <c r="M317" s="1371"/>
      <c r="N317" s="1357"/>
      <c r="O317" s="1357"/>
      <c r="P317" s="1357"/>
      <c r="Q317" s="1357"/>
      <c r="R317" s="1357"/>
      <c r="S317" s="3"/>
      <c r="T317" s="3" t="s">
        <v>76</v>
      </c>
      <c r="V317" s="3"/>
      <c r="W317" s="3"/>
      <c r="X317" s="3"/>
      <c r="Y317" s="3"/>
      <c r="AA317" s="1371"/>
      <c r="AB317" s="1371"/>
      <c r="AC317" s="1371"/>
      <c r="AD317" s="1371"/>
      <c r="AE317" s="1371"/>
      <c r="AF317" s="1371"/>
      <c r="AG317" s="1357"/>
      <c r="AH317" s="1357"/>
      <c r="AI317" s="1357"/>
      <c r="AJ317" s="1357"/>
      <c r="AK317" s="1357"/>
      <c r="BN317" s="34"/>
    </row>
    <row r="318" spans="2:66" ht="12.95" customHeight="1">
      <c r="BN318" s="34"/>
    </row>
    <row r="319" spans="2:66" ht="12.95" customHeight="1">
      <c r="B319" s="4" t="s">
        <v>922</v>
      </c>
      <c r="C319" s="3"/>
      <c r="D319" s="3"/>
      <c r="E319" s="3"/>
      <c r="F319" s="3"/>
      <c r="H319" s="1356" t="s">
        <v>2675</v>
      </c>
      <c r="I319" s="1357"/>
      <c r="J319" s="1357"/>
      <c r="K319" s="1357"/>
      <c r="L319" s="1357"/>
      <c r="M319" s="1357"/>
      <c r="N319" s="1357"/>
      <c r="O319" s="1357"/>
      <c r="P319" s="1357"/>
      <c r="Q319" s="1357"/>
      <c r="R319" s="1357"/>
      <c r="T319" s="3" t="s">
        <v>366</v>
      </c>
      <c r="V319" s="3"/>
      <c r="W319" s="3"/>
      <c r="X319" s="3"/>
      <c r="Y319" s="3"/>
      <c r="AA319" s="1356" t="s">
        <v>2666</v>
      </c>
      <c r="AB319" s="1357"/>
      <c r="AC319" s="1357"/>
      <c r="AD319" s="1357"/>
      <c r="AE319" s="1357"/>
      <c r="AF319" s="1357"/>
      <c r="AG319" s="1357"/>
      <c r="AH319" s="1357"/>
      <c r="AI319" s="1357"/>
      <c r="AJ319" s="1357"/>
      <c r="AK319" s="1357"/>
      <c r="BN319" s="34"/>
    </row>
    <row r="320" spans="2:66" ht="12.95" customHeight="1">
      <c r="B320" s="3" t="s">
        <v>478</v>
      </c>
      <c r="C320" s="3"/>
      <c r="D320" s="3"/>
      <c r="E320" s="3"/>
      <c r="F320" s="3"/>
      <c r="H320" s="1371" t="s">
        <v>2700</v>
      </c>
      <c r="I320" s="1371"/>
      <c r="J320" s="1371"/>
      <c r="K320" s="1371"/>
      <c r="L320" s="1371"/>
      <c r="M320" s="1371"/>
      <c r="N320" s="1371"/>
      <c r="O320" s="1371"/>
      <c r="P320" s="1371"/>
      <c r="Q320" s="1371"/>
      <c r="R320" s="1371"/>
      <c r="T320" s="3" t="s">
        <v>478</v>
      </c>
      <c r="V320" s="3"/>
      <c r="W320" s="3"/>
      <c r="X320" s="3"/>
      <c r="Y320" s="3"/>
      <c r="AA320" s="1554" t="s">
        <v>2667</v>
      </c>
      <c r="AB320" s="1371"/>
      <c r="AC320" s="1371"/>
      <c r="AD320" s="1371"/>
      <c r="AE320" s="1371"/>
      <c r="AF320" s="1371"/>
      <c r="AG320" s="1371"/>
      <c r="AH320" s="1371"/>
      <c r="AI320" s="1371"/>
      <c r="AJ320" s="1371"/>
      <c r="AK320" s="1371"/>
      <c r="BN320" s="34"/>
    </row>
    <row r="321" spans="2:66" ht="12.95" customHeight="1">
      <c r="B321" s="3" t="s">
        <v>479</v>
      </c>
      <c r="C321" s="3"/>
      <c r="D321" s="3"/>
      <c r="E321" s="3"/>
      <c r="F321" s="3"/>
      <c r="H321" s="1371" t="s">
        <v>2701</v>
      </c>
      <c r="I321" s="1371"/>
      <c r="J321" s="1371"/>
      <c r="K321" s="1371"/>
      <c r="L321" s="1371"/>
      <c r="M321" s="1371"/>
      <c r="N321" s="1371"/>
      <c r="O321" s="1371"/>
      <c r="P321" s="1371"/>
      <c r="Q321" s="1371"/>
      <c r="R321" s="1371"/>
      <c r="T321" s="3" t="s">
        <v>75</v>
      </c>
      <c r="V321" s="3"/>
      <c r="W321" s="3"/>
      <c r="X321" s="3"/>
      <c r="Y321" s="3"/>
      <c r="AA321" s="1554" t="s">
        <v>2704</v>
      </c>
      <c r="AB321" s="1371"/>
      <c r="AC321" s="1371"/>
      <c r="AD321" s="1371"/>
      <c r="AE321" s="1371"/>
      <c r="AF321" s="1371"/>
      <c r="AG321" s="1371"/>
      <c r="AH321" s="1371"/>
      <c r="AI321" s="1371"/>
      <c r="AJ321" s="1371"/>
      <c r="AK321" s="1371"/>
      <c r="BN321" s="34"/>
    </row>
    <row r="322" spans="2:66" ht="12.95" customHeight="1">
      <c r="B322" s="3" t="s">
        <v>87</v>
      </c>
      <c r="C322" s="3"/>
      <c r="D322" s="3"/>
      <c r="E322" s="3"/>
      <c r="F322" s="3"/>
      <c r="H322" s="1554" t="s">
        <v>2676</v>
      </c>
      <c r="I322" s="1371"/>
      <c r="J322" s="1371"/>
      <c r="K322" s="1371"/>
      <c r="L322" s="1371"/>
      <c r="M322" s="1371"/>
      <c r="N322" s="1371"/>
      <c r="O322" s="1371"/>
      <c r="P322" s="1371"/>
      <c r="Q322" s="1371"/>
      <c r="R322" s="1371"/>
      <c r="T322" s="3" t="s">
        <v>87</v>
      </c>
      <c r="V322" s="3"/>
      <c r="W322" s="3"/>
      <c r="X322" s="3"/>
      <c r="Y322" s="3"/>
      <c r="AA322" s="1371" t="s">
        <v>2702</v>
      </c>
      <c r="AB322" s="1371"/>
      <c r="AC322" s="1371"/>
      <c r="AD322" s="1371"/>
      <c r="AE322" s="1371"/>
      <c r="AF322" s="1371"/>
      <c r="AG322" s="1371"/>
      <c r="AH322" s="1371"/>
      <c r="AI322" s="1371"/>
      <c r="AJ322" s="1371"/>
      <c r="AK322" s="1371"/>
      <c r="BN322" s="34"/>
    </row>
    <row r="323" spans="2:66" ht="12.95" customHeight="1">
      <c r="B323" s="3" t="s">
        <v>88</v>
      </c>
      <c r="C323" s="3"/>
      <c r="D323" s="3"/>
      <c r="E323" s="3"/>
      <c r="F323" s="3"/>
      <c r="G323" s="3"/>
      <c r="H323" s="1706">
        <v>6503971433</v>
      </c>
      <c r="I323" s="1706"/>
      <c r="J323" s="1706"/>
      <c r="K323" s="1706"/>
      <c r="L323" s="1706"/>
      <c r="M323" s="1706"/>
      <c r="N323" s="4" t="s">
        <v>206</v>
      </c>
      <c r="O323" s="4"/>
      <c r="P323" s="1441"/>
      <c r="Q323" s="1441"/>
      <c r="R323" s="1441"/>
      <c r="S323" s="3"/>
      <c r="T323" s="3" t="s">
        <v>88</v>
      </c>
      <c r="V323" s="3"/>
      <c r="W323" s="3"/>
      <c r="X323" s="3"/>
      <c r="Y323" s="3"/>
      <c r="AA323" s="1830" t="s">
        <v>2703</v>
      </c>
      <c r="AB323" s="1706"/>
      <c r="AC323" s="1706"/>
      <c r="AD323" s="1706"/>
      <c r="AE323" s="1706"/>
      <c r="AF323" s="1706"/>
      <c r="AG323" s="4" t="s">
        <v>206</v>
      </c>
      <c r="AH323" s="4"/>
      <c r="AI323" s="1441"/>
      <c r="AJ323" s="1441"/>
      <c r="AK323" s="1441"/>
    </row>
    <row r="324" spans="2:66" ht="12.95" customHeight="1">
      <c r="B324" s="3" t="s">
        <v>89</v>
      </c>
      <c r="C324" s="3"/>
      <c r="D324" s="3"/>
      <c r="E324" s="3"/>
      <c r="F324" s="3"/>
      <c r="G324" s="3"/>
      <c r="H324" s="1460"/>
      <c r="I324" s="1460"/>
      <c r="J324" s="1460"/>
      <c r="K324" s="1460"/>
      <c r="L324" s="1460"/>
      <c r="M324" s="1460"/>
      <c r="N324" s="4"/>
      <c r="O324" s="4"/>
      <c r="P324" s="35"/>
      <c r="Q324" s="35"/>
      <c r="R324" s="35"/>
      <c r="S324" s="3"/>
      <c r="T324" s="3" t="s">
        <v>89</v>
      </c>
      <c r="V324" s="3"/>
      <c r="W324" s="3"/>
      <c r="X324" s="3"/>
      <c r="Y324" s="3"/>
      <c r="AA324" s="1460"/>
      <c r="AB324" s="1460"/>
      <c r="AC324" s="1460"/>
      <c r="AD324" s="1460"/>
      <c r="AE324" s="1460"/>
      <c r="AF324" s="1460"/>
      <c r="AG324" s="4"/>
      <c r="AH324" s="4"/>
      <c r="AI324" s="35"/>
      <c r="AJ324" s="35"/>
      <c r="AK324" s="35"/>
    </row>
    <row r="325" spans="2:66" ht="12.95" customHeight="1">
      <c r="B325" s="3" t="s">
        <v>76</v>
      </c>
      <c r="C325" s="3"/>
      <c r="D325" s="3"/>
      <c r="E325" s="3"/>
      <c r="F325" s="3"/>
      <c r="G325" s="3"/>
      <c r="H325" s="1554" t="s">
        <v>2677</v>
      </c>
      <c r="I325" s="1371"/>
      <c r="J325" s="1371"/>
      <c r="K325" s="1371"/>
      <c r="L325" s="1371"/>
      <c r="M325" s="1371"/>
      <c r="N325" s="1357"/>
      <c r="O325" s="1357"/>
      <c r="P325" s="1357"/>
      <c r="Q325" s="1357"/>
      <c r="R325" s="1357"/>
      <c r="S325" s="3"/>
      <c r="T325" s="3" t="s">
        <v>76</v>
      </c>
      <c r="V325" s="3"/>
      <c r="W325" s="3"/>
      <c r="X325" s="3"/>
      <c r="Y325" s="3"/>
      <c r="AA325" s="1554" t="s">
        <v>2705</v>
      </c>
      <c r="AB325" s="1371"/>
      <c r="AC325" s="1371"/>
      <c r="AD325" s="1371"/>
      <c r="AE325" s="1371"/>
      <c r="AF325" s="1371"/>
      <c r="AG325" s="1357"/>
      <c r="AH325" s="1357"/>
      <c r="AI325" s="1357"/>
      <c r="AJ325" s="1357"/>
      <c r="AK325" s="1357"/>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367</v>
      </c>
      <c r="C327" s="3"/>
      <c r="D327" s="3"/>
      <c r="E327" s="3"/>
      <c r="F327" s="3"/>
      <c r="H327" s="1356" t="s">
        <v>598</v>
      </c>
      <c r="I327" s="1357"/>
      <c r="J327" s="1357"/>
      <c r="K327" s="1357"/>
      <c r="L327" s="1357"/>
      <c r="M327" s="1357"/>
      <c r="N327" s="1357"/>
      <c r="O327" s="1357"/>
      <c r="P327" s="1357"/>
      <c r="Q327" s="1357"/>
      <c r="R327" s="1357"/>
      <c r="T327" s="3" t="s">
        <v>368</v>
      </c>
      <c r="V327" s="3"/>
      <c r="W327" s="3"/>
      <c r="X327" s="3"/>
      <c r="Y327" s="3"/>
      <c r="AA327" s="1356" t="s">
        <v>598</v>
      </c>
      <c r="AB327" s="1357"/>
      <c r="AC327" s="1357"/>
      <c r="AD327" s="1357"/>
      <c r="AE327" s="1357"/>
      <c r="AF327" s="1357"/>
      <c r="AG327" s="1357"/>
      <c r="AH327" s="1357"/>
      <c r="AI327" s="1357"/>
      <c r="AJ327" s="1357"/>
      <c r="AK327" s="1357"/>
    </row>
    <row r="328" spans="2:66" ht="12.95" customHeight="1">
      <c r="B328" s="3" t="s">
        <v>478</v>
      </c>
      <c r="C328" s="3"/>
      <c r="D328" s="3"/>
      <c r="E328" s="3"/>
      <c r="F328" s="3"/>
      <c r="H328" s="1371"/>
      <c r="I328" s="1371"/>
      <c r="J328" s="1371"/>
      <c r="K328" s="1371"/>
      <c r="L328" s="1371"/>
      <c r="M328" s="1371"/>
      <c r="N328" s="1371"/>
      <c r="O328" s="1371"/>
      <c r="P328" s="1371"/>
      <c r="Q328" s="1371"/>
      <c r="R328" s="1371"/>
      <c r="T328" s="3" t="s">
        <v>478</v>
      </c>
      <c r="V328" s="3"/>
      <c r="W328" s="3"/>
      <c r="X328" s="3"/>
      <c r="Y328" s="3"/>
      <c r="AA328" s="1371"/>
      <c r="AB328" s="1371"/>
      <c r="AC328" s="1371"/>
      <c r="AD328" s="1371"/>
      <c r="AE328" s="1371"/>
      <c r="AF328" s="1371"/>
      <c r="AG328" s="1371"/>
      <c r="AH328" s="1371"/>
      <c r="AI328" s="1371"/>
      <c r="AJ328" s="1371"/>
      <c r="AK328" s="1371"/>
    </row>
    <row r="329" spans="2:66" ht="12.95" customHeight="1">
      <c r="B329" s="3" t="s">
        <v>479</v>
      </c>
      <c r="C329" s="3"/>
      <c r="D329" s="3"/>
      <c r="E329" s="3"/>
      <c r="F329" s="3"/>
      <c r="H329" s="1371"/>
      <c r="I329" s="1371"/>
      <c r="J329" s="1371"/>
      <c r="K329" s="1371"/>
      <c r="L329" s="1371"/>
      <c r="M329" s="1371"/>
      <c r="N329" s="1371"/>
      <c r="O329" s="1371"/>
      <c r="P329" s="1371"/>
      <c r="Q329" s="1371"/>
      <c r="R329" s="1371"/>
      <c r="T329" s="3" t="s">
        <v>75</v>
      </c>
      <c r="V329" s="3"/>
      <c r="W329" s="3"/>
      <c r="X329" s="3"/>
      <c r="Y329" s="3"/>
      <c r="AA329" s="1371"/>
      <c r="AB329" s="1371"/>
      <c r="AC329" s="1371"/>
      <c r="AD329" s="1371"/>
      <c r="AE329" s="1371"/>
      <c r="AF329" s="1371"/>
      <c r="AG329" s="1371"/>
      <c r="AH329" s="1371"/>
      <c r="AI329" s="1371"/>
      <c r="AJ329" s="1371"/>
      <c r="AK329" s="1371"/>
    </row>
    <row r="330" spans="2:66" ht="12.95" customHeight="1">
      <c r="B330" s="3" t="s">
        <v>87</v>
      </c>
      <c r="C330" s="3"/>
      <c r="D330" s="3"/>
      <c r="E330" s="3"/>
      <c r="F330" s="3"/>
      <c r="H330" s="1371"/>
      <c r="I330" s="1371"/>
      <c r="J330" s="1371"/>
      <c r="K330" s="1371"/>
      <c r="L330" s="1371"/>
      <c r="M330" s="1371"/>
      <c r="N330" s="1371"/>
      <c r="O330" s="1371"/>
      <c r="P330" s="1371"/>
      <c r="Q330" s="1371"/>
      <c r="R330" s="1371"/>
      <c r="T330" s="3" t="s">
        <v>87</v>
      </c>
      <c r="V330" s="3"/>
      <c r="W330" s="3"/>
      <c r="X330" s="3"/>
      <c r="Y330" s="3"/>
      <c r="AA330" s="1371"/>
      <c r="AB330" s="1371"/>
      <c r="AC330" s="1371"/>
      <c r="AD330" s="1371"/>
      <c r="AE330" s="1371"/>
      <c r="AF330" s="1371"/>
      <c r="AG330" s="1371"/>
      <c r="AH330" s="1371"/>
      <c r="AI330" s="1371"/>
      <c r="AJ330" s="1371"/>
      <c r="AK330" s="1371"/>
    </row>
    <row r="331" spans="2:66" ht="12.95" customHeight="1">
      <c r="B331" s="3" t="s">
        <v>88</v>
      </c>
      <c r="C331" s="3"/>
      <c r="D331" s="3"/>
      <c r="E331" s="3"/>
      <c r="F331" s="3"/>
      <c r="G331" s="3"/>
      <c r="H331" s="1706"/>
      <c r="I331" s="1706"/>
      <c r="J331" s="1706"/>
      <c r="K331" s="1706"/>
      <c r="L331" s="1706"/>
      <c r="M331" s="1706"/>
      <c r="N331" s="4" t="s">
        <v>206</v>
      </c>
      <c r="O331" s="4"/>
      <c r="P331" s="1441"/>
      <c r="Q331" s="1441"/>
      <c r="R331" s="1441"/>
      <c r="S331" s="3"/>
      <c r="T331" s="3" t="s">
        <v>88</v>
      </c>
      <c r="V331" s="3"/>
      <c r="W331" s="3"/>
      <c r="X331" s="3"/>
      <c r="Y331" s="3"/>
      <c r="AA331" s="1706"/>
      <c r="AB331" s="1706"/>
      <c r="AC331" s="1706"/>
      <c r="AD331" s="1706"/>
      <c r="AE331" s="1706"/>
      <c r="AF331" s="1706"/>
      <c r="AG331" s="4" t="s">
        <v>206</v>
      </c>
      <c r="AH331" s="4"/>
      <c r="AI331" s="1441"/>
      <c r="AJ331" s="1441"/>
      <c r="AK331" s="1441"/>
    </row>
    <row r="332" spans="2:66" ht="12.95" customHeight="1">
      <c r="B332" s="3" t="s">
        <v>89</v>
      </c>
      <c r="C332" s="3"/>
      <c r="D332" s="3"/>
      <c r="E332" s="3"/>
      <c r="F332" s="3"/>
      <c r="G332" s="3"/>
      <c r="H332" s="1460"/>
      <c r="I332" s="1460"/>
      <c r="J332" s="1460"/>
      <c r="K332" s="1460"/>
      <c r="L332" s="1460"/>
      <c r="M332" s="1460"/>
      <c r="N332" s="4"/>
      <c r="O332" s="4"/>
      <c r="P332" s="35"/>
      <c r="Q332" s="35"/>
      <c r="R332" s="35"/>
      <c r="S332" s="3"/>
      <c r="T332" s="3" t="s">
        <v>89</v>
      </c>
      <c r="V332" s="3"/>
      <c r="W332" s="3"/>
      <c r="X332" s="3"/>
      <c r="Y332" s="3"/>
      <c r="AA332" s="1460"/>
      <c r="AB332" s="1460"/>
      <c r="AC332" s="1460"/>
      <c r="AD332" s="1460"/>
      <c r="AE332" s="1460"/>
      <c r="AF332" s="1460"/>
      <c r="AG332" s="4"/>
      <c r="AH332" s="4"/>
      <c r="AI332" s="35"/>
      <c r="AJ332" s="35"/>
      <c r="AK332" s="35"/>
    </row>
    <row r="333" spans="2:66" ht="12.95" customHeight="1">
      <c r="B333" s="3" t="s">
        <v>76</v>
      </c>
      <c r="C333" s="3"/>
      <c r="D333" s="3"/>
      <c r="E333" s="3"/>
      <c r="F333" s="3"/>
      <c r="G333" s="3"/>
      <c r="H333" s="1371"/>
      <c r="I333" s="1371"/>
      <c r="J333" s="1371"/>
      <c r="K333" s="1371"/>
      <c r="L333" s="1371"/>
      <c r="M333" s="1371"/>
      <c r="N333" s="1357"/>
      <c r="O333" s="1357"/>
      <c r="P333" s="1357"/>
      <c r="Q333" s="1357"/>
      <c r="R333" s="1357"/>
      <c r="S333" s="3"/>
      <c r="T333" s="3" t="s">
        <v>76</v>
      </c>
      <c r="V333" s="3"/>
      <c r="W333" s="3"/>
      <c r="X333" s="3"/>
      <c r="Y333" s="3"/>
      <c r="AA333" s="1371"/>
      <c r="AB333" s="1371"/>
      <c r="AC333" s="1371"/>
      <c r="AD333" s="1371"/>
      <c r="AE333" s="1371"/>
      <c r="AF333" s="1371"/>
      <c r="AG333" s="1357"/>
      <c r="AH333" s="1357"/>
      <c r="AI333" s="1357"/>
      <c r="AJ333" s="1357"/>
      <c r="AK333" s="1357"/>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329</v>
      </c>
      <c r="C335" s="3"/>
      <c r="D335" s="3"/>
      <c r="E335" s="3"/>
      <c r="F335" s="3"/>
      <c r="H335" s="1356" t="s">
        <v>2668</v>
      </c>
      <c r="I335" s="1357"/>
      <c r="J335" s="1357"/>
      <c r="K335" s="1357"/>
      <c r="L335" s="1357"/>
      <c r="M335" s="1357"/>
      <c r="N335" s="1357"/>
      <c r="O335" s="1357"/>
      <c r="P335" s="1357"/>
      <c r="Q335" s="1357"/>
      <c r="R335" s="1357"/>
      <c r="T335" s="218" t="s">
        <v>898</v>
      </c>
      <c r="V335" s="3"/>
      <c r="W335" s="3"/>
      <c r="X335" s="3"/>
      <c r="Y335" s="3"/>
      <c r="AA335" s="1356" t="s">
        <v>2671</v>
      </c>
      <c r="AB335" s="1357"/>
      <c r="AC335" s="1357"/>
      <c r="AD335" s="1357"/>
      <c r="AE335" s="1357"/>
      <c r="AF335" s="1357"/>
      <c r="AG335" s="1357"/>
      <c r="AH335" s="1357"/>
      <c r="AI335" s="1357"/>
      <c r="AJ335" s="1357"/>
      <c r="AK335" s="1357"/>
    </row>
    <row r="336" spans="2:66" ht="12.95" customHeight="1">
      <c r="B336" s="3" t="s">
        <v>478</v>
      </c>
      <c r="C336" s="3"/>
      <c r="D336" s="3"/>
      <c r="E336" s="3"/>
      <c r="F336" s="3"/>
      <c r="H336" s="1554" t="s">
        <v>2669</v>
      </c>
      <c r="I336" s="1371"/>
      <c r="J336" s="1371"/>
      <c r="K336" s="1371"/>
      <c r="L336" s="1371"/>
      <c r="M336" s="1371"/>
      <c r="N336" s="1371"/>
      <c r="O336" s="1371"/>
      <c r="P336" s="1371"/>
      <c r="Q336" s="1371"/>
      <c r="R336" s="1371"/>
      <c r="T336" s="3" t="s">
        <v>478</v>
      </c>
      <c r="V336" s="3"/>
      <c r="W336" s="3"/>
      <c r="X336" s="3"/>
      <c r="Y336" s="3"/>
      <c r="AA336" s="1554" t="s">
        <v>2639</v>
      </c>
      <c r="AB336" s="1371"/>
      <c r="AC336" s="1371"/>
      <c r="AD336" s="1371"/>
      <c r="AE336" s="1371"/>
      <c r="AF336" s="1371"/>
      <c r="AG336" s="1371"/>
      <c r="AH336" s="1371"/>
      <c r="AI336" s="1371"/>
      <c r="AJ336" s="1371"/>
      <c r="AK336" s="1371"/>
    </row>
    <row r="337" spans="1:66" ht="12.95" customHeight="1">
      <c r="B337" s="3" t="s">
        <v>75</v>
      </c>
      <c r="C337" s="3"/>
      <c r="D337" s="3"/>
      <c r="E337" s="3"/>
      <c r="F337" s="3"/>
      <c r="H337" s="1554" t="s">
        <v>2670</v>
      </c>
      <c r="I337" s="1371"/>
      <c r="J337" s="1371"/>
      <c r="K337" s="1371"/>
      <c r="L337" s="1371"/>
      <c r="M337" s="1371"/>
      <c r="N337" s="1371"/>
      <c r="O337" s="1371"/>
      <c r="P337" s="1371"/>
      <c r="Q337" s="1371"/>
      <c r="R337" s="1371"/>
      <c r="T337" s="3" t="s">
        <v>75</v>
      </c>
      <c r="V337" s="3"/>
      <c r="W337" s="3"/>
      <c r="X337" s="3"/>
      <c r="Y337" s="3"/>
      <c r="AA337" s="1554" t="s">
        <v>2672</v>
      </c>
      <c r="AB337" s="1371"/>
      <c r="AC337" s="1371"/>
      <c r="AD337" s="1371"/>
      <c r="AE337" s="1371"/>
      <c r="AF337" s="1371"/>
      <c r="AG337" s="1371"/>
      <c r="AH337" s="1371"/>
      <c r="AI337" s="1371"/>
      <c r="AJ337" s="1371"/>
      <c r="AK337" s="1371"/>
    </row>
    <row r="338" spans="1:66" ht="12.95" customHeight="1">
      <c r="B338" s="3" t="s">
        <v>87</v>
      </c>
      <c r="C338" s="3"/>
      <c r="D338" s="3"/>
      <c r="E338" s="3"/>
      <c r="F338" s="3"/>
      <c r="G338" s="3"/>
      <c r="H338" s="1554" t="s">
        <v>2750</v>
      </c>
      <c r="I338" s="1371"/>
      <c r="J338" s="1371"/>
      <c r="K338" s="1371"/>
      <c r="L338" s="1371"/>
      <c r="M338" s="1371"/>
      <c r="N338" s="1371"/>
      <c r="O338" s="1371"/>
      <c r="P338" s="1371"/>
      <c r="Q338" s="1371"/>
      <c r="R338" s="1371"/>
      <c r="T338" s="3" t="s">
        <v>87</v>
      </c>
      <c r="V338" s="3"/>
      <c r="W338" s="3"/>
      <c r="X338" s="3"/>
      <c r="Y338" s="3"/>
      <c r="AA338" s="1554" t="s">
        <v>2673</v>
      </c>
      <c r="AB338" s="1371"/>
      <c r="AC338" s="1371"/>
      <c r="AD338" s="1371"/>
      <c r="AE338" s="1371"/>
      <c r="AF338" s="1371"/>
      <c r="AG338" s="1371"/>
      <c r="AH338" s="1371"/>
      <c r="AI338" s="1371"/>
      <c r="AJ338" s="1371"/>
      <c r="AK338" s="1371"/>
    </row>
    <row r="339" spans="1:66" ht="12.95" customHeight="1">
      <c r="B339" s="3" t="s">
        <v>88</v>
      </c>
      <c r="C339" s="3"/>
      <c r="D339" s="3"/>
      <c r="E339" s="3"/>
      <c r="F339" s="3"/>
      <c r="G339" s="3"/>
      <c r="H339" s="1830" t="s">
        <v>2751</v>
      </c>
      <c r="I339" s="1706"/>
      <c r="J339" s="1706"/>
      <c r="K339" s="1706"/>
      <c r="L339" s="1706"/>
      <c r="M339" s="1706"/>
      <c r="N339" s="4" t="s">
        <v>206</v>
      </c>
      <c r="O339" s="4"/>
      <c r="P339" s="1441"/>
      <c r="Q339" s="1441"/>
      <c r="R339" s="1441"/>
      <c r="S339" s="3"/>
      <c r="T339" s="3" t="s">
        <v>88</v>
      </c>
      <c r="V339" s="3"/>
      <c r="W339" s="3"/>
      <c r="X339" s="3"/>
      <c r="Y339" s="3"/>
      <c r="AA339" s="1706">
        <v>5102478120</v>
      </c>
      <c r="AB339" s="1706"/>
      <c r="AC339" s="1706"/>
      <c r="AD339" s="1706"/>
      <c r="AE339" s="1706"/>
      <c r="AF339" s="1706"/>
      <c r="AG339" s="4" t="s">
        <v>206</v>
      </c>
      <c r="AH339" s="4"/>
      <c r="AI339" s="1441"/>
      <c r="AJ339" s="1441"/>
      <c r="AK339" s="1441"/>
    </row>
    <row r="340" spans="1:66" ht="12.95" customHeight="1">
      <c r="B340" s="3" t="s">
        <v>89</v>
      </c>
      <c r="C340" s="3"/>
      <c r="D340" s="3"/>
      <c r="E340" s="3"/>
      <c r="F340" s="3"/>
      <c r="G340" s="3"/>
      <c r="H340" s="1482" t="s">
        <v>2752</v>
      </c>
      <c r="I340" s="1460"/>
      <c r="J340" s="1460"/>
      <c r="K340" s="1460"/>
      <c r="L340" s="1460"/>
      <c r="M340" s="1460"/>
      <c r="N340" s="4"/>
      <c r="O340" s="4"/>
      <c r="P340" s="35"/>
      <c r="Q340" s="35"/>
      <c r="R340" s="35"/>
      <c r="S340" s="3"/>
      <c r="T340" s="3" t="s">
        <v>89</v>
      </c>
      <c r="V340" s="3"/>
      <c r="W340" s="3"/>
      <c r="X340" s="3"/>
      <c r="Y340" s="3"/>
      <c r="AA340" s="1482"/>
      <c r="AB340" s="1460"/>
      <c r="AC340" s="1460"/>
      <c r="AD340" s="1460"/>
      <c r="AE340" s="1460"/>
      <c r="AF340" s="1460"/>
      <c r="AG340" s="4"/>
      <c r="AH340" s="4"/>
      <c r="AI340" s="35"/>
      <c r="AJ340" s="35"/>
      <c r="AK340" s="35"/>
    </row>
    <row r="341" spans="1:66" ht="12.95" customHeight="1">
      <c r="B341" s="3" t="s">
        <v>76</v>
      </c>
      <c r="C341" s="3"/>
      <c r="D341" s="3"/>
      <c r="E341" s="3"/>
      <c r="F341" s="3"/>
      <c r="G341" s="3"/>
      <c r="H341" s="1554" t="s">
        <v>2753</v>
      </c>
      <c r="I341" s="1371"/>
      <c r="J341" s="1371"/>
      <c r="K341" s="1371"/>
      <c r="L341" s="1371"/>
      <c r="M341" s="1371"/>
      <c r="N341" s="1357"/>
      <c r="O341" s="1357"/>
      <c r="P341" s="1357"/>
      <c r="Q341" s="1357"/>
      <c r="R341" s="1357"/>
      <c r="S341" s="3"/>
      <c r="T341" s="3" t="s">
        <v>76</v>
      </c>
      <c r="V341" s="3"/>
      <c r="W341" s="3"/>
      <c r="X341" s="3"/>
      <c r="Y341" s="3"/>
      <c r="AA341" s="1554" t="s">
        <v>2674</v>
      </c>
      <c r="AB341" s="1371"/>
      <c r="AC341" s="1371"/>
      <c r="AD341" s="1371"/>
      <c r="AE341" s="1371"/>
      <c r="AF341" s="1371"/>
      <c r="AG341" s="1357"/>
      <c r="AH341" s="1357"/>
      <c r="AI341" s="1357"/>
      <c r="AJ341" s="1357"/>
      <c r="AK341" s="1357"/>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598</v>
      </c>
    </row>
    <row r="343" spans="1:66" ht="12.95" customHeight="1">
      <c r="B343" s="3"/>
      <c r="C343" s="4"/>
      <c r="D343" s="4"/>
      <c r="E343" s="4"/>
      <c r="F343" s="4"/>
      <c r="I343" s="218" t="s">
        <v>899</v>
      </c>
      <c r="P343" s="1356" t="s">
        <v>598</v>
      </c>
      <c r="Q343" s="1357"/>
      <c r="R343" s="1357"/>
      <c r="S343" s="1357"/>
      <c r="T343" s="1357"/>
      <c r="U343" s="1357"/>
      <c r="V343" s="1357"/>
      <c r="W343" s="1357"/>
      <c r="X343" s="1357"/>
      <c r="Y343" s="1357"/>
      <c r="Z343" s="1357"/>
      <c r="AA343" s="1357"/>
      <c r="AB343" s="1357"/>
      <c r="AC343" s="1357"/>
      <c r="AD343" s="1357"/>
      <c r="AE343" s="1357"/>
      <c r="BN343" t="s">
        <v>676</v>
      </c>
    </row>
    <row r="344" spans="1:66" ht="12.95" customHeight="1">
      <c r="B344" s="4"/>
      <c r="C344" s="4"/>
      <c r="D344" s="4"/>
      <c r="E344" s="4"/>
      <c r="F344" s="4"/>
      <c r="I344" s="4" t="s">
        <v>478</v>
      </c>
      <c r="P344" s="1371"/>
      <c r="Q344" s="1371"/>
      <c r="R344" s="1371"/>
      <c r="S344" s="1371"/>
      <c r="T344" s="1371"/>
      <c r="U344" s="1371"/>
      <c r="V344" s="1371"/>
      <c r="W344" s="1371"/>
      <c r="X344" s="1371"/>
      <c r="Y344" s="1371"/>
      <c r="Z344" s="1371"/>
      <c r="AA344" s="1371"/>
      <c r="AB344" s="1371"/>
      <c r="AC344" s="1371"/>
      <c r="AD344" s="1371"/>
      <c r="AE344" s="1371"/>
      <c r="BN344" t="s">
        <v>552</v>
      </c>
    </row>
    <row r="345" spans="1:66" ht="12.95" customHeight="1">
      <c r="B345" s="4"/>
      <c r="C345" s="4"/>
      <c r="D345" s="4"/>
      <c r="E345" s="4"/>
      <c r="F345" s="4"/>
      <c r="I345" s="4" t="s">
        <v>75</v>
      </c>
      <c r="P345" s="1371"/>
      <c r="Q345" s="1371"/>
      <c r="R345" s="1371"/>
      <c r="S345" s="1371"/>
      <c r="T345" s="1371"/>
      <c r="U345" s="1371"/>
      <c r="V345" s="1371"/>
      <c r="W345" s="1371"/>
      <c r="X345" s="1371"/>
      <c r="Y345" s="1371"/>
      <c r="Z345" s="1371"/>
      <c r="AA345" s="1371"/>
      <c r="AB345" s="1371"/>
      <c r="AC345" s="1371"/>
      <c r="AD345" s="1371"/>
      <c r="AE345" s="1371"/>
    </row>
    <row r="346" spans="1:66" ht="12.95" customHeight="1">
      <c r="B346" s="4"/>
      <c r="C346" s="4"/>
      <c r="D346" s="4"/>
      <c r="E346" s="4"/>
      <c r="F346" s="4"/>
      <c r="G346" s="4"/>
      <c r="I346" s="4" t="s">
        <v>87</v>
      </c>
      <c r="P346" s="1371"/>
      <c r="Q346" s="1371"/>
      <c r="R346" s="1371"/>
      <c r="S346" s="1371"/>
      <c r="T346" s="1371"/>
      <c r="U346" s="1371"/>
      <c r="V346" s="1371"/>
      <c r="W346" s="1371"/>
      <c r="X346" s="1371"/>
      <c r="Y346" s="1371"/>
      <c r="Z346" s="1371"/>
      <c r="AA346" s="1371"/>
      <c r="AB346" s="1371"/>
      <c r="AC346" s="1371"/>
      <c r="AD346" s="1371"/>
      <c r="AE346" s="1371"/>
    </row>
    <row r="347" spans="1:66" ht="12.95" customHeight="1">
      <c r="B347" s="4"/>
      <c r="C347" s="4"/>
      <c r="D347" s="4"/>
      <c r="E347" s="4"/>
      <c r="F347" s="4"/>
      <c r="G347" s="4"/>
      <c r="H347" s="324"/>
      <c r="I347" s="4" t="s">
        <v>88</v>
      </c>
      <c r="P347" s="1460"/>
      <c r="Q347" s="1460"/>
      <c r="R347" s="1460"/>
      <c r="S347" s="1460"/>
      <c r="T347" s="1460"/>
      <c r="U347" s="1460"/>
      <c r="V347" s="1460"/>
      <c r="W347" s="1460"/>
      <c r="X347" s="1460"/>
      <c r="Y347" s="1460"/>
      <c r="Z347" s="1460"/>
      <c r="AA347" s="4" t="s">
        <v>206</v>
      </c>
      <c r="AB347" s="4"/>
      <c r="AC347" s="1455"/>
      <c r="AD347" s="1455"/>
      <c r="AE347" s="1455"/>
      <c r="AF347" s="324"/>
      <c r="AG347" s="4"/>
      <c r="AH347" s="4"/>
      <c r="AI347" s="4"/>
      <c r="AJ347" s="4"/>
      <c r="AK347" s="4"/>
    </row>
    <row r="348" spans="1:66" ht="12.95" customHeight="1">
      <c r="B348" s="4"/>
      <c r="C348" s="4"/>
      <c r="D348" s="4"/>
      <c r="E348" s="4"/>
      <c r="F348" s="4"/>
      <c r="G348" s="4"/>
      <c r="H348" s="324"/>
      <c r="I348" s="4" t="s">
        <v>89</v>
      </c>
      <c r="P348" s="1460"/>
      <c r="Q348" s="1460"/>
      <c r="R348" s="1460"/>
      <c r="S348" s="1460"/>
      <c r="T348" s="1460"/>
      <c r="U348" s="1460"/>
      <c r="V348" s="1460"/>
      <c r="W348" s="1460"/>
      <c r="X348" s="1460"/>
      <c r="Y348" s="1460"/>
      <c r="Z348" s="1460"/>
      <c r="AF348" s="324"/>
      <c r="AG348" s="4"/>
      <c r="AH348" s="4"/>
      <c r="AI348" s="35"/>
      <c r="AJ348" s="35"/>
      <c r="AK348" s="35"/>
    </row>
    <row r="349" spans="1:66" ht="12.95" customHeight="1">
      <c r="B349" s="4"/>
      <c r="C349" s="4"/>
      <c r="D349" s="4"/>
      <c r="E349" s="4"/>
      <c r="F349" s="4"/>
      <c r="G349" s="4"/>
      <c r="I349" s="4" t="s">
        <v>76</v>
      </c>
      <c r="P349" s="1357"/>
      <c r="Q349" s="1357"/>
      <c r="R349" s="1357"/>
      <c r="S349" s="1357"/>
      <c r="T349" s="1357"/>
      <c r="U349" s="1357"/>
      <c r="V349" s="1357"/>
      <c r="W349" s="1357"/>
      <c r="X349" s="1357"/>
      <c r="Y349" s="1357"/>
      <c r="Z349" s="1357"/>
      <c r="AA349" s="1357"/>
      <c r="AB349" s="1357"/>
      <c r="AC349" s="1357"/>
      <c r="AD349" s="1357"/>
      <c r="AE349" s="1357"/>
    </row>
    <row r="350" spans="1:66" ht="12.95" customHeight="1">
      <c r="T350" s="8"/>
      <c r="U350" s="8"/>
      <c r="V350" s="8"/>
      <c r="W350" s="8"/>
      <c r="X350" s="8"/>
      <c r="Y350" s="8"/>
      <c r="Z350" s="8"/>
      <c r="AU350" s="95"/>
      <c r="AV350" s="95"/>
      <c r="AW350" s="95"/>
      <c r="AX350" s="95"/>
      <c r="AY350" s="95"/>
    </row>
    <row r="351" spans="1:66" ht="12.95" customHeight="1">
      <c r="A351" s="1446" t="s">
        <v>549</v>
      </c>
      <c r="B351" s="1446"/>
      <c r="C351" s="1446"/>
      <c r="D351" s="1446"/>
      <c r="E351" s="1446"/>
      <c r="F351" s="1446"/>
      <c r="G351" s="1446"/>
      <c r="H351" s="1446"/>
      <c r="I351" s="1446"/>
      <c r="J351" s="1446"/>
      <c r="K351" s="1446"/>
      <c r="L351" s="1446"/>
      <c r="M351" s="1446"/>
      <c r="N351" s="1446"/>
      <c r="O351" s="1446"/>
      <c r="P351" s="1446"/>
      <c r="Q351" s="1446"/>
      <c r="R351" s="1446"/>
      <c r="S351" s="1446"/>
      <c r="T351" s="1446"/>
      <c r="U351" s="1446"/>
      <c r="V351" s="1446"/>
      <c r="W351" s="1446"/>
      <c r="X351" s="1446"/>
      <c r="Y351" s="1446"/>
      <c r="Z351" s="1446"/>
      <c r="AA351" s="1446"/>
      <c r="AB351" s="1446"/>
      <c r="AC351" s="1446"/>
      <c r="AD351" s="1446"/>
      <c r="AE351" s="1446"/>
      <c r="AF351" s="1446"/>
      <c r="AG351" s="1446"/>
      <c r="AH351" s="1446"/>
      <c r="AI351" s="1446"/>
      <c r="AJ351" s="1446"/>
      <c r="AK351" s="1446"/>
      <c r="AL351" s="1446"/>
      <c r="AM351" s="1446"/>
      <c r="AN351" s="1446"/>
      <c r="AO351" s="1446"/>
      <c r="AP351" s="1446"/>
      <c r="AQ351" s="1446"/>
      <c r="AR351" s="1446"/>
      <c r="AS351" s="1446"/>
      <c r="AT351" s="1446"/>
      <c r="AU351" s="95"/>
      <c r="AV351" s="95"/>
      <c r="AW351" s="95"/>
      <c r="AX351" s="95"/>
      <c r="AY351" s="95"/>
    </row>
    <row r="352" spans="1:66" ht="12.95" customHeight="1">
      <c r="A352" s="1446"/>
      <c r="B352" s="1446"/>
      <c r="C352" s="1446"/>
      <c r="D352" s="1446"/>
      <c r="E352" s="1446"/>
      <c r="F352" s="1446"/>
      <c r="G352" s="1446"/>
      <c r="H352" s="1446"/>
      <c r="I352" s="1446"/>
      <c r="J352" s="1446"/>
      <c r="K352" s="1446"/>
      <c r="L352" s="1446"/>
      <c r="M352" s="1446"/>
      <c r="N352" s="1446"/>
      <c r="O352" s="1446"/>
      <c r="P352" s="1446"/>
      <c r="Q352" s="1446"/>
      <c r="R352" s="1446"/>
      <c r="S352" s="1446"/>
      <c r="T352" s="1446"/>
      <c r="U352" s="1446"/>
      <c r="V352" s="1446"/>
      <c r="W352" s="1446"/>
      <c r="X352" s="1446"/>
      <c r="Y352" s="1446"/>
      <c r="Z352" s="1446"/>
      <c r="AA352" s="1446"/>
      <c r="AB352" s="1446"/>
      <c r="AC352" s="1446"/>
      <c r="AD352" s="1446"/>
      <c r="AE352" s="1446"/>
      <c r="AF352" s="1446"/>
      <c r="AG352" s="1446"/>
      <c r="AH352" s="1446"/>
      <c r="AI352" s="1446"/>
      <c r="AJ352" s="1446"/>
      <c r="AK352" s="1446"/>
      <c r="AL352" s="1446"/>
      <c r="AM352" s="1446"/>
      <c r="AN352" s="1446"/>
      <c r="AO352" s="1446"/>
      <c r="AP352" s="1446"/>
      <c r="AQ352" s="1446"/>
      <c r="AR352" s="1446"/>
      <c r="AS352" s="1446"/>
      <c r="AT352" s="1446"/>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790</v>
      </c>
    </row>
    <row r="355" spans="1:46" ht="12.95" customHeight="1">
      <c r="D355" s="3" t="s">
        <v>2415</v>
      </c>
      <c r="M355" s="1358" t="s">
        <v>552</v>
      </c>
      <c r="N355" s="1358"/>
      <c r="P355" t="s">
        <v>1761</v>
      </c>
      <c r="AJ355" s="1358" t="s">
        <v>598</v>
      </c>
      <c r="AK355" s="1358"/>
    </row>
    <row r="356" spans="1:46" ht="12.95" customHeight="1">
      <c r="D356" s="3" t="s">
        <v>1750</v>
      </c>
      <c r="M356" s="1358" t="s">
        <v>598</v>
      </c>
      <c r="N356" s="1358"/>
      <c r="P356" s="3" t="s">
        <v>1907</v>
      </c>
      <c r="AJ356" s="1360"/>
      <c r="AK356" s="1360"/>
    </row>
    <row r="357" spans="1:46" ht="12.95" customHeight="1">
      <c r="D357" s="3" t="s">
        <v>712</v>
      </c>
      <c r="M357" s="1358" t="s">
        <v>598</v>
      </c>
      <c r="N357" s="1358"/>
      <c r="P357" t="s">
        <v>1760</v>
      </c>
      <c r="AJ357" s="1358" t="s">
        <v>598</v>
      </c>
      <c r="AK357" s="1358"/>
    </row>
    <row r="358" spans="1:46" ht="12.95" customHeight="1">
      <c r="D358" s="3" t="s">
        <v>713</v>
      </c>
      <c r="M358" s="1358" t="s">
        <v>598</v>
      </c>
      <c r="N358" s="1358"/>
      <c r="Q358" s="4"/>
    </row>
    <row r="359" spans="1:46" ht="12.95" customHeight="1">
      <c r="Q359" s="4"/>
    </row>
    <row r="360" spans="1:46" ht="12.95" customHeight="1">
      <c r="Q360" s="4"/>
    </row>
    <row r="361" spans="1:46" ht="12.95" customHeight="1">
      <c r="A361" s="2" t="s">
        <v>583</v>
      </c>
      <c r="B361" s="2"/>
      <c r="C361" s="2" t="s">
        <v>559</v>
      </c>
      <c r="D361" s="2"/>
    </row>
    <row r="362" spans="1:46" ht="12.95"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185</v>
      </c>
      <c r="E363" s="40"/>
      <c r="F363" s="40"/>
      <c r="G363" s="40"/>
      <c r="H363" s="40"/>
      <c r="I363" s="40"/>
      <c r="J363" s="40"/>
      <c r="K363" s="40"/>
      <c r="L363" s="40"/>
      <c r="M363" s="40"/>
      <c r="N363" s="1358" t="s">
        <v>598</v>
      </c>
      <c r="O363" s="1358"/>
      <c r="P363" s="40"/>
      <c r="Q363" s="40"/>
      <c r="R363" s="40"/>
      <c r="S363" s="40"/>
      <c r="T363" s="40"/>
      <c r="U363" s="40"/>
      <c r="V363" s="40"/>
      <c r="W363" s="40"/>
      <c r="X363" s="40"/>
      <c r="Y363" s="40"/>
      <c r="Z363" s="40"/>
      <c r="AC363" s="40"/>
      <c r="AD363" s="40"/>
      <c r="AE363" s="40"/>
    </row>
    <row r="364" spans="1:46" ht="12.95" customHeight="1">
      <c r="E364" t="s">
        <v>370</v>
      </c>
      <c r="Y364" s="1358" t="s">
        <v>598</v>
      </c>
      <c r="Z364" s="1358"/>
    </row>
    <row r="365" spans="1:46" ht="12.95" customHeight="1">
      <c r="D365" s="4" t="s">
        <v>995</v>
      </c>
      <c r="Q365" s="1357"/>
      <c r="R365" s="1357"/>
      <c r="S365" s="1357"/>
      <c r="T365" s="1357"/>
      <c r="U365" s="1357"/>
      <c r="V365" s="1357"/>
      <c r="W365" s="1357"/>
      <c r="X365" s="1357"/>
      <c r="Y365" s="1357"/>
      <c r="Z365" s="1357"/>
      <c r="AA365" s="1357"/>
      <c r="AB365" s="1357"/>
      <c r="AC365" s="1357"/>
      <c r="AD365" s="1357"/>
      <c r="AE365" s="1357"/>
      <c r="AF365" s="1357"/>
      <c r="AG365" s="1357"/>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358" t="s">
        <v>598</v>
      </c>
      <c r="K367" s="1358"/>
      <c r="L367" s="40"/>
      <c r="M367" s="40"/>
      <c r="N367" s="40"/>
      <c r="O367" s="40"/>
      <c r="P367" s="40"/>
      <c r="Q367" s="40"/>
      <c r="R367" s="40"/>
      <c r="S367" s="40"/>
      <c r="T367" s="40"/>
      <c r="U367" s="40"/>
      <c r="V367" s="40"/>
      <c r="W367" s="40"/>
      <c r="X367" s="40"/>
      <c r="Y367" s="40"/>
      <c r="Z367" s="40"/>
      <c r="AC367" s="40"/>
      <c r="AD367" s="40"/>
      <c r="AE367" s="40"/>
    </row>
    <row r="368" spans="1:46" ht="12.95" customHeight="1">
      <c r="E368" s="1440" t="s">
        <v>714</v>
      </c>
      <c r="F368" s="1440"/>
      <c r="G368" s="1440"/>
      <c r="H368" s="1440"/>
      <c r="I368" s="1440"/>
      <c r="J368" s="1440"/>
      <c r="K368" s="1440"/>
      <c r="L368" s="1440"/>
      <c r="M368" s="1440"/>
      <c r="N368" s="1440"/>
      <c r="O368" s="1440"/>
      <c r="P368" s="1440"/>
      <c r="Q368" s="1440"/>
      <c r="R368" s="1440"/>
      <c r="S368" s="1440"/>
      <c r="T368" s="1440"/>
      <c r="U368" s="1440"/>
      <c r="V368" s="1440"/>
      <c r="W368" s="1440"/>
      <c r="X368" s="1440"/>
      <c r="Y368" s="1440"/>
      <c r="Z368" s="1440"/>
      <c r="AA368" s="1440"/>
      <c r="AB368" s="1440"/>
      <c r="AC368" s="1440"/>
      <c r="AD368" s="1440"/>
      <c r="AE368" s="1440"/>
      <c r="AF368" s="1440"/>
      <c r="AG368" s="1440"/>
      <c r="AH368" s="1440"/>
    </row>
    <row r="369" spans="1:34" ht="12.95" customHeight="1">
      <c r="E369" s="1440"/>
      <c r="F369" s="1440"/>
      <c r="G369" s="1440"/>
      <c r="H369" s="1440"/>
      <c r="I369" s="1440"/>
      <c r="J369" s="1440"/>
      <c r="K369" s="1440"/>
      <c r="L369" s="1440"/>
      <c r="M369" s="1440"/>
      <c r="N369" s="1440"/>
      <c r="O369" s="1440"/>
      <c r="P369" s="1440"/>
      <c r="Q369" s="1440"/>
      <c r="R369" s="1440"/>
      <c r="S369" s="1440"/>
      <c r="T369" s="1440"/>
      <c r="U369" s="1440"/>
      <c r="V369" s="1440"/>
      <c r="W369" s="1440"/>
      <c r="X369" s="1440"/>
      <c r="Y369" s="1440"/>
      <c r="Z369" s="1440"/>
      <c r="AA369" s="1440"/>
      <c r="AB369" s="1440"/>
      <c r="AC369" s="1440"/>
      <c r="AD369" s="1440"/>
      <c r="AE369" s="1440"/>
      <c r="AF369" s="1440"/>
      <c r="AG369" s="1440"/>
      <c r="AH369" s="1440"/>
    </row>
    <row r="370" spans="1:34" ht="12.95" customHeight="1">
      <c r="E370" s="4" t="s">
        <v>455</v>
      </c>
      <c r="F370" s="4"/>
      <c r="G370" s="4"/>
      <c r="H370" s="4"/>
      <c r="I370" s="4"/>
      <c r="J370" s="4"/>
      <c r="K370" s="4"/>
      <c r="L370" s="4"/>
      <c r="N370" s="1631"/>
      <c r="O370" s="1631"/>
      <c r="P370" s="1631"/>
      <c r="Q370" s="1631"/>
      <c r="R370" s="4"/>
      <c r="U370" s="4" t="s">
        <v>456</v>
      </c>
      <c r="V370" s="4"/>
      <c r="W370" s="4"/>
      <c r="X370" s="4"/>
      <c r="Y370" s="4"/>
      <c r="Z370" s="4"/>
      <c r="AA370" s="4"/>
      <c r="AB370" s="4"/>
      <c r="AC370" s="1631"/>
      <c r="AD370" s="1631"/>
      <c r="AE370" s="1631"/>
      <c r="AF370" s="1631"/>
    </row>
    <row r="371" spans="1:34" ht="12.95" customHeight="1">
      <c r="E371" s="4" t="s">
        <v>457</v>
      </c>
      <c r="F371" s="4"/>
      <c r="G371" s="4"/>
      <c r="H371" s="4"/>
      <c r="I371" s="4"/>
      <c r="J371" s="4"/>
      <c r="K371" s="4"/>
      <c r="L371" s="4"/>
      <c r="N371" s="1631"/>
      <c r="O371" s="1631"/>
      <c r="P371" s="1631"/>
      <c r="Q371" s="1631"/>
      <c r="R371" s="4"/>
      <c r="U371" s="4" t="s">
        <v>0</v>
      </c>
      <c r="V371" s="4"/>
      <c r="W371" s="4"/>
      <c r="X371" s="4"/>
      <c r="Y371" s="4"/>
      <c r="Z371" s="4"/>
      <c r="AA371" s="4"/>
      <c r="AB371" s="4"/>
      <c r="AC371" s="1631"/>
      <c r="AD371" s="1631"/>
      <c r="AE371" s="1631"/>
      <c r="AF371" s="1631"/>
    </row>
    <row r="372" spans="1:34" ht="12.95" customHeight="1">
      <c r="E372" s="4" t="s">
        <v>1</v>
      </c>
      <c r="F372" s="4"/>
      <c r="G372" s="4"/>
      <c r="H372" s="4"/>
      <c r="I372" s="4"/>
      <c r="J372" s="4"/>
      <c r="K372" s="4"/>
      <c r="L372" s="4"/>
      <c r="N372" s="1631"/>
      <c r="O372" s="1631"/>
      <c r="P372" s="1631"/>
      <c r="Q372" s="1631"/>
      <c r="R372" s="4"/>
      <c r="V372" s="4"/>
      <c r="W372" s="4"/>
      <c r="X372" s="4"/>
      <c r="Y372" s="4"/>
      <c r="Z372" s="4"/>
      <c r="AA372" s="4"/>
      <c r="AB372" s="4"/>
    </row>
    <row r="373" spans="1:34" ht="12.95" customHeight="1">
      <c r="E373" s="4" t="s">
        <v>2</v>
      </c>
      <c r="F373" s="4"/>
      <c r="G373" s="4"/>
      <c r="H373" s="4"/>
      <c r="I373" s="4"/>
      <c r="J373" s="4"/>
      <c r="K373" s="4"/>
      <c r="L373" s="4"/>
      <c r="N373" s="1861"/>
      <c r="O373" s="1861"/>
      <c r="P373" s="1861"/>
      <c r="Q373" s="1861"/>
      <c r="R373" s="1861"/>
      <c r="S373" s="1861"/>
      <c r="T373" s="1861"/>
      <c r="U373" s="1861"/>
      <c r="V373" s="1861"/>
      <c r="W373" s="1861"/>
      <c r="X373" s="1861"/>
      <c r="Y373" s="1861"/>
      <c r="Z373" s="1861"/>
      <c r="AA373" s="1861"/>
      <c r="AB373" s="1861"/>
      <c r="AC373" s="1861"/>
      <c r="AD373" s="1861"/>
      <c r="AE373" s="1861"/>
      <c r="AF373" s="1861"/>
    </row>
    <row r="374" spans="1:34" ht="12.95" customHeight="1">
      <c r="E374" s="4"/>
      <c r="F374" s="4"/>
      <c r="G374" s="4"/>
      <c r="H374" s="4"/>
      <c r="I374" s="4"/>
      <c r="J374" s="4"/>
      <c r="K374" s="4"/>
      <c r="L374" s="4"/>
      <c r="N374" s="1862"/>
      <c r="O374" s="1862"/>
      <c r="P374" s="1862"/>
      <c r="Q374" s="1862"/>
      <c r="R374" s="1862"/>
      <c r="S374" s="1862"/>
      <c r="T374" s="1862"/>
      <c r="U374" s="1862"/>
      <c r="V374" s="1862"/>
      <c r="W374" s="1862"/>
      <c r="X374" s="1862"/>
      <c r="Y374" s="1862"/>
      <c r="Z374" s="1862"/>
      <c r="AA374" s="1862"/>
      <c r="AB374" s="1862"/>
      <c r="AC374" s="1862"/>
      <c r="AD374" s="1862"/>
      <c r="AE374" s="1862"/>
      <c r="AF374" s="1862"/>
    </row>
    <row r="375" spans="1:34" ht="12.95" customHeight="1">
      <c r="C375" s="546"/>
      <c r="E375" s="4"/>
      <c r="F375" s="4"/>
      <c r="G375" s="4"/>
      <c r="H375" s="4"/>
      <c r="I375" s="4"/>
      <c r="J375" s="4"/>
      <c r="K375" s="4"/>
      <c r="L375" s="4"/>
    </row>
    <row r="376" spans="1:34" ht="12.95" customHeight="1">
      <c r="D376" s="2" t="s">
        <v>992</v>
      </c>
      <c r="E376" s="2"/>
      <c r="F376" s="4"/>
      <c r="G376" s="4"/>
      <c r="H376" s="4"/>
      <c r="I376" s="4"/>
      <c r="J376" s="4"/>
      <c r="K376" s="4"/>
      <c r="L376" s="4"/>
    </row>
    <row r="377" spans="1:34" ht="12.95" customHeight="1">
      <c r="E377" s="4" t="s">
        <v>2399</v>
      </c>
      <c r="F377" s="4"/>
      <c r="G377" s="4"/>
      <c r="H377" s="4"/>
      <c r="I377" s="4"/>
      <c r="J377" s="4"/>
      <c r="K377" s="4"/>
      <c r="L377" s="4"/>
      <c r="N377" t="s">
        <v>2394</v>
      </c>
      <c r="R377" s="27" t="s">
        <v>305</v>
      </c>
      <c r="S377" s="1682"/>
      <c r="T377" s="1682"/>
      <c r="U377" s="1" t="s">
        <v>306</v>
      </c>
      <c r="V377" s="1682"/>
      <c r="W377" s="1682"/>
      <c r="Y377" t="s">
        <v>2394</v>
      </c>
      <c r="AC377" s="27" t="s">
        <v>305</v>
      </c>
      <c r="AD377" s="1682"/>
      <c r="AE377" s="1682"/>
      <c r="AF377" s="1" t="s">
        <v>306</v>
      </c>
      <c r="AG377" s="1682"/>
      <c r="AH377" s="1682"/>
    </row>
    <row r="378" spans="1:34" ht="12.95" customHeight="1">
      <c r="E378" s="4" t="s">
        <v>1009</v>
      </c>
      <c r="F378" s="4"/>
      <c r="G378" s="4"/>
      <c r="H378" s="4"/>
      <c r="I378" s="4"/>
      <c r="J378" s="4"/>
      <c r="K378" s="4"/>
      <c r="L378" s="4"/>
      <c r="N378" s="1682"/>
      <c r="O378" s="1682"/>
      <c r="P378" s="1682"/>
    </row>
    <row r="379" spans="1:34" ht="12.95" customHeight="1">
      <c r="E379" s="218" t="s">
        <v>2400</v>
      </c>
      <c r="F379" s="4"/>
      <c r="G379" s="4"/>
      <c r="H379" s="4"/>
      <c r="I379" s="4"/>
      <c r="J379" s="4"/>
      <c r="K379" s="4"/>
      <c r="L379" s="4"/>
      <c r="AG379" s="1690" t="s">
        <v>598</v>
      </c>
      <c r="AH379" s="1690"/>
    </row>
    <row r="380" spans="1:34" ht="12.95" customHeight="1">
      <c r="E380" s="4"/>
      <c r="F380" s="4"/>
      <c r="G380" s="4" t="s">
        <v>2401</v>
      </c>
      <c r="H380" s="4"/>
      <c r="I380" s="4"/>
      <c r="J380" s="4"/>
      <c r="K380" s="4"/>
      <c r="L380" s="4"/>
      <c r="AG380" s="1690" t="s">
        <v>598</v>
      </c>
      <c r="AH380" s="1690"/>
    </row>
    <row r="381" spans="1:34" ht="12.95" customHeight="1">
      <c r="E381" s="4"/>
      <c r="F381" s="4"/>
      <c r="G381" s="348" t="s">
        <v>1010</v>
      </c>
      <c r="H381" s="4"/>
      <c r="I381" s="4"/>
      <c r="J381" s="4"/>
      <c r="K381" s="4"/>
      <c r="L381" s="4"/>
      <c r="V381" s="1358" t="s">
        <v>598</v>
      </c>
      <c r="W381" s="1358"/>
      <c r="Y381" s="22" t="s">
        <v>997</v>
      </c>
    </row>
    <row r="382" spans="1:34" ht="12.95" customHeight="1">
      <c r="E382" s="4" t="s">
        <v>998</v>
      </c>
      <c r="F382" s="4"/>
      <c r="G382" s="4"/>
      <c r="H382" s="4"/>
      <c r="I382" s="4"/>
      <c r="J382" s="4"/>
      <c r="K382" s="4"/>
      <c r="L382" s="4"/>
      <c r="V382" s="1358" t="s">
        <v>598</v>
      </c>
      <c r="W382" s="1358"/>
      <c r="Y382" s="4" t="s">
        <v>999</v>
      </c>
    </row>
    <row r="383" spans="1:34" ht="12.95" customHeight="1"/>
    <row r="384" spans="1:34" ht="12.95" customHeight="1">
      <c r="A384" s="2" t="s">
        <v>78</v>
      </c>
      <c r="B384" s="2"/>
    </row>
    <row r="385" spans="4:36" ht="12.95" customHeight="1">
      <c r="D385" t="s">
        <v>428</v>
      </c>
      <c r="J385" s="1357" t="s">
        <v>2688</v>
      </c>
      <c r="K385" s="1357"/>
      <c r="L385" s="1357"/>
      <c r="M385" s="1357"/>
      <c r="N385" s="1357"/>
      <c r="O385" s="1357"/>
      <c r="P385" s="1357"/>
      <c r="Q385" s="1357"/>
      <c r="R385" s="1357"/>
      <c r="S385" s="1357"/>
      <c r="T385" s="1357"/>
      <c r="U385" s="1357"/>
      <c r="V385" s="8" t="s">
        <v>83</v>
      </c>
      <c r="W385" s="8"/>
      <c r="X385" s="8"/>
      <c r="Y385" s="8"/>
      <c r="Z385" s="8"/>
      <c r="AA385" s="8"/>
      <c r="AB385" s="8"/>
      <c r="AC385" s="1357" t="s">
        <v>2690</v>
      </c>
      <c r="AD385" s="1357"/>
      <c r="AE385" s="1357"/>
      <c r="AF385" s="1357"/>
      <c r="AG385" s="1357"/>
      <c r="AH385" s="1357"/>
      <c r="AI385" s="1357"/>
      <c r="AJ385" s="1357"/>
    </row>
    <row r="386" spans="4:36" ht="12.95" customHeight="1">
      <c r="D386" s="3" t="s">
        <v>1286</v>
      </c>
      <c r="J386" s="1371" t="s">
        <v>2690</v>
      </c>
      <c r="K386" s="1371"/>
      <c r="L386" s="1371"/>
      <c r="M386" s="1371"/>
      <c r="N386" s="1371"/>
      <c r="O386" s="1371"/>
      <c r="P386" s="1371"/>
      <c r="Q386" s="1371"/>
      <c r="R386" s="1371"/>
      <c r="S386" s="1371"/>
      <c r="T386" s="1371"/>
      <c r="U386" s="1371"/>
      <c r="V386" s="3" t="s">
        <v>1286</v>
      </c>
      <c r="W386" s="8"/>
      <c r="X386" s="8"/>
      <c r="Y386" s="8"/>
      <c r="Z386" s="8"/>
      <c r="AA386" s="8"/>
      <c r="AB386" s="8"/>
      <c r="AC386" s="1357"/>
      <c r="AD386" s="1357"/>
      <c r="AE386" s="1357"/>
      <c r="AF386" s="1357"/>
      <c r="AG386" s="1357"/>
      <c r="AH386" s="1357"/>
      <c r="AI386" s="1357"/>
      <c r="AJ386" s="1357"/>
    </row>
    <row r="387" spans="4:36" ht="12.95" customHeight="1">
      <c r="D387" s="3" t="s">
        <v>442</v>
      </c>
      <c r="J387" s="1371" t="s">
        <v>2691</v>
      </c>
      <c r="K387" s="1371"/>
      <c r="L387" s="1371"/>
      <c r="M387" s="1371"/>
      <c r="N387" s="1371"/>
      <c r="O387" s="1371"/>
      <c r="P387" s="1371"/>
      <c r="Q387" s="1371"/>
      <c r="R387" s="1371"/>
      <c r="S387" s="1371"/>
      <c r="T387" s="1371"/>
      <c r="U387" s="1371"/>
      <c r="V387" s="3" t="s">
        <v>442</v>
      </c>
      <c r="W387" s="8"/>
      <c r="X387" s="8"/>
      <c r="Y387" s="8"/>
      <c r="Z387" s="8"/>
      <c r="AA387" s="8"/>
      <c r="AB387" s="8"/>
      <c r="AC387" s="1357"/>
      <c r="AD387" s="1357"/>
      <c r="AE387" s="1357"/>
      <c r="AF387" s="1357"/>
      <c r="AG387" s="1357"/>
      <c r="AH387" s="1357"/>
      <c r="AI387" s="1357"/>
      <c r="AJ387" s="1357"/>
    </row>
    <row r="388" spans="4:36" ht="12.95" customHeight="1">
      <c r="D388" t="s">
        <v>1282</v>
      </c>
      <c r="J388" s="1421" t="s">
        <v>2692</v>
      </c>
      <c r="K388" s="1421"/>
      <c r="L388" s="1421"/>
      <c r="M388" s="1421"/>
      <c r="N388" s="1421"/>
      <c r="O388" s="1421"/>
      <c r="P388" s="1421"/>
      <c r="Q388" s="1421"/>
      <c r="R388" s="1421"/>
      <c r="S388" s="1421"/>
      <c r="T388" s="1421"/>
      <c r="U388" s="1421"/>
      <c r="V388" s="1357" t="s">
        <v>2727</v>
      </c>
      <c r="W388" s="1357"/>
      <c r="X388" s="1357"/>
      <c r="Y388" s="1357"/>
      <c r="Z388" s="1357"/>
      <c r="AA388" s="1357"/>
      <c r="AB388" s="1357"/>
      <c r="AC388" s="1357"/>
      <c r="AD388" s="1357"/>
      <c r="AE388" s="1357"/>
      <c r="AF388" s="1357"/>
      <c r="AG388" s="1357"/>
      <c r="AH388" s="1357"/>
      <c r="AI388" s="1357"/>
      <c r="AJ388" s="1357"/>
    </row>
    <row r="389" spans="4:36" ht="12.95" customHeight="1">
      <c r="D389" t="s">
        <v>4</v>
      </c>
      <c r="Q389" s="1686">
        <v>45385</v>
      </c>
      <c r="R389" s="1686"/>
      <c r="S389" s="1686"/>
      <c r="T389" s="1686"/>
      <c r="U389" s="1686"/>
      <c r="V389" t="s">
        <v>309</v>
      </c>
      <c r="AI389" s="1358" t="s">
        <v>676</v>
      </c>
      <c r="AJ389" s="1358"/>
    </row>
    <row r="390" spans="4:36" ht="12.95" customHeight="1">
      <c r="D390" t="s">
        <v>5</v>
      </c>
      <c r="Q390" s="1574">
        <v>46084</v>
      </c>
      <c r="R390" s="1683"/>
      <c r="S390" s="1683"/>
      <c r="T390" s="1683"/>
      <c r="U390" s="1683"/>
      <c r="W390" s="21" t="s">
        <v>74</v>
      </c>
      <c r="AG390" s="1680"/>
      <c r="AH390" s="1680"/>
      <c r="AI390" s="1680"/>
      <c r="AJ390" s="1680"/>
    </row>
    <row r="391" spans="4:36" ht="12.95" customHeight="1">
      <c r="D391" t="s">
        <v>427</v>
      </c>
      <c r="Q391" s="1681">
        <v>0</v>
      </c>
      <c r="R391" s="1681"/>
      <c r="S391" s="1681"/>
      <c r="T391" s="1681"/>
      <c r="U391" s="1681"/>
      <c r="V391" s="3" t="s">
        <v>1285</v>
      </c>
      <c r="AG391" s="1839">
        <v>45689</v>
      </c>
      <c r="AH391" s="1839"/>
      <c r="AI391" s="1839"/>
      <c r="AJ391" s="1839"/>
    </row>
    <row r="392" spans="4:36" ht="12.95" customHeight="1">
      <c r="D392" t="s">
        <v>88</v>
      </c>
      <c r="I392" s="1706" t="s">
        <v>2693</v>
      </c>
      <c r="J392" s="1706"/>
      <c r="K392" s="1706"/>
      <c r="L392" s="1706"/>
      <c r="M392" s="1706"/>
      <c r="N392" s="1706"/>
      <c r="Q392" s="4" t="s">
        <v>206</v>
      </c>
      <c r="S392" s="1685"/>
      <c r="T392" s="1685"/>
      <c r="U392" s="1685"/>
      <c r="V392" t="s">
        <v>73</v>
      </c>
      <c r="AI392" s="1358" t="s">
        <v>676</v>
      </c>
      <c r="AJ392" s="1358"/>
    </row>
    <row r="393" spans="4:36" ht="12.95" customHeight="1">
      <c r="D393" t="s">
        <v>310</v>
      </c>
      <c r="Q393" s="1424">
        <v>0</v>
      </c>
      <c r="R393" s="1424"/>
      <c r="S393" s="1424"/>
      <c r="T393" s="1424"/>
      <c r="U393" s="1424"/>
      <c r="V393" t="s">
        <v>311</v>
      </c>
      <c r="AG393" s="1680">
        <v>110639</v>
      </c>
      <c r="AH393" s="1680"/>
      <c r="AI393" s="1680"/>
      <c r="AJ393" s="1680"/>
    </row>
    <row r="394" spans="4:36" ht="12.95" customHeight="1">
      <c r="D394" t="s">
        <v>312</v>
      </c>
      <c r="Q394" s="1863"/>
      <c r="R394" s="1863"/>
      <c r="S394" s="1863"/>
      <c r="T394" s="1863"/>
      <c r="U394" s="1863"/>
      <c r="V394" t="s">
        <v>1266</v>
      </c>
      <c r="AG394" s="1680">
        <v>0</v>
      </c>
      <c r="AH394" s="1680"/>
      <c r="AI394" s="1680"/>
      <c r="AJ394" s="1680"/>
    </row>
    <row r="395" spans="4:36" ht="12.95" customHeight="1">
      <c r="D395" t="s">
        <v>1265</v>
      </c>
      <c r="AG395" s="1680">
        <v>0</v>
      </c>
      <c r="AH395" s="1680"/>
      <c r="AI395" s="1680"/>
      <c r="AJ395" s="1680"/>
    </row>
    <row r="396" spans="4:36" ht="12.95" customHeight="1">
      <c r="AG396" s="490"/>
      <c r="AH396" s="490"/>
      <c r="AI396" s="490"/>
      <c r="AJ396" s="490"/>
    </row>
    <row r="397" spans="4:36" ht="12.95" customHeight="1">
      <c r="D397" s="3" t="s">
        <v>2500</v>
      </c>
      <c r="AG397" s="490"/>
      <c r="AH397" s="490"/>
      <c r="AI397" s="1358" t="s">
        <v>676</v>
      </c>
      <c r="AJ397" s="1358"/>
    </row>
    <row r="398" spans="4:36" ht="12.95" customHeight="1">
      <c r="D398" s="3" t="s">
        <v>1779</v>
      </c>
      <c r="T398" s="1738" t="s">
        <v>598</v>
      </c>
      <c r="U398" s="1739"/>
      <c r="V398" s="1739"/>
      <c r="W398" s="1739"/>
      <c r="X398" s="1739"/>
      <c r="Y398" s="1739"/>
      <c r="Z398" s="1739"/>
      <c r="AA398" s="1739"/>
      <c r="AB398" s="1739"/>
      <c r="AC398" s="1739"/>
      <c r="AD398" s="1739"/>
      <c r="AE398" s="1739"/>
      <c r="AF398" s="1739"/>
      <c r="AG398" s="1739"/>
      <c r="AH398" s="1739"/>
      <c r="AI398" s="1739"/>
      <c r="AJ398" s="1739"/>
    </row>
    <row r="399" spans="4:36" ht="12.95" customHeight="1">
      <c r="D399" s="3" t="s">
        <v>1778</v>
      </c>
      <c r="T399" s="1739"/>
      <c r="U399" s="1739"/>
      <c r="V399" s="1739"/>
      <c r="W399" s="1739"/>
      <c r="X399" s="1739"/>
      <c r="Y399" s="1739"/>
      <c r="Z399" s="1739"/>
      <c r="AA399" s="1739"/>
      <c r="AB399" s="1739"/>
      <c r="AC399" s="1739"/>
      <c r="AD399" s="1739"/>
      <c r="AE399" s="1739"/>
      <c r="AF399" s="1739"/>
      <c r="AG399" s="1739"/>
      <c r="AH399" s="1739"/>
      <c r="AI399" s="1739"/>
      <c r="AJ399" s="1739"/>
    </row>
    <row r="400" spans="4:36" ht="12.95" customHeight="1">
      <c r="AG400" s="490"/>
      <c r="AH400" s="490"/>
      <c r="AI400" s="490"/>
      <c r="AJ400" s="490"/>
    </row>
    <row r="401" spans="1:36" ht="12.95" customHeight="1">
      <c r="D401" s="3" t="s">
        <v>1772</v>
      </c>
      <c r="S401" s="1739" t="s">
        <v>552</v>
      </c>
      <c r="T401" s="1739"/>
      <c r="U401" s="1739"/>
      <c r="V401" t="s">
        <v>1773</v>
      </c>
      <c r="AG401" s="1856">
        <v>55</v>
      </c>
      <c r="AH401" s="1856"/>
      <c r="AI401" s="1856"/>
      <c r="AJ401" s="1856"/>
    </row>
    <row r="402" spans="1:36" ht="12.95" customHeight="1">
      <c r="D402" s="3" t="s">
        <v>1770</v>
      </c>
      <c r="S402" s="1739" t="s">
        <v>552</v>
      </c>
      <c r="T402" s="1739"/>
      <c r="U402" s="1739"/>
      <c r="V402" t="s">
        <v>1775</v>
      </c>
      <c r="AE402" s="1840">
        <v>1</v>
      </c>
      <c r="AF402" s="1840"/>
      <c r="AG402" s="1840"/>
      <c r="AH402" s="1840"/>
      <c r="AI402" s="1840"/>
      <c r="AJ402" s="1840"/>
    </row>
    <row r="403" spans="1:36" ht="12.95" customHeight="1">
      <c r="D403" s="3" t="s">
        <v>1771</v>
      </c>
      <c r="K403" s="1824"/>
      <c r="L403" s="1824"/>
      <c r="M403" s="1824"/>
      <c r="N403" s="1824"/>
      <c r="O403" s="1824"/>
      <c r="P403" s="1824"/>
      <c r="Q403" s="1824"/>
      <c r="R403" s="1824"/>
      <c r="S403" s="1824"/>
      <c r="T403" s="1824"/>
      <c r="U403" s="1824"/>
      <c r="V403" s="1824"/>
      <c r="W403" s="1824"/>
      <c r="X403" s="1824"/>
      <c r="Y403" s="1824"/>
      <c r="Z403" s="1824"/>
      <c r="AA403" s="1824"/>
      <c r="AB403" s="1824"/>
      <c r="AC403" s="1824"/>
      <c r="AD403" s="1824"/>
      <c r="AE403" s="1824"/>
      <c r="AF403" s="1824"/>
      <c r="AG403" s="1824"/>
      <c r="AH403" s="1824"/>
      <c r="AI403" s="1824"/>
      <c r="AJ403" s="1824"/>
    </row>
    <row r="404" spans="1:36" ht="12.95" customHeight="1">
      <c r="D404" s="3" t="s">
        <v>1774</v>
      </c>
      <c r="K404" s="1824" t="s">
        <v>2688</v>
      </c>
      <c r="L404" s="1824"/>
      <c r="M404" s="1824"/>
      <c r="N404" s="1824"/>
      <c r="O404" s="1824"/>
      <c r="P404" s="1824"/>
      <c r="Q404" s="1824"/>
      <c r="R404" s="1824"/>
      <c r="S404" s="1824"/>
      <c r="T404" s="1824"/>
      <c r="U404" s="1824"/>
      <c r="V404" s="1824"/>
      <c r="W404" s="1824"/>
      <c r="X404" s="1824"/>
      <c r="Y404" s="1824"/>
      <c r="Z404" s="1824"/>
      <c r="AA404" s="1824"/>
      <c r="AB404" s="1824"/>
      <c r="AC404" s="1824"/>
      <c r="AD404" s="1824"/>
      <c r="AE404" s="1824"/>
      <c r="AF404" s="1824"/>
      <c r="AG404" s="1824"/>
      <c r="AH404" s="1824"/>
      <c r="AI404" s="1824"/>
      <c r="AJ404" s="1824"/>
    </row>
    <row r="405" spans="1:36" ht="12.95" customHeight="1">
      <c r="D405" s="3" t="s">
        <v>1777</v>
      </c>
      <c r="E405" s="511"/>
      <c r="F405" s="511"/>
      <c r="G405" s="511"/>
      <c r="H405" s="511"/>
      <c r="I405" s="511"/>
      <c r="J405" s="511"/>
      <c r="K405" s="511"/>
      <c r="L405" s="511"/>
      <c r="M405" s="511"/>
      <c r="N405" s="511"/>
      <c r="O405" s="511"/>
      <c r="P405" s="511"/>
      <c r="Q405" s="511"/>
      <c r="R405" s="511"/>
      <c r="S405" s="1857" t="s">
        <v>2707</v>
      </c>
      <c r="T405" s="1857"/>
      <c r="U405" s="1857"/>
      <c r="V405" s="1857"/>
      <c r="W405" s="1857"/>
      <c r="X405" s="1857"/>
      <c r="Y405" s="1857"/>
      <c r="Z405" s="1857"/>
      <c r="AA405" s="1857"/>
      <c r="AB405" s="1857"/>
      <c r="AC405" s="1857"/>
      <c r="AD405" s="1857"/>
      <c r="AE405" s="1857"/>
      <c r="AF405" s="1857"/>
      <c r="AG405" s="1857"/>
      <c r="AH405" s="1857"/>
      <c r="AI405" s="1857"/>
      <c r="AJ405" s="1857"/>
    </row>
    <row r="406" spans="1:36" ht="12.95" customHeight="1">
      <c r="D406" s="1272" t="s">
        <v>1776</v>
      </c>
      <c r="E406" s="1272"/>
      <c r="F406" s="1272"/>
      <c r="G406" s="1272"/>
      <c r="H406" s="1272"/>
      <c r="I406" s="1272"/>
      <c r="J406" s="1272"/>
      <c r="K406" s="1272"/>
      <c r="L406" s="1272"/>
      <c r="M406" s="1272"/>
      <c r="N406" s="1272"/>
      <c r="O406" s="1272"/>
      <c r="P406" s="1272"/>
      <c r="Q406" s="1272"/>
      <c r="R406" s="1272"/>
      <c r="S406" s="1272"/>
      <c r="T406" s="1272"/>
      <c r="U406" s="1272"/>
      <c r="V406" s="1272"/>
      <c r="W406" s="1272"/>
      <c r="X406" s="1272"/>
      <c r="Y406" s="1272"/>
      <c r="Z406" s="1272"/>
      <c r="AA406" s="1272"/>
      <c r="AB406" s="1272"/>
      <c r="AC406" s="1272"/>
      <c r="AD406" s="1272"/>
      <c r="AE406" s="1272"/>
      <c r="AF406" s="1272"/>
      <c r="AG406" s="1272"/>
      <c r="AH406" s="1272"/>
      <c r="AI406" s="1272"/>
      <c r="AJ406" s="1272"/>
    </row>
    <row r="407" spans="1:36" ht="12.95" customHeight="1">
      <c r="D407" s="1272"/>
      <c r="E407" s="1272"/>
      <c r="F407" s="1272"/>
      <c r="G407" s="1272"/>
      <c r="H407" s="1272"/>
      <c r="I407" s="1272"/>
      <c r="J407" s="1272"/>
      <c r="K407" s="1272"/>
      <c r="L407" s="1272"/>
      <c r="M407" s="1272"/>
      <c r="N407" s="1272"/>
      <c r="O407" s="1272"/>
      <c r="P407" s="1272"/>
      <c r="Q407" s="1272"/>
      <c r="R407" s="1272"/>
      <c r="S407" s="1272"/>
      <c r="T407" s="1272"/>
      <c r="U407" s="1272"/>
      <c r="V407" s="1272"/>
      <c r="W407" s="1272"/>
      <c r="X407" s="1272"/>
      <c r="Y407" s="1272"/>
      <c r="Z407" s="1272"/>
      <c r="AA407" s="1272"/>
      <c r="AB407" s="1272"/>
      <c r="AC407" s="1272"/>
      <c r="AD407" s="1272"/>
      <c r="AE407" s="1272"/>
      <c r="AF407" s="1272"/>
      <c r="AG407" s="1272"/>
      <c r="AH407" s="1272"/>
      <c r="AI407" s="1272"/>
      <c r="AJ407" s="1272"/>
    </row>
    <row r="408" spans="1:36" ht="12.95" customHeight="1">
      <c r="AG408" s="490"/>
      <c r="AH408" s="490"/>
      <c r="AI408" s="490"/>
      <c r="AJ408" s="490"/>
    </row>
    <row r="409" spans="1:36" ht="12.95" customHeight="1">
      <c r="A409" s="2" t="s">
        <v>596</v>
      </c>
      <c r="B409" s="2"/>
      <c r="C409" s="2" t="s">
        <v>111</v>
      </c>
    </row>
    <row r="410" spans="1:36" ht="12.95" customHeight="1">
      <c r="B410" s="2"/>
      <c r="C410" s="2"/>
      <c r="D410" s="2" t="s">
        <v>1308</v>
      </c>
      <c r="I410" s="1356" t="s">
        <v>2706</v>
      </c>
      <c r="J410" s="1356"/>
      <c r="K410" s="1356"/>
      <c r="L410" s="1356"/>
      <c r="M410" s="1356"/>
      <c r="N410" s="1356"/>
      <c r="O410" s="1356"/>
      <c r="P410" s="1356"/>
      <c r="Q410" s="1356"/>
      <c r="R410" s="1356"/>
      <c r="S410" s="1356"/>
      <c r="T410" s="1356"/>
      <c r="U410" s="1356"/>
      <c r="V410" s="1356"/>
      <c r="W410" s="1356"/>
      <c r="X410" s="1356"/>
      <c r="Y410" s="1356"/>
      <c r="Z410" s="1356"/>
      <c r="AA410" s="1356"/>
      <c r="AB410" s="1356"/>
      <c r="AC410" s="1356"/>
      <c r="AD410" s="1356"/>
      <c r="AE410" s="1356"/>
    </row>
    <row r="411" spans="1:36" ht="12.95" customHeight="1">
      <c r="E411" t="s">
        <v>106</v>
      </c>
      <c r="R411" s="1358" t="s">
        <v>552</v>
      </c>
      <c r="S411" s="1358"/>
      <c r="AC411" s="27" t="s">
        <v>577</v>
      </c>
      <c r="AD411" s="1631">
        <v>8</v>
      </c>
      <c r="AE411" s="1631"/>
    </row>
    <row r="412" spans="1:36" ht="12.95" customHeight="1">
      <c r="E412" t="s">
        <v>107</v>
      </c>
      <c r="R412" s="1358" t="s">
        <v>598</v>
      </c>
      <c r="S412" s="1358"/>
      <c r="AC412" s="27" t="s">
        <v>577</v>
      </c>
      <c r="AD412" s="1631"/>
      <c r="AE412" s="1631"/>
    </row>
    <row r="413" spans="1:36" ht="12.95" customHeight="1">
      <c r="E413" t="s">
        <v>108</v>
      </c>
      <c r="S413" s="1358" t="s">
        <v>598</v>
      </c>
      <c r="T413" s="1358"/>
    </row>
    <row r="414" spans="1:36" ht="12.95" customHeight="1">
      <c r="E414" t="s">
        <v>169</v>
      </c>
      <c r="H414" s="1875" t="s">
        <v>334</v>
      </c>
      <c r="I414" s="1875"/>
      <c r="J414" s="1875"/>
      <c r="K414" s="1875"/>
      <c r="L414" s="1875"/>
      <c r="M414" s="1875"/>
      <c r="N414" s="1875"/>
      <c r="O414" s="1875"/>
      <c r="P414" s="1875"/>
      <c r="Q414" s="1875"/>
      <c r="R414" s="1875"/>
      <c r="S414" s="1875"/>
      <c r="T414" s="1875"/>
      <c r="U414" s="1875"/>
      <c r="V414" s="1875"/>
      <c r="W414" s="1875"/>
      <c r="X414" s="1875"/>
      <c r="Y414" s="1875"/>
      <c r="Z414" s="1875"/>
      <c r="AA414" s="1875"/>
      <c r="AB414" s="1875"/>
      <c r="AC414" s="1875"/>
      <c r="AD414" s="1875"/>
      <c r="AE414" s="1875"/>
    </row>
    <row r="415" spans="1:36" ht="12.95" customHeight="1">
      <c r="H415" s="1876"/>
      <c r="I415" s="1876"/>
      <c r="J415" s="1876"/>
      <c r="K415" s="1876"/>
      <c r="L415" s="1876"/>
      <c r="M415" s="1876"/>
      <c r="N415" s="1876"/>
      <c r="O415" s="1876"/>
      <c r="P415" s="1876"/>
      <c r="Q415" s="1876"/>
      <c r="R415" s="1876"/>
      <c r="S415" s="1876"/>
      <c r="T415" s="1876"/>
      <c r="U415" s="1876"/>
      <c r="V415" s="1876"/>
      <c r="W415" s="1876"/>
      <c r="X415" s="1876"/>
      <c r="Y415" s="1876"/>
      <c r="Z415" s="1876"/>
      <c r="AA415" s="1876"/>
      <c r="AB415" s="1876"/>
      <c r="AC415" s="1876"/>
      <c r="AD415" s="1876"/>
      <c r="AE415" s="1876"/>
    </row>
    <row r="416" spans="1:36" ht="12.95" customHeight="1"/>
    <row r="417" spans="1:39" ht="12.95" customHeight="1">
      <c r="A417" s="2" t="s">
        <v>597</v>
      </c>
      <c r="B417" s="2"/>
      <c r="C417" s="2"/>
      <c r="D417" s="2" t="s">
        <v>114</v>
      </c>
      <c r="AF417" s="2" t="s">
        <v>974</v>
      </c>
    </row>
    <row r="418" spans="1:39" ht="12.95" customHeight="1">
      <c r="E418" s="1682"/>
      <c r="F418" s="1682"/>
      <c r="G418" s="1682"/>
      <c r="H418" s="13" t="s">
        <v>115</v>
      </c>
      <c r="I418" s="1682"/>
      <c r="J418" s="1682"/>
      <c r="K418" s="1682"/>
      <c r="L418" t="s">
        <v>116</v>
      </c>
      <c r="N418" s="27" t="s">
        <v>582</v>
      </c>
      <c r="P418" s="1684">
        <v>1.5434114000000001</v>
      </c>
      <c r="Q418" s="1684"/>
      <c r="R418" s="1684"/>
      <c r="S418" t="s">
        <v>117</v>
      </c>
      <c r="W418" s="1878">
        <f>IF(E418&gt;0,(E418*I418),(P418*43560))</f>
        <v>67231.000584000009</v>
      </c>
      <c r="X418" s="1878"/>
      <c r="Y418" s="1878"/>
      <c r="Z418" t="s">
        <v>118</v>
      </c>
      <c r="AF418" s="1717">
        <f>IFERROR(IF(P418&gt;0,(AG437/P418),(AG437/(W418/43560))),0)</f>
        <v>80.341508427370684</v>
      </c>
      <c r="AG418" s="1717"/>
      <c r="AH418" s="1717"/>
      <c r="AM418" s="3"/>
    </row>
    <row r="419" spans="1:39" ht="12.95" customHeight="1">
      <c r="E419" t="s">
        <v>51</v>
      </c>
    </row>
    <row r="420" spans="1:39" ht="12.95" customHeight="1">
      <c r="E420" s="1859"/>
      <c r="F420" s="1859"/>
      <c r="G420" s="1859"/>
      <c r="H420" s="1859"/>
      <c r="I420" s="1859"/>
      <c r="J420" s="1859"/>
      <c r="K420" s="1859"/>
      <c r="L420" s="1859"/>
      <c r="M420" s="1859"/>
      <c r="N420" s="1859"/>
      <c r="O420" s="1859"/>
      <c r="P420" s="1859"/>
      <c r="Q420" s="1859"/>
      <c r="R420" s="1859"/>
      <c r="S420" s="1859"/>
      <c r="T420" s="1859"/>
      <c r="U420" s="1859"/>
      <c r="V420" s="1859"/>
      <c r="W420" s="1859"/>
      <c r="X420" s="1859"/>
      <c r="Y420" s="1859"/>
      <c r="Z420" s="1859"/>
      <c r="AA420" s="1859"/>
      <c r="AB420" s="1859"/>
      <c r="AC420" s="1859"/>
      <c r="AD420" s="1859"/>
      <c r="AE420" s="1859"/>
      <c r="AF420" s="1859"/>
      <c r="AG420" s="1859"/>
      <c r="AH420" s="1859"/>
      <c r="AI420" s="1859"/>
      <c r="AJ420" s="1859"/>
    </row>
    <row r="421" spans="1:39" ht="12.95" customHeight="1">
      <c r="E421" s="118" t="s">
        <v>1924</v>
      </c>
      <c r="F421" s="1048"/>
      <c r="G421" s="1048"/>
      <c r="H421" s="1048"/>
      <c r="I421" s="1793">
        <v>1.54</v>
      </c>
      <c r="J421" s="1793"/>
      <c r="K421" s="1793"/>
      <c r="L421" s="1048"/>
      <c r="M421" s="118"/>
      <c r="N421" s="1048"/>
      <c r="O421" s="1048"/>
      <c r="P421" s="1877">
        <f>(CS634+CS642+CS658)/I421</f>
        <v>141.55844155844156</v>
      </c>
      <c r="Q421" s="1877"/>
      <c r="R421" s="1877"/>
      <c r="S421" s="118" t="s">
        <v>1925</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599</v>
      </c>
      <c r="B423" s="2"/>
      <c r="C423" s="2"/>
      <c r="D423" s="2" t="s">
        <v>120</v>
      </c>
    </row>
    <row r="424" spans="1:39" ht="12.95" customHeight="1">
      <c r="E424" t="s">
        <v>121</v>
      </c>
      <c r="P424" s="1358">
        <v>1</v>
      </c>
      <c r="Q424" s="1358"/>
      <c r="S424" t="s">
        <v>189</v>
      </c>
      <c r="AE424" s="1358">
        <v>1</v>
      </c>
      <c r="AF424" s="1358"/>
    </row>
    <row r="425" spans="1:39" ht="12.95" customHeight="1">
      <c r="E425" t="s">
        <v>190</v>
      </c>
      <c r="P425" s="1838" t="s">
        <v>598</v>
      </c>
      <c r="Q425" s="1358"/>
      <c r="S425" t="s">
        <v>131</v>
      </c>
      <c r="AE425" s="1358" t="s">
        <v>552</v>
      </c>
      <c r="AF425" s="1358"/>
    </row>
    <row r="426" spans="1:39" ht="12.95" customHeight="1">
      <c r="F426" s="28" t="s">
        <v>132</v>
      </c>
    </row>
    <row r="427" spans="1:39" ht="12.95" customHeight="1">
      <c r="F427" s="1813" t="s">
        <v>2778</v>
      </c>
      <c r="G427" s="1814"/>
      <c r="H427" s="1814"/>
      <c r="I427" s="1814"/>
      <c r="J427" s="1814"/>
      <c r="K427" s="1814"/>
      <c r="L427" s="1814"/>
      <c r="M427" s="1814"/>
      <c r="N427" s="1814"/>
      <c r="O427" s="1814"/>
      <c r="P427" s="1814"/>
      <c r="Q427" s="1814"/>
      <c r="R427" s="1814"/>
      <c r="S427" s="1814"/>
      <c r="T427" s="1814"/>
      <c r="U427" s="1814"/>
      <c r="V427" s="1814"/>
      <c r="W427" s="1814"/>
      <c r="X427" s="1814"/>
      <c r="Y427" s="1814"/>
      <c r="Z427" s="1814"/>
      <c r="AA427" s="1814"/>
      <c r="AB427" s="1814"/>
      <c r="AC427" s="1814"/>
      <c r="AD427" s="1814"/>
      <c r="AE427" s="1814"/>
      <c r="AF427" s="1814"/>
      <c r="AG427" s="1814"/>
      <c r="AH427" s="1814"/>
    </row>
    <row r="428" spans="1:39" ht="12.95" customHeight="1">
      <c r="F428" s="1815"/>
      <c r="G428" s="1815"/>
      <c r="H428" s="1815"/>
      <c r="I428" s="1815"/>
      <c r="J428" s="1815"/>
      <c r="K428" s="1815"/>
      <c r="L428" s="1815"/>
      <c r="M428" s="1815"/>
      <c r="N428" s="1815"/>
      <c r="O428" s="1815"/>
      <c r="P428" s="1815"/>
      <c r="Q428" s="1815"/>
      <c r="R428" s="1815"/>
      <c r="S428" s="1815"/>
      <c r="T428" s="1815"/>
      <c r="U428" s="1815"/>
      <c r="V428" s="1815"/>
      <c r="W428" s="1815"/>
      <c r="X428" s="1815"/>
      <c r="Y428" s="1815"/>
      <c r="Z428" s="1815"/>
      <c r="AA428" s="1815"/>
      <c r="AB428" s="1815"/>
      <c r="AC428" s="1815"/>
      <c r="AD428" s="1815"/>
      <c r="AE428" s="1815"/>
      <c r="AF428" s="1815"/>
      <c r="AG428" s="1815"/>
      <c r="AH428" s="1815"/>
    </row>
    <row r="429" spans="1:39" ht="12.95" customHeight="1">
      <c r="E429" t="s">
        <v>615</v>
      </c>
      <c r="P429" s="1"/>
      <c r="Q429" s="1358" t="s">
        <v>552</v>
      </c>
      <c r="R429" s="1358"/>
    </row>
    <row r="430" spans="1:39" ht="12.95" customHeight="1">
      <c r="F430" t="s">
        <v>616</v>
      </c>
      <c r="P430" s="1"/>
      <c r="Q430" s="1"/>
      <c r="AF430" s="1358" t="s">
        <v>598</v>
      </c>
      <c r="AG430" s="1858"/>
    </row>
    <row r="431" spans="1:39" ht="12.95" customHeight="1"/>
    <row r="432" spans="1:39" ht="12.95" customHeight="1">
      <c r="A432" s="2"/>
      <c r="B432" s="2"/>
      <c r="C432" s="2"/>
      <c r="E432" s="4" t="s">
        <v>308</v>
      </c>
      <c r="Z432" s="1358" t="s">
        <v>676</v>
      </c>
      <c r="AA432" s="1358"/>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715</v>
      </c>
      <c r="G434" s="40"/>
      <c r="I434" s="40"/>
      <c r="J434" s="40"/>
      <c r="K434" s="40"/>
      <c r="L434" s="40"/>
      <c r="M434" s="40"/>
      <c r="N434" s="40"/>
      <c r="O434" s="28"/>
      <c r="P434" s="40"/>
      <c r="Q434" s="40"/>
      <c r="R434" s="40"/>
      <c r="S434" s="40"/>
      <c r="T434" s="40"/>
      <c r="U434" s="40"/>
      <c r="V434" s="40"/>
      <c r="W434" s="40"/>
      <c r="Z434" s="1358" t="s">
        <v>598</v>
      </c>
      <c r="AA434" s="1358"/>
    </row>
    <row r="435" spans="1:110" ht="12.95" customHeight="1"/>
    <row r="436" spans="1:110" ht="12.95" customHeight="1">
      <c r="A436" s="2" t="s">
        <v>474</v>
      </c>
      <c r="B436" s="2"/>
      <c r="C436" s="2"/>
      <c r="D436" s="2" t="s">
        <v>772</v>
      </c>
      <c r="AF436" s="48"/>
    </row>
    <row r="437" spans="1:110" ht="12.95" customHeight="1">
      <c r="D437" s="1623" t="s">
        <v>43</v>
      </c>
      <c r="E437" s="1624"/>
      <c r="F437" s="1624"/>
      <c r="G437" s="1624"/>
      <c r="H437" s="1624"/>
      <c r="I437" s="1624"/>
      <c r="J437" s="1624"/>
      <c r="K437" s="1624"/>
      <c r="L437" s="1624"/>
      <c r="M437" s="1624"/>
      <c r="N437" s="1624"/>
      <c r="O437" s="1624"/>
      <c r="P437" s="1624"/>
      <c r="Q437" s="1624"/>
      <c r="R437" s="1624"/>
      <c r="S437" s="1624"/>
      <c r="T437" s="1624"/>
      <c r="U437" s="1624"/>
      <c r="V437" s="1624"/>
      <c r="W437" s="1624"/>
      <c r="X437" s="1624"/>
      <c r="Y437" s="1624"/>
      <c r="Z437" s="1624"/>
      <c r="AA437" s="1624"/>
      <c r="AB437" s="1624"/>
      <c r="AC437" s="1624"/>
      <c r="AD437" s="1624"/>
      <c r="AE437" s="1624"/>
      <c r="AF437" s="1844"/>
      <c r="AG437" s="1864">
        <v>124</v>
      </c>
      <c r="AH437" s="1864"/>
      <c r="AI437" s="1864"/>
      <c r="AJ437" s="1864"/>
    </row>
    <row r="438" spans="1:110" ht="12.95" customHeight="1">
      <c r="D438" s="1703" t="s">
        <v>1327</v>
      </c>
      <c r="E438" s="1704"/>
      <c r="F438" s="1704"/>
      <c r="G438" s="1704"/>
      <c r="H438" s="1704"/>
      <c r="I438" s="1704"/>
      <c r="J438" s="1704"/>
      <c r="K438" s="1704"/>
      <c r="L438" s="1704"/>
      <c r="M438" s="1704"/>
      <c r="N438" s="1704"/>
      <c r="O438" s="1704"/>
      <c r="P438" s="1704"/>
      <c r="Q438" s="1704"/>
      <c r="R438" s="1704"/>
      <c r="S438" s="1704"/>
      <c r="T438" s="1704"/>
      <c r="U438" s="1704"/>
      <c r="V438" s="1704"/>
      <c r="W438" s="1704"/>
      <c r="X438" s="1704"/>
      <c r="Y438" s="1704"/>
      <c r="Z438" s="1704"/>
      <c r="AA438" s="1704"/>
      <c r="AB438" s="1704"/>
      <c r="AC438" s="1704"/>
      <c r="AD438" s="1704"/>
      <c r="AE438" s="1704"/>
      <c r="AF438" s="1705"/>
      <c r="AG438" s="1884">
        <v>0</v>
      </c>
      <c r="AH438" s="1384"/>
      <c r="AI438" s="1384"/>
      <c r="AJ438" s="1384"/>
    </row>
    <row r="439" spans="1:110" ht="12.95" customHeight="1">
      <c r="D439" s="1703" t="s">
        <v>1053</v>
      </c>
      <c r="E439" s="1704"/>
      <c r="F439" s="1704"/>
      <c r="G439" s="1704"/>
      <c r="H439" s="1704"/>
      <c r="I439" s="1704"/>
      <c r="J439" s="1704"/>
      <c r="K439" s="1704"/>
      <c r="L439" s="1704"/>
      <c r="M439" s="1704"/>
      <c r="N439" s="1704"/>
      <c r="O439" s="1704"/>
      <c r="P439" s="1704"/>
      <c r="Q439" s="1704"/>
      <c r="R439" s="1704"/>
      <c r="S439" s="1704"/>
      <c r="T439" s="1704"/>
      <c r="U439" s="1704"/>
      <c r="V439" s="1704"/>
      <c r="W439" s="1704"/>
      <c r="X439" s="1704"/>
      <c r="Y439" s="1704"/>
      <c r="Z439" s="1704"/>
      <c r="AA439" s="1704"/>
      <c r="AB439" s="1704"/>
      <c r="AC439" s="1704"/>
      <c r="AD439" s="1704"/>
      <c r="AE439" s="1704"/>
      <c r="AF439" s="1705"/>
      <c r="AG439" s="1864">
        <v>123</v>
      </c>
      <c r="AH439" s="1864"/>
      <c r="AI439" s="1864"/>
      <c r="AJ439" s="1864"/>
    </row>
    <row r="440" spans="1:110" ht="12.95" customHeight="1">
      <c r="D440" s="1703" t="s">
        <v>1054</v>
      </c>
      <c r="E440" s="1704"/>
      <c r="F440" s="1704"/>
      <c r="G440" s="1704"/>
      <c r="H440" s="1704"/>
      <c r="I440" s="1704"/>
      <c r="J440" s="1704"/>
      <c r="K440" s="1704"/>
      <c r="L440" s="1704"/>
      <c r="M440" s="1704"/>
      <c r="N440" s="1704"/>
      <c r="O440" s="1704"/>
      <c r="P440" s="1704"/>
      <c r="Q440" s="1704"/>
      <c r="R440" s="1704"/>
      <c r="S440" s="1704"/>
      <c r="T440" s="1704"/>
      <c r="U440" s="1704"/>
      <c r="V440" s="1704"/>
      <c r="W440" s="1704"/>
      <c r="X440" s="1704"/>
      <c r="Y440" s="1704"/>
      <c r="Z440" s="1704"/>
      <c r="AA440" s="1704"/>
      <c r="AB440" s="1704"/>
      <c r="AC440" s="1704"/>
      <c r="AD440" s="1704"/>
      <c r="AE440" s="1704"/>
      <c r="AF440" s="1705"/>
      <c r="AG440" s="1864">
        <v>123</v>
      </c>
      <c r="AH440" s="1864"/>
      <c r="AI440" s="1864"/>
      <c r="AJ440" s="1864"/>
    </row>
    <row r="441" spans="1:110" ht="12.95" customHeight="1">
      <c r="D441" s="1703" t="s">
        <v>1056</v>
      </c>
      <c r="E441" s="1704"/>
      <c r="F441" s="1704"/>
      <c r="G441" s="1704"/>
      <c r="H441" s="1704"/>
      <c r="I441" s="1704"/>
      <c r="J441" s="1704"/>
      <c r="K441" s="1704"/>
      <c r="L441" s="1704"/>
      <c r="M441" s="1704"/>
      <c r="N441" s="1704"/>
      <c r="O441" s="1704"/>
      <c r="P441" s="1704"/>
      <c r="Q441" s="1704"/>
      <c r="R441" s="1704"/>
      <c r="S441" s="1704"/>
      <c r="T441" s="1704"/>
      <c r="U441" s="1704"/>
      <c r="V441" s="1704"/>
      <c r="W441" s="1704"/>
      <c r="X441" s="1704"/>
      <c r="Y441" s="1704"/>
      <c r="Z441" s="1704"/>
      <c r="AA441" s="1704"/>
      <c r="AB441" s="1704"/>
      <c r="AC441" s="1704"/>
      <c r="AD441" s="1704"/>
      <c r="AE441" s="1704"/>
      <c r="AF441" s="1705"/>
      <c r="AG441" s="1860">
        <f>IF(ISERROR(AG440/AG439),"",AG440/AG439)</f>
        <v>1</v>
      </c>
      <c r="AH441" s="1860"/>
      <c r="AI441" s="1860"/>
      <c r="AJ441" s="1860"/>
    </row>
    <row r="442" spans="1:110" ht="12.95" customHeight="1">
      <c r="D442" s="1703" t="s">
        <v>1055</v>
      </c>
      <c r="E442" s="1704"/>
      <c r="F442" s="1704"/>
      <c r="G442" s="1704"/>
      <c r="H442" s="1704"/>
      <c r="I442" s="1704"/>
      <c r="J442" s="1704"/>
      <c r="K442" s="1704"/>
      <c r="L442" s="1704"/>
      <c r="M442" s="1704"/>
      <c r="N442" s="1704"/>
      <c r="O442" s="1704"/>
      <c r="P442" s="1704"/>
      <c r="Q442" s="1704"/>
      <c r="R442" s="1704"/>
      <c r="S442" s="1704"/>
      <c r="T442" s="1704"/>
      <c r="U442" s="1704"/>
      <c r="V442" s="1704"/>
      <c r="W442" s="1704"/>
      <c r="X442" s="1704"/>
      <c r="Y442" s="1704"/>
      <c r="Z442" s="1704"/>
      <c r="AA442" s="1704"/>
      <c r="AB442" s="1704"/>
      <c r="AC442" s="1704"/>
      <c r="AD442" s="1704"/>
      <c r="AE442" s="1704"/>
      <c r="AF442" s="1705"/>
      <c r="AG442" s="1730">
        <v>89989</v>
      </c>
      <c r="AH442" s="1730"/>
      <c r="AI442" s="1730"/>
      <c r="AJ442" s="1730"/>
    </row>
    <row r="443" spans="1:110" ht="12.95" customHeight="1">
      <c r="D443" s="1703" t="s">
        <v>1057</v>
      </c>
      <c r="E443" s="1704"/>
      <c r="F443" s="1704"/>
      <c r="G443" s="1704"/>
      <c r="H443" s="1704"/>
      <c r="I443" s="1704"/>
      <c r="J443" s="1704"/>
      <c r="K443" s="1704"/>
      <c r="L443" s="1704"/>
      <c r="M443" s="1704"/>
      <c r="N443" s="1704"/>
      <c r="O443" s="1704"/>
      <c r="P443" s="1704"/>
      <c r="Q443" s="1704"/>
      <c r="R443" s="1704"/>
      <c r="S443" s="1704"/>
      <c r="T443" s="1704"/>
      <c r="U443" s="1704"/>
      <c r="V443" s="1704"/>
      <c r="W443" s="1704"/>
      <c r="X443" s="1704"/>
      <c r="Y443" s="1704"/>
      <c r="Z443" s="1704"/>
      <c r="AA443" s="1704"/>
      <c r="AB443" s="1704"/>
      <c r="AC443" s="1704"/>
      <c r="AD443" s="1704"/>
      <c r="AE443" s="1704"/>
      <c r="AF443" s="1705"/>
      <c r="AG443" s="1730">
        <v>89989</v>
      </c>
      <c r="AH443" s="1730"/>
      <c r="AI443" s="1730"/>
      <c r="AJ443" s="1730"/>
    </row>
    <row r="444" spans="1:110" ht="12.95" customHeight="1">
      <c r="D444" s="1703" t="s">
        <v>1058</v>
      </c>
      <c r="E444" s="1704"/>
      <c r="F444" s="1704"/>
      <c r="G444" s="1704"/>
      <c r="H444" s="1704"/>
      <c r="I444" s="1704"/>
      <c r="J444" s="1704"/>
      <c r="K444" s="1704"/>
      <c r="L444" s="1704"/>
      <c r="M444" s="1704"/>
      <c r="N444" s="1704"/>
      <c r="O444" s="1704"/>
      <c r="P444" s="1704"/>
      <c r="Q444" s="1704"/>
      <c r="R444" s="1704"/>
      <c r="S444" s="1704"/>
      <c r="T444" s="1704"/>
      <c r="U444" s="1704"/>
      <c r="V444" s="1704"/>
      <c r="W444" s="1704"/>
      <c r="X444" s="1704"/>
      <c r="Y444" s="1704"/>
      <c r="Z444" s="1704"/>
      <c r="AA444" s="1704"/>
      <c r="AB444" s="1704"/>
      <c r="AC444" s="1704"/>
      <c r="AD444" s="1704"/>
      <c r="AE444" s="1704"/>
      <c r="AF444" s="1705"/>
      <c r="AG444" s="1860">
        <f>IF(ISERROR(AG443/AG442),"",AG443/AG442)</f>
        <v>1</v>
      </c>
      <c r="AH444" s="1860"/>
      <c r="AI444" s="1860"/>
      <c r="AJ444" s="1860"/>
    </row>
    <row r="445" spans="1:110" ht="12.95" customHeight="1">
      <c r="D445" s="1703" t="s">
        <v>1059</v>
      </c>
      <c r="E445" s="1704"/>
      <c r="F445" s="1704"/>
      <c r="G445" s="1704"/>
      <c r="H445" s="1704"/>
      <c r="I445" s="1704"/>
      <c r="J445" s="1704"/>
      <c r="K445" s="1704"/>
      <c r="L445" s="1704"/>
      <c r="M445" s="1704"/>
      <c r="N445" s="1704"/>
      <c r="O445" s="1704"/>
      <c r="P445" s="1704"/>
      <c r="Q445" s="1704"/>
      <c r="R445" s="1704"/>
      <c r="S445" s="1704"/>
      <c r="T445" s="1704"/>
      <c r="U445" s="1704"/>
      <c r="V445" s="1704"/>
      <c r="W445" s="1704"/>
      <c r="X445" s="1704"/>
      <c r="Y445" s="1704"/>
      <c r="Z445" s="1704"/>
      <c r="AA445" s="1704"/>
      <c r="AB445" s="1704"/>
      <c r="AC445" s="1704"/>
      <c r="AD445" s="1704"/>
      <c r="AE445" s="1704"/>
      <c r="AF445" s="1705"/>
      <c r="AG445" s="1860">
        <f>MIN(IF(AG441&gt;AG444,AG444,AG441),1)</f>
        <v>1</v>
      </c>
      <c r="AH445" s="1860"/>
      <c r="AI445" s="1860"/>
      <c r="AJ445" s="1860"/>
    </row>
    <row r="446" spans="1:110" ht="12.95" customHeight="1">
      <c r="D446" s="1703" t="s">
        <v>2402</v>
      </c>
      <c r="E446" s="1624"/>
      <c r="F446" s="1624"/>
      <c r="G446" s="1624"/>
      <c r="H446" s="1624"/>
      <c r="I446" s="1624"/>
      <c r="J446" s="1624"/>
      <c r="K446" s="1624"/>
      <c r="L446" s="1624"/>
      <c r="M446" s="1624"/>
      <c r="N446" s="1624"/>
      <c r="O446" s="1624"/>
      <c r="P446" s="1624"/>
      <c r="Q446" s="1624"/>
      <c r="R446" s="1624"/>
      <c r="S446" s="1624"/>
      <c r="T446" s="1624"/>
      <c r="U446" s="1624"/>
      <c r="V446" s="1624"/>
      <c r="W446" s="1624"/>
      <c r="X446" s="1624"/>
      <c r="Y446" s="1624"/>
      <c r="Z446" s="1624"/>
      <c r="AA446" s="1624"/>
      <c r="AB446" s="1624"/>
      <c r="AC446" s="1624"/>
      <c r="AD446" s="1624"/>
      <c r="AE446" s="1624"/>
      <c r="AF446" s="1844"/>
      <c r="AG446" s="1730">
        <v>3608</v>
      </c>
      <c r="AH446" s="1730"/>
      <c r="AI446" s="1730"/>
      <c r="AJ446" s="1730"/>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623" t="s">
        <v>576</v>
      </c>
      <c r="E447" s="1624"/>
      <c r="F447" s="1624"/>
      <c r="G447" s="1624"/>
      <c r="H447" s="1624"/>
      <c r="I447" s="1624"/>
      <c r="J447" s="1624"/>
      <c r="K447" s="1624"/>
      <c r="L447" s="1624"/>
      <c r="M447" s="1624"/>
      <c r="N447" s="1624"/>
      <c r="O447" s="1624"/>
      <c r="P447" s="1624"/>
      <c r="Q447" s="1624"/>
      <c r="R447" s="1624"/>
      <c r="S447" s="1624"/>
      <c r="T447" s="1624"/>
      <c r="U447" s="1624"/>
      <c r="V447" s="1624"/>
      <c r="W447" s="1624"/>
      <c r="X447" s="1624"/>
      <c r="Y447" s="1624"/>
      <c r="Z447" s="1624"/>
      <c r="AA447" s="1624"/>
      <c r="AB447" s="1624"/>
      <c r="AC447" s="1624"/>
      <c r="AD447" s="1624"/>
      <c r="AE447" s="1624"/>
      <c r="AF447" s="1844"/>
      <c r="AG447" s="1730">
        <v>1333</v>
      </c>
      <c r="AH447" s="1730"/>
      <c r="AI447" s="1730"/>
      <c r="AJ447" s="1730"/>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703" t="s">
        <v>1309</v>
      </c>
      <c r="E448" s="1624"/>
      <c r="F448" s="1624"/>
      <c r="G448" s="1624"/>
      <c r="H448" s="1624"/>
      <c r="I448" s="1624"/>
      <c r="J448" s="1624"/>
      <c r="K448" s="1624"/>
      <c r="L448" s="1624"/>
      <c r="M448" s="1624"/>
      <c r="N448" s="1624"/>
      <c r="O448" s="1624"/>
      <c r="P448" s="1624"/>
      <c r="Q448" s="1624"/>
      <c r="R448" s="1624"/>
      <c r="S448" s="1624"/>
      <c r="T448" s="1624"/>
      <c r="U448" s="1624"/>
      <c r="V448" s="1624"/>
      <c r="W448" s="1624"/>
      <c r="X448" s="1624"/>
      <c r="Y448" s="1624"/>
      <c r="Z448" s="1624"/>
      <c r="AA448" s="1624"/>
      <c r="AB448" s="1624"/>
      <c r="AC448" s="1624"/>
      <c r="AD448" s="1624"/>
      <c r="AE448" s="1624"/>
      <c r="AF448" s="1844"/>
      <c r="AG448" s="1730">
        <f>3491+29048+902</f>
        <v>33441</v>
      </c>
      <c r="AH448" s="1730"/>
      <c r="AI448" s="1730"/>
      <c r="AJ448" s="1730"/>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703" t="s">
        <v>1060</v>
      </c>
      <c r="E449" s="1624"/>
      <c r="F449" s="1624"/>
      <c r="G449" s="1624"/>
      <c r="H449" s="1624"/>
      <c r="I449" s="1624"/>
      <c r="J449" s="1624"/>
      <c r="K449" s="1624"/>
      <c r="L449" s="1624"/>
      <c r="M449" s="1624"/>
      <c r="N449" s="1624"/>
      <c r="O449" s="1624"/>
      <c r="P449" s="1624"/>
      <c r="Q449" s="1624"/>
      <c r="R449" s="1624"/>
      <c r="S449" s="1624"/>
      <c r="T449" s="1624"/>
      <c r="U449" s="1624"/>
      <c r="V449" s="1624"/>
      <c r="W449" s="1624"/>
      <c r="X449" s="1624"/>
      <c r="Y449" s="1624"/>
      <c r="Z449" s="1624"/>
      <c r="AA449" s="1624"/>
      <c r="AB449" s="1624"/>
      <c r="AC449" s="1624"/>
      <c r="AD449" s="1624"/>
      <c r="AE449" s="1624"/>
      <c r="AF449" s="1844"/>
      <c r="AG449" s="1730">
        <v>0</v>
      </c>
      <c r="AH449" s="1730"/>
      <c r="AI449" s="1730"/>
      <c r="AJ449" s="1730"/>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833" t="s">
        <v>1061</v>
      </c>
      <c r="E450" s="1834"/>
      <c r="F450" s="1834"/>
      <c r="G450" s="1834"/>
      <c r="H450" s="1834"/>
      <c r="I450" s="1834"/>
      <c r="J450" s="1834"/>
      <c r="K450" s="1834"/>
      <c r="L450" s="1834"/>
      <c r="M450" s="1834"/>
      <c r="N450" s="1834"/>
      <c r="O450" s="1834"/>
      <c r="P450" s="1834"/>
      <c r="Q450" s="1834"/>
      <c r="R450" s="1834"/>
      <c r="S450" s="1834"/>
      <c r="T450" s="1834"/>
      <c r="U450" s="1834"/>
      <c r="V450" s="1834"/>
      <c r="W450" s="1834"/>
      <c r="X450" s="1834"/>
      <c r="Y450" s="1834"/>
      <c r="Z450" s="1834"/>
      <c r="AA450" s="1834"/>
      <c r="AB450" s="1834"/>
      <c r="AC450" s="1834"/>
      <c r="AD450" s="1834"/>
      <c r="AE450" s="1834"/>
      <c r="AF450" s="1835"/>
      <c r="AG450" s="1883">
        <f>AG442+AG446+AG448+AG449</f>
        <v>127038</v>
      </c>
      <c r="AH450" s="1883"/>
      <c r="AI450" s="1883"/>
      <c r="AJ450" s="188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836" t="s">
        <v>1310</v>
      </c>
      <c r="E451" s="1836"/>
      <c r="F451" s="1836"/>
      <c r="G451" s="1836"/>
      <c r="H451" s="1836"/>
      <c r="I451" s="1836"/>
      <c r="J451" s="1836"/>
      <c r="K451" s="1836"/>
      <c r="L451" s="1836"/>
      <c r="M451" s="1836"/>
      <c r="N451" s="1836"/>
      <c r="O451" s="1836"/>
      <c r="P451" s="1836"/>
      <c r="Q451" s="1836"/>
      <c r="R451" s="1836"/>
      <c r="S451" s="1836"/>
      <c r="T451" s="1836"/>
      <c r="U451" s="1836"/>
      <c r="V451" s="1836"/>
      <c r="W451" s="1836"/>
      <c r="X451" s="1836"/>
      <c r="Y451" s="1836"/>
      <c r="Z451" s="1836"/>
      <c r="AA451" s="1836"/>
      <c r="AB451" s="1836"/>
      <c r="AC451" s="1836"/>
      <c r="AD451" s="1836"/>
      <c r="AE451" s="1836"/>
      <c r="AF451" s="1836"/>
      <c r="AG451" s="1836"/>
      <c r="AH451" s="1836"/>
      <c r="AI451" s="1836"/>
      <c r="AJ451" s="1836"/>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837"/>
      <c r="E452" s="1837"/>
      <c r="F452" s="1837"/>
      <c r="G452" s="1837"/>
      <c r="H452" s="1837"/>
      <c r="I452" s="1837"/>
      <c r="J452" s="1837"/>
      <c r="K452" s="1837"/>
      <c r="L452" s="1837"/>
      <c r="M452" s="1837"/>
      <c r="N452" s="1837"/>
      <c r="O452" s="1837"/>
      <c r="P452" s="1837"/>
      <c r="Q452" s="1837"/>
      <c r="R452" s="1837"/>
      <c r="S452" s="1837"/>
      <c r="T452" s="1837"/>
      <c r="U452" s="1837"/>
      <c r="V452" s="1837"/>
      <c r="W452" s="1837"/>
      <c r="X452" s="1837"/>
      <c r="Y452" s="1837"/>
      <c r="Z452" s="1837"/>
      <c r="AA452" s="1837"/>
      <c r="AB452" s="1837"/>
      <c r="AC452" s="1837"/>
      <c r="AD452" s="1837"/>
      <c r="AE452" s="1837"/>
      <c r="AF452" s="1837"/>
      <c r="AG452" s="1837"/>
      <c r="AH452" s="1837"/>
      <c r="AI452" s="1837"/>
      <c r="AJ452" s="1837"/>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822</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45">
        <f>IF(AG437=0,"",'Sources and Uses Budget'!B105/Application!AG437)</f>
        <v>887993.08064516133</v>
      </c>
      <c r="AD454" s="1845"/>
      <c r="AE454" s="1845"/>
      <c r="AF454" s="1845"/>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823</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45">
        <f>IF(AG437=0,"",'Sources and Uses Budget'!C105/Application!AG437)</f>
        <v>887993.08064516133</v>
      </c>
      <c r="AD455" s="1845"/>
      <c r="AE455" s="1845"/>
      <c r="AF455" s="1845"/>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873</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845">
        <f>IF(AG437=0,"",('Sources and Uses Budget'!$S$107+'Sources and Uses Budget'!$T$107)/Application!AG437)</f>
        <v>787958.63064516126</v>
      </c>
      <c r="AD456" s="1845"/>
      <c r="AE456" s="1845"/>
      <c r="AF456" s="1845"/>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19"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419"/>
      <c r="H457" s="1419"/>
      <c r="I457" s="1419"/>
      <c r="J457" s="1419"/>
      <c r="K457" s="1419"/>
      <c r="L457" s="1419"/>
      <c r="M457" s="1419"/>
      <c r="N457" s="1419"/>
      <c r="O457" s="1419"/>
      <c r="P457" s="1419"/>
      <c r="Q457" s="1419"/>
      <c r="R457" s="1419"/>
      <c r="S457" s="1419"/>
      <c r="T457" s="1419"/>
      <c r="U457" s="1419"/>
      <c r="V457" s="1419"/>
      <c r="W457" s="1419"/>
      <c r="X457" s="1419"/>
      <c r="Y457" s="1419"/>
      <c r="Z457" s="1419"/>
      <c r="AA457" s="1419"/>
      <c r="AB457" s="1419"/>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19"/>
      <c r="G458" s="1419"/>
      <c r="H458" s="1419"/>
      <c r="I458" s="1419"/>
      <c r="J458" s="1419"/>
      <c r="K458" s="1419"/>
      <c r="L458" s="1419"/>
      <c r="M458" s="1419"/>
      <c r="N458" s="1419"/>
      <c r="O458" s="1419"/>
      <c r="P458" s="1419"/>
      <c r="Q458" s="1419"/>
      <c r="R458" s="1419"/>
      <c r="S458" s="1419"/>
      <c r="T458" s="1419"/>
      <c r="U458" s="1419"/>
      <c r="V458" s="1419"/>
      <c r="W458" s="1419"/>
      <c r="X458" s="1419"/>
      <c r="Y458" s="1419"/>
      <c r="Z458" s="1419"/>
      <c r="AA458" s="1419"/>
      <c r="AB458" s="1419"/>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620</v>
      </c>
      <c r="D459" s="2" t="s">
        <v>248</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2065</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2066</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2067</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700</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849" t="s">
        <v>2416</v>
      </c>
      <c r="E465" s="1791"/>
      <c r="F465" s="1791"/>
      <c r="G465" s="1791"/>
      <c r="H465" s="1791"/>
      <c r="I465" s="1791"/>
      <c r="J465" s="1791"/>
      <c r="K465" s="1791"/>
      <c r="L465" s="1791"/>
      <c r="M465" s="1791"/>
      <c r="N465" s="1791"/>
      <c r="O465" s="1791"/>
      <c r="P465" s="1791"/>
      <c r="Q465" s="1791"/>
      <c r="R465" s="1791"/>
      <c r="S465" s="1791"/>
      <c r="T465" s="1791"/>
      <c r="U465" s="1791"/>
      <c r="V465" s="1792"/>
      <c r="W465" s="1710">
        <v>0</v>
      </c>
      <c r="X465" s="1711"/>
      <c r="Y465" s="1712"/>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790" t="s">
        <v>701</v>
      </c>
      <c r="E466" s="1791"/>
      <c r="F466" s="1791"/>
      <c r="G466" s="1791"/>
      <c r="H466" s="1791"/>
      <c r="I466" s="1791"/>
      <c r="J466" s="1791"/>
      <c r="K466" s="1791"/>
      <c r="L466" s="1791"/>
      <c r="M466" s="1791"/>
      <c r="N466" s="1791"/>
      <c r="O466" s="1791"/>
      <c r="P466" s="1791"/>
      <c r="Q466" s="1791"/>
      <c r="R466" s="1791"/>
      <c r="S466" s="1791"/>
      <c r="T466" s="1791"/>
      <c r="U466" s="1791"/>
      <c r="V466" s="1792"/>
      <c r="W466" s="1710">
        <v>0</v>
      </c>
      <c r="X466" s="1711"/>
      <c r="Y466" s="1712"/>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790" t="s">
        <v>702</v>
      </c>
      <c r="E467" s="1791"/>
      <c r="F467" s="1791"/>
      <c r="G467" s="1791"/>
      <c r="H467" s="1791"/>
      <c r="I467" s="1791"/>
      <c r="J467" s="1791"/>
      <c r="K467" s="1791"/>
      <c r="L467" s="1791"/>
      <c r="M467" s="1791"/>
      <c r="N467" s="1791"/>
      <c r="O467" s="1791"/>
      <c r="P467" s="1791"/>
      <c r="Q467" s="1791"/>
      <c r="R467" s="1791"/>
      <c r="S467" s="1791"/>
      <c r="T467" s="1791"/>
      <c r="U467" s="1791"/>
      <c r="V467" s="1792"/>
      <c r="W467" s="1710">
        <v>0</v>
      </c>
      <c r="X467" s="1711"/>
      <c r="Y467" s="1712"/>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790" t="s">
        <v>703</v>
      </c>
      <c r="E468" s="1791"/>
      <c r="F468" s="1791"/>
      <c r="G468" s="1791"/>
      <c r="H468" s="1791"/>
      <c r="I468" s="1791"/>
      <c r="J468" s="1791"/>
      <c r="K468" s="1791"/>
      <c r="L468" s="1791"/>
      <c r="M468" s="1791"/>
      <c r="N468" s="1791"/>
      <c r="O468" s="1791"/>
      <c r="P468" s="1791"/>
      <c r="Q468" s="1791"/>
      <c r="R468" s="1791"/>
      <c r="S468" s="1791"/>
      <c r="T468" s="1791"/>
      <c r="U468" s="1791"/>
      <c r="V468" s="1792"/>
      <c r="W468" s="1710">
        <v>0</v>
      </c>
      <c r="X468" s="1711"/>
      <c r="Y468" s="1712"/>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790" t="s">
        <v>892</v>
      </c>
      <c r="E469" s="1791"/>
      <c r="F469" s="1791"/>
      <c r="G469" s="1791"/>
      <c r="H469" s="1791"/>
      <c r="I469" s="1791"/>
      <c r="J469" s="1791"/>
      <c r="K469" s="1791"/>
      <c r="L469" s="1791"/>
      <c r="M469" s="1791"/>
      <c r="N469" s="1791"/>
      <c r="O469" s="1791"/>
      <c r="P469" s="1791"/>
      <c r="Q469" s="1791"/>
      <c r="R469" s="1791"/>
      <c r="S469" s="1791"/>
      <c r="T469" s="1791"/>
      <c r="U469" s="1791"/>
      <c r="V469" s="1792"/>
      <c r="W469" s="1710">
        <v>0</v>
      </c>
      <c r="X469" s="1711"/>
      <c r="Y469" s="1712"/>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790" t="s">
        <v>704</v>
      </c>
      <c r="E470" s="1791"/>
      <c r="F470" s="1791"/>
      <c r="G470" s="1791"/>
      <c r="H470" s="1791"/>
      <c r="I470" s="1791"/>
      <c r="J470" s="1791"/>
      <c r="K470" s="1791"/>
      <c r="L470" s="1791"/>
      <c r="M470" s="1791"/>
      <c r="N470" s="1791"/>
      <c r="O470" s="1791"/>
      <c r="P470" s="1791"/>
      <c r="Q470" s="1791"/>
      <c r="R470" s="1791"/>
      <c r="S470" s="1791"/>
      <c r="T470" s="1791"/>
      <c r="U470" s="1791"/>
      <c r="V470" s="1792"/>
      <c r="W470" s="1710">
        <v>0</v>
      </c>
      <c r="X470" s="1711"/>
      <c r="Y470" s="1712"/>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790" t="s">
        <v>1034</v>
      </c>
      <c r="E471" s="1791"/>
      <c r="F471" s="1791"/>
      <c r="G471" s="1791"/>
      <c r="H471" s="1791"/>
      <c r="I471" s="1791"/>
      <c r="J471" s="1791"/>
      <c r="K471" s="1791"/>
      <c r="L471" s="1791"/>
      <c r="M471" s="1791"/>
      <c r="N471" s="1791"/>
      <c r="O471" s="1791"/>
      <c r="P471" s="1791"/>
      <c r="Q471" s="1791"/>
      <c r="R471" s="1791"/>
      <c r="S471" s="1791"/>
      <c r="T471" s="1791"/>
      <c r="U471" s="1791"/>
      <c r="V471" s="1792"/>
      <c r="W471" s="1710">
        <v>0</v>
      </c>
      <c r="X471" s="1711"/>
      <c r="Y471" s="1712"/>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849" t="s">
        <v>2553</v>
      </c>
      <c r="E472" s="1881"/>
      <c r="F472" s="1881"/>
      <c r="G472" s="1881"/>
      <c r="H472" s="1881"/>
      <c r="I472" s="1881"/>
      <c r="J472" s="1881"/>
      <c r="K472" s="1881"/>
      <c r="L472" s="1881"/>
      <c r="M472" s="1881"/>
      <c r="N472" s="1881"/>
      <c r="O472" s="1881"/>
      <c r="P472" s="1881"/>
      <c r="Q472" s="1881"/>
      <c r="R472" s="1881"/>
      <c r="S472" s="1881"/>
      <c r="T472" s="1881"/>
      <c r="U472" s="1881"/>
      <c r="V472" s="1882"/>
      <c r="W472" s="1710">
        <v>0</v>
      </c>
      <c r="X472" s="1711"/>
      <c r="Y472" s="1712"/>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849" t="s">
        <v>1765</v>
      </c>
      <c r="E473" s="1791"/>
      <c r="F473" s="1791"/>
      <c r="G473" s="1791"/>
      <c r="H473" s="1791"/>
      <c r="I473" s="1791"/>
      <c r="J473" s="1791"/>
      <c r="K473" s="1791"/>
      <c r="L473" s="1791"/>
      <c r="M473" s="1791"/>
      <c r="N473" s="1791"/>
      <c r="O473" s="1791"/>
      <c r="P473" s="1791"/>
      <c r="Q473" s="1791"/>
      <c r="R473" s="1791"/>
      <c r="S473" s="1791"/>
      <c r="T473" s="1791"/>
      <c r="U473" s="1791"/>
      <c r="V473" s="1792"/>
      <c r="W473" s="1710">
        <v>0</v>
      </c>
      <c r="X473" s="1711"/>
      <c r="Y473" s="1712"/>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169</v>
      </c>
      <c r="E474" s="262"/>
      <c r="F474" s="263"/>
      <c r="G474" s="1846"/>
      <c r="H474" s="1847"/>
      <c r="I474" s="1847"/>
      <c r="J474" s="1847"/>
      <c r="K474" s="1847"/>
      <c r="L474" s="1847"/>
      <c r="M474" s="1847"/>
      <c r="N474" s="1847"/>
      <c r="O474" s="1847"/>
      <c r="P474" s="1847"/>
      <c r="Q474" s="1847"/>
      <c r="R474" s="1847"/>
      <c r="S474" s="1847"/>
      <c r="T474" s="1847"/>
      <c r="U474" s="1847"/>
      <c r="V474" s="1848"/>
      <c r="W474" s="1710">
        <v>0</v>
      </c>
      <c r="X474" s="1711"/>
      <c r="Y474" s="1712"/>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893</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446" t="s">
        <v>818</v>
      </c>
      <c r="B480" s="1446"/>
      <c r="C480" s="1446"/>
      <c r="D480" s="1446"/>
      <c r="E480" s="1446"/>
      <c r="F480" s="1446"/>
      <c r="G480" s="1446"/>
      <c r="H480" s="1446"/>
      <c r="I480" s="1446"/>
      <c r="J480" s="1446"/>
      <c r="K480" s="1446"/>
      <c r="L480" s="1446"/>
      <c r="M480" s="1446"/>
      <c r="N480" s="1446"/>
      <c r="O480" s="1446"/>
      <c r="P480" s="1446"/>
      <c r="Q480" s="1446"/>
      <c r="R480" s="1446"/>
      <c r="S480" s="1446"/>
      <c r="T480" s="1446"/>
      <c r="U480" s="1446"/>
      <c r="V480" s="1446"/>
      <c r="W480" s="1446"/>
      <c r="X480" s="1446"/>
      <c r="Y480" s="1446"/>
      <c r="Z480" s="1446"/>
      <c r="AA480" s="1446"/>
      <c r="AB480" s="1446"/>
      <c r="AC480" s="1446"/>
      <c r="AD480" s="1446"/>
      <c r="AE480" s="1446"/>
      <c r="AF480" s="1446"/>
      <c r="AG480" s="1446"/>
      <c r="AH480" s="1446"/>
      <c r="AI480" s="1446"/>
      <c r="AJ480" s="1446"/>
      <c r="AK480" s="1446"/>
      <c r="AL480" s="1446"/>
      <c r="AM480" s="1446"/>
      <c r="AN480" s="1446"/>
      <c r="AO480" s="1446"/>
      <c r="AP480" s="1446"/>
      <c r="AQ480" s="1446"/>
      <c r="AR480" s="1446"/>
      <c r="AS480" s="1446"/>
      <c r="AT480" s="1446"/>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446"/>
      <c r="B481" s="1446"/>
      <c r="C481" s="1446"/>
      <c r="D481" s="1446"/>
      <c r="E481" s="1446"/>
      <c r="F481" s="1446"/>
      <c r="G481" s="1446"/>
      <c r="H481" s="1446"/>
      <c r="I481" s="1446"/>
      <c r="J481" s="1446"/>
      <c r="K481" s="1446"/>
      <c r="L481" s="1446"/>
      <c r="M481" s="1446"/>
      <c r="N481" s="1446"/>
      <c r="O481" s="1446"/>
      <c r="P481" s="1446"/>
      <c r="Q481" s="1446"/>
      <c r="R481" s="1446"/>
      <c r="S481" s="1446"/>
      <c r="T481" s="1446"/>
      <c r="U481" s="1446"/>
      <c r="V481" s="1446"/>
      <c r="W481" s="1446"/>
      <c r="X481" s="1446"/>
      <c r="Y481" s="1446"/>
      <c r="Z481" s="1446"/>
      <c r="AA481" s="1446"/>
      <c r="AB481" s="1446"/>
      <c r="AC481" s="1446"/>
      <c r="AD481" s="1446"/>
      <c r="AE481" s="1446"/>
      <c r="AF481" s="1446"/>
      <c r="AG481" s="1446"/>
      <c r="AH481" s="1446"/>
      <c r="AI481" s="1446"/>
      <c r="AJ481" s="1446"/>
      <c r="AK481" s="1446"/>
      <c r="AL481" s="1446"/>
      <c r="AM481" s="1446"/>
      <c r="AN481" s="1446"/>
      <c r="AO481" s="1446"/>
      <c r="AP481" s="1446"/>
      <c r="AQ481" s="1446"/>
      <c r="AR481" s="1446"/>
      <c r="AS481" s="1446"/>
      <c r="AT481" s="1446"/>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319</v>
      </c>
      <c r="C483" s="2" t="s">
        <v>816</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718" t="s">
        <v>393</v>
      </c>
      <c r="R485" s="1719"/>
      <c r="S485" s="1719"/>
      <c r="T485" s="1719"/>
      <c r="U485" s="1719"/>
      <c r="V485" s="1719"/>
      <c r="W485" s="1719"/>
      <c r="X485" s="1719"/>
      <c r="Y485" s="1719"/>
      <c r="Z485" s="1719"/>
      <c r="AA485" s="1719"/>
      <c r="AB485" s="1719"/>
      <c r="AC485" s="1719"/>
      <c r="AD485" s="1719"/>
      <c r="AE485" s="1719"/>
      <c r="AF485" s="1719"/>
      <c r="AG485" s="1719"/>
      <c r="AH485" s="1719"/>
      <c r="AI485" s="1719"/>
      <c r="AJ485" s="1719"/>
      <c r="AK485" s="1720"/>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394</v>
      </c>
      <c r="C486" s="5"/>
      <c r="D486" s="5"/>
      <c r="E486" s="5"/>
      <c r="F486" s="5"/>
      <c r="G486" s="5"/>
      <c r="H486" s="5"/>
      <c r="I486" s="5"/>
      <c r="J486" s="5"/>
      <c r="K486" s="5"/>
      <c r="L486" s="5"/>
      <c r="M486" s="5"/>
      <c r="N486" s="5"/>
      <c r="O486" s="5"/>
      <c r="P486" s="5"/>
      <c r="Q486" s="1553" t="s">
        <v>2708</v>
      </c>
      <c r="R486" s="1371"/>
      <c r="S486" s="1371"/>
      <c r="T486" s="1371"/>
      <c r="U486" s="1371"/>
      <c r="V486" s="1371"/>
      <c r="W486" s="1371"/>
      <c r="X486" s="1371"/>
      <c r="Y486" s="1371"/>
      <c r="Z486" s="1371"/>
      <c r="AA486" s="1371"/>
      <c r="AB486" s="1371"/>
      <c r="AC486" s="1371"/>
      <c r="AD486" s="1371"/>
      <c r="AE486" s="1371"/>
      <c r="AF486" s="1371"/>
      <c r="AG486" s="1371"/>
      <c r="AH486" s="1371"/>
      <c r="AI486" s="1371"/>
      <c r="AJ486" s="1371"/>
      <c r="AK486" s="1716"/>
      <c r="AZ486" s="3"/>
      <c r="BB486" s="3"/>
      <c r="BC486" s="3"/>
      <c r="BD486" s="3"/>
      <c r="BE486" s="3"/>
      <c r="BF486" s="3"/>
      <c r="BG486" s="3"/>
      <c r="BH486" s="3"/>
      <c r="BI486" s="3"/>
      <c r="BJ486" s="3"/>
      <c r="BK486" s="3"/>
      <c r="BL486" s="3"/>
      <c r="BM486" s="3"/>
      <c r="BN486" s="3"/>
      <c r="BO486" s="3"/>
      <c r="BP486" s="3"/>
      <c r="BQ486" s="3"/>
      <c r="BR486" s="3"/>
      <c r="BS486" s="3"/>
      <c r="BT486" s="3"/>
      <c r="BU486" s="3"/>
      <c r="BV486" s="207" t="s">
        <v>2506</v>
      </c>
      <c r="BW486" s="208"/>
      <c r="BX486" s="208"/>
      <c r="BY486" s="208"/>
      <c r="BZ486" s="208"/>
      <c r="CA486" s="208"/>
      <c r="CB486" s="208"/>
      <c r="CC486" s="3"/>
      <c r="CD486" s="207" t="s">
        <v>2505</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395</v>
      </c>
      <c r="C487" s="5"/>
      <c r="D487" s="5"/>
      <c r="E487" s="5"/>
      <c r="F487" s="5"/>
      <c r="G487" s="5"/>
      <c r="H487" s="5"/>
      <c r="I487" s="5"/>
      <c r="J487" s="5"/>
      <c r="K487" s="5"/>
      <c r="L487" s="5"/>
      <c r="M487" s="5"/>
      <c r="N487" s="5"/>
      <c r="O487" s="5"/>
      <c r="P487" s="5"/>
      <c r="Q487" s="1553" t="s">
        <v>2719</v>
      </c>
      <c r="R487" s="1371"/>
      <c r="S487" s="1371"/>
      <c r="T487" s="1371"/>
      <c r="U487" s="1371"/>
      <c r="V487" s="1371"/>
      <c r="W487" s="1371"/>
      <c r="X487" s="1371"/>
      <c r="Y487" s="1371"/>
      <c r="Z487" s="1371"/>
      <c r="AA487" s="1371"/>
      <c r="AB487" s="1371"/>
      <c r="AC487" s="1371"/>
      <c r="AD487" s="1371"/>
      <c r="AE487" s="1371"/>
      <c r="AF487" s="1371"/>
      <c r="AG487" s="1371"/>
      <c r="AH487" s="1371"/>
      <c r="AI487" s="1371"/>
      <c r="AJ487" s="1371"/>
      <c r="AK487" s="1716"/>
      <c r="AZ487" s="3"/>
      <c r="BB487" s="3"/>
      <c r="BC487" s="3"/>
      <c r="BD487" s="3"/>
      <c r="BE487" s="3"/>
      <c r="BF487" s="3"/>
      <c r="BG487" s="3"/>
      <c r="BH487" s="3"/>
      <c r="BI487" s="3"/>
      <c r="BJ487" s="3"/>
      <c r="BK487" s="3"/>
      <c r="BL487" s="3"/>
      <c r="BM487" s="3"/>
      <c r="BN487" s="3"/>
      <c r="BO487" s="3"/>
      <c r="BP487" s="3"/>
      <c r="BQ487" s="3"/>
      <c r="BR487" s="3"/>
      <c r="BS487" s="3"/>
      <c r="BT487" s="3"/>
      <c r="BU487" s="3"/>
      <c r="BV487" s="308" t="s">
        <v>654</v>
      </c>
      <c r="BW487" s="208"/>
      <c r="BX487" s="208"/>
      <c r="BY487" s="208"/>
      <c r="BZ487" s="208"/>
      <c r="CA487" s="208"/>
      <c r="CB487" s="208"/>
      <c r="CC487" s="3"/>
      <c r="CD487" s="308" t="s">
        <v>2231</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396</v>
      </c>
      <c r="C488" s="5"/>
      <c r="D488" s="5"/>
      <c r="E488" s="5"/>
      <c r="F488" s="5"/>
      <c r="G488" s="5"/>
      <c r="H488" s="5"/>
      <c r="I488" s="5"/>
      <c r="J488" s="5"/>
      <c r="K488" s="5"/>
      <c r="L488" s="5"/>
      <c r="M488" s="5"/>
      <c r="N488" s="5"/>
      <c r="O488" s="5"/>
      <c r="P488" s="5"/>
      <c r="Q488" s="1553" t="s">
        <v>2719</v>
      </c>
      <c r="R488" s="1371"/>
      <c r="S488" s="1371"/>
      <c r="T488" s="1371"/>
      <c r="U488" s="1371"/>
      <c r="V488" s="1371"/>
      <c r="W488" s="1371"/>
      <c r="X488" s="1371"/>
      <c r="Y488" s="1371"/>
      <c r="Z488" s="1371"/>
      <c r="AA488" s="1371"/>
      <c r="AB488" s="1371"/>
      <c r="AC488" s="1371"/>
      <c r="AD488" s="1371"/>
      <c r="AE488" s="1371"/>
      <c r="AF488" s="1371"/>
      <c r="AG488" s="1371"/>
      <c r="AH488" s="1371"/>
      <c r="AI488" s="1371"/>
      <c r="AJ488" s="1371"/>
      <c r="AK488" s="1716"/>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865" t="s">
        <v>397</v>
      </c>
      <c r="C489" s="1866"/>
      <c r="D489" s="1866"/>
      <c r="E489" s="1866"/>
      <c r="F489" s="1866"/>
      <c r="G489" s="1866"/>
      <c r="H489" s="1866"/>
      <c r="I489" s="1866"/>
      <c r="J489" s="1866"/>
      <c r="K489" s="1866"/>
      <c r="L489" s="1866"/>
      <c r="M489" s="1866"/>
      <c r="N489" s="1866"/>
      <c r="O489" s="1866"/>
      <c r="P489" s="1867"/>
      <c r="Q489" s="1871" t="s">
        <v>552</v>
      </c>
      <c r="R489" s="1872"/>
      <c r="S489" s="1731" t="s">
        <v>2709</v>
      </c>
      <c r="T489" s="1732"/>
      <c r="U489" s="1732"/>
      <c r="V489" s="1732"/>
      <c r="W489" s="1732"/>
      <c r="X489" s="1732"/>
      <c r="Y489" s="1732"/>
      <c r="Z489" s="1732"/>
      <c r="AA489" s="1732"/>
      <c r="AB489" s="1732"/>
      <c r="AC489" s="1732"/>
      <c r="AD489" s="1732"/>
      <c r="AE489" s="1732"/>
      <c r="AF489" s="1732"/>
      <c r="AG489" s="1732"/>
      <c r="AH489" s="1732"/>
      <c r="AI489" s="1732"/>
      <c r="AJ489" s="1732"/>
      <c r="AK489" s="1733"/>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655</v>
      </c>
      <c r="BW489" s="376" t="s">
        <v>324</v>
      </c>
      <c r="BX489" s="376" t="s">
        <v>325</v>
      </c>
      <c r="BY489" s="376" t="s">
        <v>163</v>
      </c>
      <c r="BZ489" s="376" t="s">
        <v>164</v>
      </c>
      <c r="CA489" s="376" t="s">
        <v>165</v>
      </c>
      <c r="CB489" s="376" t="s">
        <v>30</v>
      </c>
      <c r="CC489" s="3"/>
      <c r="CD489" s="376" t="s">
        <v>324</v>
      </c>
      <c r="CE489" s="376" t="s">
        <v>325</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868"/>
      <c r="C490" s="1869"/>
      <c r="D490" s="1869"/>
      <c r="E490" s="1869"/>
      <c r="F490" s="1869"/>
      <c r="G490" s="1869"/>
      <c r="H490" s="1869"/>
      <c r="I490" s="1869"/>
      <c r="J490" s="1869"/>
      <c r="K490" s="1869"/>
      <c r="L490" s="1869"/>
      <c r="M490" s="1869"/>
      <c r="N490" s="1869"/>
      <c r="O490" s="1869"/>
      <c r="P490" s="1870"/>
      <c r="Q490" s="1873"/>
      <c r="R490" s="1874"/>
      <c r="S490" s="1734"/>
      <c r="T490" s="1735"/>
      <c r="U490" s="1735"/>
      <c r="V490" s="1735"/>
      <c r="W490" s="1735"/>
      <c r="X490" s="1735"/>
      <c r="Y490" s="1735"/>
      <c r="Z490" s="1735"/>
      <c r="AA490" s="1735"/>
      <c r="AB490" s="1735"/>
      <c r="AC490" s="1735"/>
      <c r="AD490" s="1735"/>
      <c r="AE490" s="1735"/>
      <c r="AF490" s="1735"/>
      <c r="AG490" s="1735"/>
      <c r="AH490" s="1735"/>
      <c r="AI490" s="1735"/>
      <c r="AJ490" s="1735"/>
      <c r="AK490" s="1736"/>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483</v>
      </c>
      <c r="BW490" s="491">
        <v>2590</v>
      </c>
      <c r="BX490" s="492">
        <v>2774</v>
      </c>
      <c r="BY490" s="493">
        <v>3330</v>
      </c>
      <c r="BZ490" s="492">
        <v>3846</v>
      </c>
      <c r="CA490" s="493">
        <v>4290</v>
      </c>
      <c r="CB490" s="494">
        <v>4732</v>
      </c>
      <c r="CC490" s="3"/>
      <c r="CD490" s="895">
        <v>1658</v>
      </c>
      <c r="CE490" s="895">
        <v>1969</v>
      </c>
      <c r="CF490" s="895">
        <v>2405</v>
      </c>
      <c r="CG490" s="895">
        <v>3144</v>
      </c>
      <c r="CH490" s="89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1783</v>
      </c>
      <c r="C491" s="907"/>
      <c r="D491" s="907"/>
      <c r="E491" s="907"/>
      <c r="F491" s="907"/>
      <c r="G491" s="907"/>
      <c r="H491" s="907"/>
      <c r="I491" s="907"/>
      <c r="J491" s="907"/>
      <c r="K491" s="907"/>
      <c r="L491" s="907"/>
      <c r="M491" s="907"/>
      <c r="N491" s="907"/>
      <c r="O491" s="907"/>
      <c r="P491" s="907"/>
      <c r="Q491" s="1841" t="s">
        <v>676</v>
      </c>
      <c r="R491" s="1842"/>
      <c r="S491" s="1842"/>
      <c r="T491" s="1842"/>
      <c r="U491" s="1842"/>
      <c r="V491" s="1842"/>
      <c r="W491" s="1842"/>
      <c r="X491" s="1842"/>
      <c r="Y491" s="1842"/>
      <c r="Z491" s="1842"/>
      <c r="AA491" s="1842"/>
      <c r="AB491" s="1842"/>
      <c r="AC491" s="1842"/>
      <c r="AD491" s="1842"/>
      <c r="AE491" s="1842"/>
      <c r="AF491" s="1842"/>
      <c r="AG491" s="1842"/>
      <c r="AH491" s="1842"/>
      <c r="AI491" s="1842"/>
      <c r="AJ491" s="1842"/>
      <c r="AK491" s="1843"/>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484</v>
      </c>
      <c r="BW491" s="495">
        <v>1682</v>
      </c>
      <c r="BX491" s="496">
        <v>1802</v>
      </c>
      <c r="BY491" s="495">
        <v>2162</v>
      </c>
      <c r="BZ491" s="496">
        <v>2498</v>
      </c>
      <c r="CA491" s="496">
        <v>2786</v>
      </c>
      <c r="CB491" s="497">
        <v>3076</v>
      </c>
      <c r="CC491" s="3"/>
      <c r="CD491" s="895">
        <v>776</v>
      </c>
      <c r="CE491" s="895">
        <v>867</v>
      </c>
      <c r="CF491" s="895">
        <v>1140</v>
      </c>
      <c r="CG491" s="895">
        <v>1620</v>
      </c>
      <c r="CH491" s="89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398</v>
      </c>
      <c r="C492" s="5"/>
      <c r="D492" s="5"/>
      <c r="E492" s="5"/>
      <c r="F492" s="5"/>
      <c r="G492" s="5"/>
      <c r="H492" s="5"/>
      <c r="I492" s="5"/>
      <c r="J492" s="5"/>
      <c r="K492" s="5"/>
      <c r="L492" s="5"/>
      <c r="M492" s="5"/>
      <c r="N492" s="5"/>
      <c r="O492" s="5"/>
      <c r="P492" s="5"/>
      <c r="Q492" s="1553" t="s">
        <v>2726</v>
      </c>
      <c r="R492" s="1371"/>
      <c r="S492" s="1371"/>
      <c r="T492" s="1371"/>
      <c r="U492" s="1371"/>
      <c r="V492" s="1371"/>
      <c r="W492" s="1371"/>
      <c r="X492" s="1371"/>
      <c r="Y492" s="1371"/>
      <c r="Z492" s="1371"/>
      <c r="AA492" s="1371"/>
      <c r="AB492" s="1371"/>
      <c r="AC492" s="1371"/>
      <c r="AD492" s="1371"/>
      <c r="AE492" s="1371"/>
      <c r="AF492" s="1371"/>
      <c r="AG492" s="1371"/>
      <c r="AH492" s="1371"/>
      <c r="AI492" s="1371"/>
      <c r="AJ492" s="1371"/>
      <c r="AK492" s="1716"/>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485</v>
      </c>
      <c r="BW492" s="498">
        <v>1604</v>
      </c>
      <c r="BX492" s="499">
        <v>1720</v>
      </c>
      <c r="BY492" s="498">
        <v>2064</v>
      </c>
      <c r="BZ492" s="499">
        <v>2384</v>
      </c>
      <c r="CA492" s="499">
        <v>2660</v>
      </c>
      <c r="CB492" s="500">
        <v>2936</v>
      </c>
      <c r="CC492" s="3"/>
      <c r="CD492" s="895">
        <v>992</v>
      </c>
      <c r="CE492" s="895">
        <v>998</v>
      </c>
      <c r="CF492" s="895">
        <v>1199</v>
      </c>
      <c r="CG492" s="895">
        <v>1704</v>
      </c>
      <c r="CH492" s="89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399</v>
      </c>
      <c r="C493" s="5"/>
      <c r="D493" s="5"/>
      <c r="E493" s="5"/>
      <c r="F493" s="5"/>
      <c r="G493" s="5"/>
      <c r="H493" s="5"/>
      <c r="I493" s="5"/>
      <c r="J493" s="5"/>
      <c r="K493" s="5"/>
      <c r="L493" s="5"/>
      <c r="M493" s="5"/>
      <c r="N493" s="5"/>
      <c r="O493" s="5"/>
      <c r="P493" s="5"/>
      <c r="Q493" s="1553" t="s">
        <v>2710</v>
      </c>
      <c r="R493" s="1371"/>
      <c r="S493" s="1371"/>
      <c r="T493" s="1371"/>
      <c r="U493" s="1371"/>
      <c r="V493" s="1371"/>
      <c r="W493" s="1371"/>
      <c r="X493" s="1371"/>
      <c r="Y493" s="1371"/>
      <c r="Z493" s="1371"/>
      <c r="AA493" s="1371"/>
      <c r="AB493" s="1371"/>
      <c r="AC493" s="1371"/>
      <c r="AD493" s="1371"/>
      <c r="AE493" s="1371"/>
      <c r="AF493" s="1371"/>
      <c r="AG493" s="1371"/>
      <c r="AH493" s="1371"/>
      <c r="AI493" s="1371"/>
      <c r="AJ493" s="1371"/>
      <c r="AK493" s="1716"/>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486</v>
      </c>
      <c r="BW493" s="498">
        <v>1444</v>
      </c>
      <c r="BX493" s="499">
        <v>1546</v>
      </c>
      <c r="BY493" s="498">
        <v>1856</v>
      </c>
      <c r="BZ493" s="499">
        <v>2144</v>
      </c>
      <c r="CA493" s="499">
        <v>2392</v>
      </c>
      <c r="CB493" s="500">
        <v>2640</v>
      </c>
      <c r="CC493" s="3"/>
      <c r="CD493" s="895">
        <v>893</v>
      </c>
      <c r="CE493" s="895">
        <v>941</v>
      </c>
      <c r="CF493" s="895">
        <v>1239</v>
      </c>
      <c r="CG493" s="895">
        <v>1761</v>
      </c>
      <c r="CH493" s="89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1780</v>
      </c>
      <c r="C494" s="5"/>
      <c r="D494" s="5"/>
      <c r="E494" s="5"/>
      <c r="F494" s="5"/>
      <c r="G494" s="5"/>
      <c r="H494" s="5"/>
      <c r="I494" s="5"/>
      <c r="J494" s="5"/>
      <c r="K494" s="5"/>
      <c r="L494" s="5"/>
      <c r="M494" s="5"/>
      <c r="N494" s="5"/>
      <c r="O494" s="5"/>
      <c r="P494" s="5"/>
      <c r="Q494" s="1553" t="s">
        <v>2710</v>
      </c>
      <c r="R494" s="1371"/>
      <c r="S494" s="1371"/>
      <c r="T494" s="1371"/>
      <c r="U494" s="1371"/>
      <c r="V494" s="1371"/>
      <c r="W494" s="1371"/>
      <c r="X494" s="1371"/>
      <c r="Y494" s="1371"/>
      <c r="Z494" s="1371"/>
      <c r="AA494" s="1371"/>
      <c r="AB494" s="1371"/>
      <c r="AC494" s="1371"/>
      <c r="AD494" s="1371"/>
      <c r="AE494" s="1371"/>
      <c r="AF494" s="1371"/>
      <c r="AG494" s="1371"/>
      <c r="AH494" s="1371"/>
      <c r="AI494" s="1371"/>
      <c r="AJ494" s="1371"/>
      <c r="AK494" s="1716"/>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487</v>
      </c>
      <c r="BW494" s="498">
        <v>1670</v>
      </c>
      <c r="BX494" s="499">
        <v>1788</v>
      </c>
      <c r="BY494" s="498">
        <v>2144</v>
      </c>
      <c r="BZ494" s="499">
        <v>2478</v>
      </c>
      <c r="CA494" s="499">
        <v>2764</v>
      </c>
      <c r="CB494" s="500">
        <v>3050</v>
      </c>
      <c r="CC494" s="3"/>
      <c r="CD494" s="895">
        <v>919</v>
      </c>
      <c r="CE494" s="895">
        <v>925</v>
      </c>
      <c r="CF494" s="895">
        <v>1161</v>
      </c>
      <c r="CG494" s="895">
        <v>1650</v>
      </c>
      <c r="CH494" s="89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1781</v>
      </c>
      <c r="C495" s="5"/>
      <c r="D495" s="5"/>
      <c r="E495" s="5"/>
      <c r="F495" s="5"/>
      <c r="G495" s="5"/>
      <c r="H495" s="5"/>
      <c r="I495" s="5"/>
      <c r="J495" s="5"/>
      <c r="K495" s="5"/>
      <c r="L495" s="5"/>
      <c r="M495" s="1359">
        <v>0</v>
      </c>
      <c r="N495" s="1360"/>
      <c r="O495" s="1360"/>
      <c r="P495" s="1361"/>
      <c r="Q495" s="121" t="s">
        <v>1782</v>
      </c>
      <c r="R495" s="5"/>
      <c r="S495" s="5"/>
      <c r="T495" s="5"/>
      <c r="U495" s="5"/>
      <c r="V495" s="5"/>
      <c r="W495" s="5"/>
      <c r="X495" s="5"/>
      <c r="Y495" s="5"/>
      <c r="Z495" s="5"/>
      <c r="AA495" s="5"/>
      <c r="AB495" s="5"/>
      <c r="AC495" s="5"/>
      <c r="AD495" s="5"/>
      <c r="AE495" s="5"/>
      <c r="AF495" s="5"/>
      <c r="AG495" s="5"/>
      <c r="AH495" s="1359">
        <v>0</v>
      </c>
      <c r="AI495" s="1360"/>
      <c r="AJ495" s="1360"/>
      <c r="AK495" s="1361"/>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488</v>
      </c>
      <c r="BW495" s="498">
        <v>1444</v>
      </c>
      <c r="BX495" s="499">
        <v>1546</v>
      </c>
      <c r="BY495" s="498">
        <v>1856</v>
      </c>
      <c r="BZ495" s="499">
        <v>2144</v>
      </c>
      <c r="CA495" s="499">
        <v>2392</v>
      </c>
      <c r="CB495" s="500">
        <v>2640</v>
      </c>
      <c r="CC495" s="3"/>
      <c r="CD495" s="895">
        <v>741</v>
      </c>
      <c r="CE495" s="895">
        <v>746</v>
      </c>
      <c r="CF495" s="895">
        <v>982</v>
      </c>
      <c r="CG495" s="895">
        <v>1341</v>
      </c>
      <c r="CH495" s="89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489</v>
      </c>
      <c r="BW496" s="498">
        <v>2590</v>
      </c>
      <c r="BX496" s="499">
        <v>2774</v>
      </c>
      <c r="BY496" s="498">
        <v>3330</v>
      </c>
      <c r="BZ496" s="499">
        <v>3846</v>
      </c>
      <c r="CA496" s="499">
        <v>4290</v>
      </c>
      <c r="CB496" s="500">
        <v>4732</v>
      </c>
      <c r="CC496" s="3"/>
      <c r="CD496" s="895">
        <v>1658</v>
      </c>
      <c r="CE496" s="895">
        <v>1969</v>
      </c>
      <c r="CF496" s="895">
        <v>2405</v>
      </c>
      <c r="CG496" s="895">
        <v>3144</v>
      </c>
      <c r="CH496" s="89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583</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490</v>
      </c>
      <c r="BW497" s="498">
        <v>1444</v>
      </c>
      <c r="BX497" s="499">
        <v>1546</v>
      </c>
      <c r="BY497" s="498">
        <v>1856</v>
      </c>
      <c r="BZ497" s="499">
        <v>2144</v>
      </c>
      <c r="CA497" s="499">
        <v>2392</v>
      </c>
      <c r="CB497" s="500">
        <v>2640</v>
      </c>
      <c r="CC497" s="3"/>
      <c r="CD497" s="895">
        <v>693</v>
      </c>
      <c r="CE497" s="895">
        <v>875</v>
      </c>
      <c r="CF497" s="895">
        <v>1037</v>
      </c>
      <c r="CG497" s="895">
        <v>1421</v>
      </c>
      <c r="CH497" s="89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491</v>
      </c>
      <c r="BW498" s="498">
        <v>1876</v>
      </c>
      <c r="BX498" s="499">
        <v>2010</v>
      </c>
      <c r="BY498" s="498">
        <v>2412</v>
      </c>
      <c r="BZ498" s="499">
        <v>2786</v>
      </c>
      <c r="CA498" s="499">
        <v>3110</v>
      </c>
      <c r="CB498" s="500">
        <v>3432</v>
      </c>
      <c r="CC498" s="3"/>
      <c r="CD498" s="895">
        <v>1277</v>
      </c>
      <c r="CE498" s="895">
        <v>1400</v>
      </c>
      <c r="CF498" s="895">
        <v>1756</v>
      </c>
      <c r="CG498" s="895">
        <v>2496</v>
      </c>
      <c r="CH498" s="89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18" t="s">
        <v>401</v>
      </c>
      <c r="AD499" s="1719"/>
      <c r="AE499" s="1719"/>
      <c r="AF499" s="1719"/>
      <c r="AG499" s="1719"/>
      <c r="AH499" s="1719"/>
      <c r="AI499" s="1719"/>
      <c r="AJ499" s="1719"/>
      <c r="AK499" s="1720"/>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492</v>
      </c>
      <c r="BW499" s="498">
        <v>1444</v>
      </c>
      <c r="BX499" s="499">
        <v>1546</v>
      </c>
      <c r="BY499" s="498">
        <v>1856</v>
      </c>
      <c r="BZ499" s="499">
        <v>2144</v>
      </c>
      <c r="CA499" s="499">
        <v>2392</v>
      </c>
      <c r="CB499" s="500">
        <v>2640</v>
      </c>
      <c r="CC499" s="3"/>
      <c r="CD499" s="895">
        <v>991</v>
      </c>
      <c r="CE499" s="895">
        <v>997</v>
      </c>
      <c r="CF499" s="895">
        <v>1258</v>
      </c>
      <c r="CG499" s="895">
        <v>1772</v>
      </c>
      <c r="CH499" s="89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18" t="s">
        <v>402</v>
      </c>
      <c r="AD500" s="1719"/>
      <c r="AE500" s="1719"/>
      <c r="AF500" s="1719"/>
      <c r="AG500" s="50" t="s">
        <v>403</v>
      </c>
      <c r="AH500" s="1719" t="s">
        <v>404</v>
      </c>
      <c r="AI500" s="1719"/>
      <c r="AJ500" s="1719"/>
      <c r="AK500" s="1720"/>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493</v>
      </c>
      <c r="BW500" s="498">
        <v>1444</v>
      </c>
      <c r="BX500" s="499">
        <v>1546</v>
      </c>
      <c r="BY500" s="498">
        <v>1856</v>
      </c>
      <c r="BZ500" s="499">
        <v>2144</v>
      </c>
      <c r="CA500" s="499">
        <v>2392</v>
      </c>
      <c r="CB500" s="500">
        <v>2640</v>
      </c>
      <c r="CC500" s="3"/>
      <c r="CD500" s="895">
        <v>668</v>
      </c>
      <c r="CE500" s="895">
        <v>759</v>
      </c>
      <c r="CF500" s="895">
        <v>999</v>
      </c>
      <c r="CG500" s="895">
        <v>1272</v>
      </c>
      <c r="CH500" s="89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694" t="s">
        <v>405</v>
      </c>
      <c r="C501" s="1695"/>
      <c r="D501" s="1695"/>
      <c r="E501" s="1695"/>
      <c r="F501" s="1695"/>
      <c r="G501" s="1695"/>
      <c r="H501" s="1696"/>
      <c r="I501" s="42" t="s">
        <v>406</v>
      </c>
      <c r="J501" s="42"/>
      <c r="K501" s="42"/>
      <c r="L501" s="42"/>
      <c r="M501" s="42"/>
      <c r="N501" s="42"/>
      <c r="O501" s="42"/>
      <c r="P501" s="42"/>
      <c r="Q501" s="42"/>
      <c r="R501" s="42"/>
      <c r="S501" s="42"/>
      <c r="T501" s="42"/>
      <c r="U501" s="42"/>
      <c r="V501" s="42"/>
      <c r="W501" s="42"/>
      <c r="AC501" s="1737" t="s">
        <v>598</v>
      </c>
      <c r="AD501" s="1631"/>
      <c r="AE501" s="1631"/>
      <c r="AF501" s="1631"/>
      <c r="AG501" s="13" t="s">
        <v>403</v>
      </c>
      <c r="AH501" s="1421">
        <v>0</v>
      </c>
      <c r="AI501" s="1421"/>
      <c r="AJ501" s="1421"/>
      <c r="AK501" s="1422"/>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494</v>
      </c>
      <c r="BW501" s="498">
        <v>1444</v>
      </c>
      <c r="BX501" s="499">
        <v>1546</v>
      </c>
      <c r="BY501" s="498">
        <v>1856</v>
      </c>
      <c r="BZ501" s="499">
        <v>2144</v>
      </c>
      <c r="CA501" s="499">
        <v>2392</v>
      </c>
      <c r="CB501" s="500">
        <v>2640</v>
      </c>
      <c r="CC501" s="3"/>
      <c r="CD501" s="895">
        <v>812</v>
      </c>
      <c r="CE501" s="895">
        <v>907</v>
      </c>
      <c r="CF501" s="895">
        <v>1183</v>
      </c>
      <c r="CG501" s="895">
        <v>1681</v>
      </c>
      <c r="CH501" s="89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697"/>
      <c r="C502" s="1698"/>
      <c r="D502" s="1698"/>
      <c r="E502" s="1698"/>
      <c r="F502" s="1698"/>
      <c r="G502" s="1698"/>
      <c r="H502" s="1699"/>
      <c r="I502" s="48" t="s">
        <v>407</v>
      </c>
      <c r="J502" s="48"/>
      <c r="K502" s="48"/>
      <c r="L502" s="48"/>
      <c r="M502" s="48"/>
      <c r="N502" s="48"/>
      <c r="O502" s="48"/>
      <c r="P502" s="48"/>
      <c r="Q502" s="48"/>
      <c r="R502" s="48"/>
      <c r="S502" s="48"/>
      <c r="T502" s="48"/>
      <c r="U502" s="48"/>
      <c r="V502" s="48"/>
      <c r="W502" s="48"/>
      <c r="X502" s="48"/>
      <c r="Y502" s="48"/>
      <c r="Z502" s="48"/>
      <c r="AA502" s="48"/>
      <c r="AB502" s="48"/>
      <c r="AC502" s="1737">
        <v>4</v>
      </c>
      <c r="AD502" s="1631"/>
      <c r="AE502" s="1631"/>
      <c r="AF502" s="1631"/>
      <c r="AG502" s="38" t="s">
        <v>403</v>
      </c>
      <c r="AH502" s="1421">
        <v>2024</v>
      </c>
      <c r="AI502" s="1421"/>
      <c r="AJ502" s="1421"/>
      <c r="AK502" s="1422"/>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495</v>
      </c>
      <c r="BW502" s="498">
        <v>1444</v>
      </c>
      <c r="BX502" s="499">
        <v>1546</v>
      </c>
      <c r="BY502" s="498">
        <v>1856</v>
      </c>
      <c r="BZ502" s="499">
        <v>2144</v>
      </c>
      <c r="CA502" s="499">
        <v>2392</v>
      </c>
      <c r="CB502" s="500">
        <v>2640</v>
      </c>
      <c r="CC502" s="3"/>
      <c r="CD502" s="895">
        <v>772</v>
      </c>
      <c r="CE502" s="895">
        <v>904</v>
      </c>
      <c r="CF502" s="895">
        <v>1155</v>
      </c>
      <c r="CG502" s="895">
        <v>1606</v>
      </c>
      <c r="CH502" s="89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694" t="s">
        <v>408</v>
      </c>
      <c r="C503" s="1695"/>
      <c r="D503" s="1695"/>
      <c r="E503" s="1695"/>
      <c r="F503" s="1695"/>
      <c r="G503" s="1695"/>
      <c r="H503" s="1696"/>
      <c r="I503" s="42" t="s">
        <v>409</v>
      </c>
      <c r="J503" s="42"/>
      <c r="K503" s="42"/>
      <c r="L503" s="42"/>
      <c r="M503" s="42"/>
      <c r="N503" s="42"/>
      <c r="O503" s="42"/>
      <c r="P503" s="42"/>
      <c r="Q503" s="42"/>
      <c r="R503" s="42"/>
      <c r="S503" s="42"/>
      <c r="T503" s="42"/>
      <c r="U503" s="42"/>
      <c r="V503" s="42"/>
      <c r="W503" s="42"/>
      <c r="AC503" s="1737">
        <v>3</v>
      </c>
      <c r="AD503" s="1631"/>
      <c r="AE503" s="1631"/>
      <c r="AF503" s="1631"/>
      <c r="AG503" s="13" t="s">
        <v>403</v>
      </c>
      <c r="AH503" s="1421">
        <v>2023</v>
      </c>
      <c r="AI503" s="1421"/>
      <c r="AJ503" s="1421"/>
      <c r="AK503" s="1422"/>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496</v>
      </c>
      <c r="BW503" s="498">
        <v>1494</v>
      </c>
      <c r="BX503" s="499">
        <v>1602</v>
      </c>
      <c r="BY503" s="498">
        <v>1922</v>
      </c>
      <c r="BZ503" s="499">
        <v>2220</v>
      </c>
      <c r="CA503" s="499">
        <v>2476</v>
      </c>
      <c r="CB503" s="500">
        <v>2732</v>
      </c>
      <c r="CC503" s="3"/>
      <c r="CD503" s="895">
        <v>795</v>
      </c>
      <c r="CE503" s="895">
        <v>961</v>
      </c>
      <c r="CF503" s="895">
        <v>1189</v>
      </c>
      <c r="CG503" s="895">
        <v>1555</v>
      </c>
      <c r="CH503" s="89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697"/>
      <c r="C504" s="1698"/>
      <c r="D504" s="1698"/>
      <c r="E504" s="1698"/>
      <c r="F504" s="1698"/>
      <c r="G504" s="1698"/>
      <c r="H504" s="1699"/>
      <c r="I504" t="s">
        <v>410</v>
      </c>
      <c r="AC504" s="1737" t="s">
        <v>598</v>
      </c>
      <c r="AD504" s="1631"/>
      <c r="AE504" s="1631"/>
      <c r="AF504" s="1631"/>
      <c r="AG504" s="13" t="s">
        <v>403</v>
      </c>
      <c r="AH504" s="1421"/>
      <c r="AI504" s="1421"/>
      <c r="AJ504" s="1421"/>
      <c r="AK504" s="1422"/>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497</v>
      </c>
      <c r="BW504" s="498">
        <v>1444</v>
      </c>
      <c r="BX504" s="499">
        <v>1546</v>
      </c>
      <c r="BY504" s="498">
        <v>1856</v>
      </c>
      <c r="BZ504" s="499">
        <v>2144</v>
      </c>
      <c r="CA504" s="499">
        <v>2392</v>
      </c>
      <c r="CB504" s="500">
        <v>2640</v>
      </c>
      <c r="CC504" s="3"/>
      <c r="CD504" s="895">
        <v>863</v>
      </c>
      <c r="CE504" s="895">
        <v>869</v>
      </c>
      <c r="CF504" s="895">
        <v>1137</v>
      </c>
      <c r="CG504" s="895">
        <v>1616</v>
      </c>
      <c r="CH504" s="89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697"/>
      <c r="C505" s="1698"/>
      <c r="D505" s="1698"/>
      <c r="E505" s="1698"/>
      <c r="F505" s="1698"/>
      <c r="G505" s="1698"/>
      <c r="H505" s="1699"/>
      <c r="I505" t="s">
        <v>411</v>
      </c>
      <c r="AC505" s="1737">
        <v>3</v>
      </c>
      <c r="AD505" s="1631"/>
      <c r="AE505" s="1631"/>
      <c r="AF505" s="1631"/>
      <c r="AG505" s="13" t="s">
        <v>403</v>
      </c>
      <c r="AH505" s="1421">
        <v>2023</v>
      </c>
      <c r="AI505" s="1421"/>
      <c r="AJ505" s="1421"/>
      <c r="AK505" s="1422"/>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498</v>
      </c>
      <c r="BW505" s="498">
        <v>1444</v>
      </c>
      <c r="BX505" s="499">
        <v>1546</v>
      </c>
      <c r="BY505" s="498">
        <v>1856</v>
      </c>
      <c r="BZ505" s="499">
        <v>2144</v>
      </c>
      <c r="CA505" s="499">
        <v>2392</v>
      </c>
      <c r="CB505" s="500">
        <v>2640</v>
      </c>
      <c r="CC505" s="3"/>
      <c r="CD505" s="895">
        <v>1030</v>
      </c>
      <c r="CE505" s="895">
        <v>1036</v>
      </c>
      <c r="CF505" s="895">
        <v>1287</v>
      </c>
      <c r="CG505" s="895">
        <v>1829</v>
      </c>
      <c r="CH505" s="89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697"/>
      <c r="C506" s="1698"/>
      <c r="D506" s="1698"/>
      <c r="E506" s="1698"/>
      <c r="F506" s="1698"/>
      <c r="G506" s="1698"/>
      <c r="H506" s="1699"/>
      <c r="I506" t="s">
        <v>412</v>
      </c>
      <c r="AC506" s="1737">
        <v>2</v>
      </c>
      <c r="AD506" s="1631"/>
      <c r="AE506" s="1631"/>
      <c r="AF506" s="1631"/>
      <c r="AG506" s="13" t="s">
        <v>403</v>
      </c>
      <c r="AH506" s="1421">
        <v>2025</v>
      </c>
      <c r="AI506" s="1421"/>
      <c r="AJ506" s="1421"/>
      <c r="AK506" s="1422"/>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499</v>
      </c>
      <c r="BW506" s="498">
        <v>1444</v>
      </c>
      <c r="BX506" s="499">
        <v>1546</v>
      </c>
      <c r="BY506" s="498">
        <v>1856</v>
      </c>
      <c r="BZ506" s="499">
        <v>2144</v>
      </c>
      <c r="CA506" s="499">
        <v>2392</v>
      </c>
      <c r="CB506" s="500">
        <v>2640</v>
      </c>
      <c r="CC506" s="3"/>
      <c r="CD506" s="895">
        <v>747</v>
      </c>
      <c r="CE506" s="895">
        <v>849</v>
      </c>
      <c r="CF506" s="895">
        <v>1117</v>
      </c>
      <c r="CG506" s="895">
        <v>1587</v>
      </c>
      <c r="CH506" s="89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697"/>
      <c r="C507" s="1698"/>
      <c r="D507" s="1698"/>
      <c r="E507" s="1698"/>
      <c r="F507" s="1698"/>
      <c r="G507" s="1698"/>
      <c r="H507" s="1699"/>
      <c r="I507" s="3" t="s">
        <v>413</v>
      </c>
      <c r="AC507" s="1368">
        <v>2</v>
      </c>
      <c r="AD507" s="1369"/>
      <c r="AE507" s="1369"/>
      <c r="AF507" s="1369"/>
      <c r="AG507" s="13" t="s">
        <v>403</v>
      </c>
      <c r="AH507" s="1421">
        <v>2025</v>
      </c>
      <c r="AI507" s="1421"/>
      <c r="AJ507" s="1421"/>
      <c r="AK507" s="1422"/>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500</v>
      </c>
      <c r="BW507" s="498">
        <v>1466</v>
      </c>
      <c r="BX507" s="499">
        <v>1572</v>
      </c>
      <c r="BY507" s="498">
        <v>1886</v>
      </c>
      <c r="BZ507" s="499">
        <v>2180</v>
      </c>
      <c r="CA507" s="499">
        <v>2432</v>
      </c>
      <c r="CB507" s="500">
        <v>2682</v>
      </c>
      <c r="CC507" s="3"/>
      <c r="CD507" s="895">
        <v>650</v>
      </c>
      <c r="CE507" s="895">
        <v>738</v>
      </c>
      <c r="CF507" s="895">
        <v>972</v>
      </c>
      <c r="CG507" s="895">
        <v>1381</v>
      </c>
      <c r="CH507" s="895">
        <v>1424</v>
      </c>
      <c r="CI507" s="3"/>
      <c r="CJ507" s="3"/>
      <c r="CK507" s="3"/>
      <c r="CL507" s="3"/>
      <c r="CM507" s="3"/>
      <c r="CN507" s="3"/>
      <c r="CO507" s="3"/>
      <c r="CP507" s="3"/>
      <c r="CQ507" s="3"/>
      <c r="CR507" s="3"/>
      <c r="CS507" s="3"/>
      <c r="CT507" s="3"/>
    </row>
    <row r="508" spans="1:110" ht="12.95" customHeight="1">
      <c r="B508" s="1697"/>
      <c r="C508" s="1698"/>
      <c r="D508" s="1698"/>
      <c r="E508" s="1698"/>
      <c r="F508" s="1698"/>
      <c r="G508" s="1698"/>
      <c r="H508" s="1699"/>
      <c r="I508" s="931" t="s">
        <v>169</v>
      </c>
      <c r="J508" s="48"/>
      <c r="K508" s="48"/>
      <c r="L508" s="1738" t="s">
        <v>334</v>
      </c>
      <c r="M508" s="1739"/>
      <c r="N508" s="1739"/>
      <c r="O508" s="1739"/>
      <c r="P508" s="1739"/>
      <c r="Q508" s="1739"/>
      <c r="R508" s="1739"/>
      <c r="S508" s="1739"/>
      <c r="T508" s="1739"/>
      <c r="U508" s="1739"/>
      <c r="V508" s="1739"/>
      <c r="W508" s="1739"/>
      <c r="X508" s="1739"/>
      <c r="Y508" s="1739"/>
      <c r="Z508" s="1739"/>
      <c r="AA508" s="1739"/>
      <c r="AB508" s="1740"/>
      <c r="AC508" s="1737" t="s">
        <v>598</v>
      </c>
      <c r="AD508" s="1631"/>
      <c r="AE508" s="1631"/>
      <c r="AF508" s="1631"/>
      <c r="AG508" s="38" t="s">
        <v>403</v>
      </c>
      <c r="AH508" s="1421"/>
      <c r="AI508" s="1421"/>
      <c r="AJ508" s="1421"/>
      <c r="AK508" s="1422"/>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501</v>
      </c>
      <c r="BW508" s="498">
        <v>2206</v>
      </c>
      <c r="BX508" s="499">
        <v>2364</v>
      </c>
      <c r="BY508" s="498">
        <v>2836</v>
      </c>
      <c r="BZ508" s="499">
        <v>3278</v>
      </c>
      <c r="CA508" s="499">
        <v>3656</v>
      </c>
      <c r="CB508" s="500">
        <v>4036</v>
      </c>
      <c r="CC508" s="3"/>
      <c r="CD508" s="895">
        <v>1534</v>
      </c>
      <c r="CE508" s="895">
        <v>1747</v>
      </c>
      <c r="CF508" s="895">
        <v>2222</v>
      </c>
      <c r="CG508" s="895">
        <v>2888</v>
      </c>
      <c r="CH508" s="895">
        <v>3170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1787</v>
      </c>
      <c r="AC509" s="1864" t="s">
        <v>676</v>
      </c>
      <c r="AD509" s="1864"/>
      <c r="AE509" s="1864"/>
      <c r="AF509" s="1864"/>
      <c r="AG509" s="13"/>
      <c r="AH509" s="1303"/>
      <c r="AI509" s="1303"/>
      <c r="AJ509" s="1303"/>
      <c r="AK509" s="1850"/>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502</v>
      </c>
      <c r="BW509" s="498">
        <v>1444</v>
      </c>
      <c r="BX509" s="499">
        <v>1546</v>
      </c>
      <c r="BY509" s="498">
        <v>1856</v>
      </c>
      <c r="BZ509" s="499">
        <v>2144</v>
      </c>
      <c r="CA509" s="499">
        <v>2392</v>
      </c>
      <c r="CB509" s="500">
        <v>2640</v>
      </c>
      <c r="CC509" s="3"/>
      <c r="CD509" s="895">
        <v>967</v>
      </c>
      <c r="CE509" s="895">
        <v>973</v>
      </c>
      <c r="CF509" s="895">
        <v>1258</v>
      </c>
      <c r="CG509" s="895">
        <v>1784</v>
      </c>
      <c r="CH509" s="895">
        <v>1971</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1784</v>
      </c>
      <c r="AC510" s="1368"/>
      <c r="AD510" s="1369"/>
      <c r="AE510" s="1369"/>
      <c r="AF510" s="1370"/>
      <c r="AG510" s="13"/>
      <c r="AH510" s="1303"/>
      <c r="AI510" s="1303"/>
      <c r="AJ510" s="1303"/>
      <c r="AK510" s="1850"/>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503</v>
      </c>
      <c r="BW510" s="498">
        <v>3252</v>
      </c>
      <c r="BX510" s="499">
        <v>3484</v>
      </c>
      <c r="BY510" s="498">
        <v>4182</v>
      </c>
      <c r="BZ510" s="499">
        <v>4830</v>
      </c>
      <c r="CA510" s="499">
        <v>5390</v>
      </c>
      <c r="CB510" s="500">
        <v>5946</v>
      </c>
      <c r="CC510" s="3"/>
      <c r="CD510" s="895">
        <v>2156</v>
      </c>
      <c r="CE510" s="895">
        <v>2665</v>
      </c>
      <c r="CF510" s="895">
        <v>3188</v>
      </c>
      <c r="CG510" s="895">
        <v>3912</v>
      </c>
      <c r="CH510" s="895">
        <v>4283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1785</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1444</v>
      </c>
      <c r="BX511" s="499">
        <v>1546</v>
      </c>
      <c r="BY511" s="498">
        <v>1856</v>
      </c>
      <c r="BZ511" s="499">
        <v>2144</v>
      </c>
      <c r="CA511" s="499">
        <v>2392</v>
      </c>
      <c r="CB511" s="500">
        <v>2640</v>
      </c>
      <c r="CC511" s="3"/>
      <c r="CD511" s="895">
        <v>794</v>
      </c>
      <c r="CE511" s="895">
        <v>857</v>
      </c>
      <c r="CF511" s="895">
        <v>1086</v>
      </c>
      <c r="CG511" s="895">
        <v>1543</v>
      </c>
      <c r="CH511" s="895">
        <v>1850</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1786</v>
      </c>
      <c r="J512" s="48"/>
      <c r="K512" s="48"/>
      <c r="L512" s="48"/>
      <c r="M512" s="48"/>
      <c r="N512" s="48"/>
      <c r="O512" s="48"/>
      <c r="P512" s="48"/>
      <c r="Q512" s="48"/>
      <c r="R512" s="48"/>
      <c r="S512" s="48"/>
      <c r="T512" s="48"/>
      <c r="U512" s="48"/>
      <c r="V512" s="48"/>
      <c r="W512" s="48"/>
      <c r="X512" s="48"/>
      <c r="Y512" s="48"/>
      <c r="Z512" s="48"/>
      <c r="AA512" s="48"/>
      <c r="AB512" s="48"/>
      <c r="AC512" s="1851">
        <v>0.5</v>
      </c>
      <c r="AD512" s="1852"/>
      <c r="AE512" s="1852"/>
      <c r="AF512" s="1853"/>
      <c r="AG512" s="38"/>
      <c r="AH512" s="1854"/>
      <c r="AI512" s="1854"/>
      <c r="AJ512" s="1854"/>
      <c r="AK512" s="1855"/>
      <c r="AZ512" s="3"/>
      <c r="BA512" s="3"/>
      <c r="BB512" s="3"/>
      <c r="BC512" s="3"/>
      <c r="BD512" s="3"/>
      <c r="BE512" s="3"/>
      <c r="BF512" s="3"/>
      <c r="BG512" s="3"/>
      <c r="BH512" s="3"/>
      <c r="BI512" s="3"/>
      <c r="BJ512" s="3"/>
      <c r="BK512" s="3"/>
      <c r="BL512" s="3"/>
      <c r="BM512" s="3"/>
      <c r="BN512" s="3" t="s">
        <v>1288</v>
      </c>
      <c r="BO512" s="3"/>
      <c r="BP512" s="3"/>
      <c r="BQ512" s="3"/>
      <c r="BR512" s="3"/>
      <c r="BS512" s="3"/>
      <c r="BT512" s="3"/>
      <c r="BU512" s="3"/>
      <c r="BV512" s="378" t="s">
        <v>54</v>
      </c>
      <c r="BW512" s="498">
        <v>1486</v>
      </c>
      <c r="BX512" s="499">
        <v>1592</v>
      </c>
      <c r="BY512" s="498">
        <v>1912</v>
      </c>
      <c r="BZ512" s="499">
        <v>2210</v>
      </c>
      <c r="CA512" s="499">
        <v>2464</v>
      </c>
      <c r="CB512" s="500">
        <v>2720</v>
      </c>
      <c r="CC512" s="3"/>
      <c r="CD512" s="895">
        <v>988</v>
      </c>
      <c r="CE512" s="895">
        <v>995</v>
      </c>
      <c r="CF512" s="895">
        <v>1305</v>
      </c>
      <c r="CG512" s="895">
        <v>1844</v>
      </c>
      <c r="CH512" s="895">
        <v>2223</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880" t="s">
        <v>402</v>
      </c>
      <c r="AD513" s="1663"/>
      <c r="AE513" s="1663"/>
      <c r="AF513" s="1663"/>
      <c r="AG513" s="38" t="s">
        <v>403</v>
      </c>
      <c r="AH513" s="1663" t="s">
        <v>404</v>
      </c>
      <c r="AI513" s="1663"/>
      <c r="AJ513" s="1663"/>
      <c r="AK513" s="1879"/>
      <c r="AZ513" s="3"/>
      <c r="BA513" s="3"/>
      <c r="BB513" s="3"/>
      <c r="BC513" s="3"/>
      <c r="BD513" s="3"/>
      <c r="BE513" s="3"/>
      <c r="BF513" s="3"/>
      <c r="BG513" s="3"/>
      <c r="BH513" s="3"/>
      <c r="BI513" s="3"/>
      <c r="BJ513" s="3"/>
      <c r="BK513" s="3"/>
      <c r="BL513" s="3"/>
      <c r="BM513" s="3"/>
      <c r="BN513" s="3" t="s">
        <v>2422</v>
      </c>
      <c r="BO513" s="3"/>
      <c r="BP513" s="3"/>
      <c r="BQ513" s="3"/>
      <c r="BR513" s="3"/>
      <c r="BS513" s="3"/>
      <c r="BT513" s="3"/>
      <c r="BU513" s="3"/>
      <c r="BV513" s="378" t="s">
        <v>55</v>
      </c>
      <c r="BW513" s="498">
        <v>1444</v>
      </c>
      <c r="BX513" s="499">
        <v>1546</v>
      </c>
      <c r="BY513" s="498">
        <v>1856</v>
      </c>
      <c r="BZ513" s="499">
        <v>2144</v>
      </c>
      <c r="CA513" s="499">
        <v>2392</v>
      </c>
      <c r="CB513" s="500">
        <v>2640</v>
      </c>
      <c r="CC513" s="3"/>
      <c r="CD513" s="895">
        <v>854</v>
      </c>
      <c r="CE513" s="895">
        <v>1017</v>
      </c>
      <c r="CF513" s="895">
        <v>1243</v>
      </c>
      <c r="CG513" s="895">
        <v>1767</v>
      </c>
      <c r="CH513" s="895">
        <v>2117</v>
      </c>
      <c r="CI513" s="3"/>
      <c r="CJ513" s="3"/>
      <c r="CK513" s="3"/>
      <c r="CL513" s="3"/>
      <c r="CM513" s="3"/>
      <c r="CN513" s="3"/>
      <c r="CO513" s="3"/>
      <c r="CP513" s="3"/>
      <c r="CQ513" s="3"/>
      <c r="CR513" s="3"/>
      <c r="CS513" s="3"/>
      <c r="CT513" s="3"/>
    </row>
    <row r="514" spans="2:110" ht="12.95" customHeight="1">
      <c r="B514" s="1694" t="s">
        <v>414</v>
      </c>
      <c r="C514" s="1695"/>
      <c r="D514" s="1695"/>
      <c r="E514" s="1695"/>
      <c r="F514" s="1695"/>
      <c r="G514" s="1695"/>
      <c r="H514" s="1696"/>
      <c r="I514" s="42" t="s">
        <v>415</v>
      </c>
      <c r="J514" s="42"/>
      <c r="K514" s="42"/>
      <c r="L514" s="42"/>
      <c r="M514" s="42"/>
      <c r="N514" s="42"/>
      <c r="O514" s="42"/>
      <c r="P514" s="42"/>
      <c r="Q514" s="42"/>
      <c r="R514" s="42"/>
      <c r="S514" s="42"/>
      <c r="T514" s="42"/>
      <c r="U514" s="42"/>
      <c r="V514" s="42"/>
      <c r="W514" s="42"/>
      <c r="AC514" s="1737">
        <v>3</v>
      </c>
      <c r="AD514" s="1631"/>
      <c r="AE514" s="1631"/>
      <c r="AF514" s="1631"/>
      <c r="AG514" s="13" t="s">
        <v>403</v>
      </c>
      <c r="AH514" s="1421">
        <v>2024</v>
      </c>
      <c r="AI514" s="1421"/>
      <c r="AJ514" s="1421"/>
      <c r="AK514" s="1422"/>
      <c r="AZ514" s="3"/>
      <c r="BA514" s="3"/>
      <c r="BB514" s="3"/>
      <c r="BC514" s="3"/>
      <c r="BD514" s="3"/>
      <c r="BE514" s="3"/>
      <c r="BF514" s="3"/>
      <c r="BG514" s="3"/>
      <c r="BH514" s="3"/>
      <c r="BI514" s="3"/>
      <c r="BJ514" s="3"/>
      <c r="BK514" s="3"/>
      <c r="BL514" s="3"/>
      <c r="BM514" s="3"/>
      <c r="BN514" s="3" t="s">
        <v>2423</v>
      </c>
      <c r="BO514" s="3"/>
      <c r="BP514" s="3"/>
      <c r="BQ514" s="3"/>
      <c r="BR514" s="3"/>
      <c r="BS514" s="3"/>
      <c r="BT514" s="3"/>
      <c r="BU514" s="3"/>
      <c r="BV514" s="378" t="s">
        <v>56</v>
      </c>
      <c r="BW514" s="498">
        <v>1444</v>
      </c>
      <c r="BX514" s="499">
        <v>1546</v>
      </c>
      <c r="BY514" s="498">
        <v>1856</v>
      </c>
      <c r="BZ514" s="499">
        <v>2144</v>
      </c>
      <c r="CA514" s="499">
        <v>2392</v>
      </c>
      <c r="CB514" s="500">
        <v>2640</v>
      </c>
      <c r="CC514" s="3"/>
      <c r="CD514" s="895">
        <v>674</v>
      </c>
      <c r="CE514" s="895">
        <v>678</v>
      </c>
      <c r="CF514" s="895">
        <v>832</v>
      </c>
      <c r="CG514" s="895">
        <v>1073</v>
      </c>
      <c r="CH514" s="895">
        <v>1344</v>
      </c>
      <c r="CI514" s="3"/>
      <c r="CJ514" s="3"/>
      <c r="CK514" s="3"/>
      <c r="CL514" s="3"/>
      <c r="CM514" s="3"/>
      <c r="CN514" s="3"/>
      <c r="CO514" s="3"/>
      <c r="CP514" s="3"/>
      <c r="CQ514" s="3"/>
      <c r="CR514" s="3"/>
      <c r="CS514" s="3"/>
      <c r="CT514" s="3"/>
    </row>
    <row r="515" spans="2:110" ht="12.95" customHeight="1">
      <c r="B515" s="1697"/>
      <c r="C515" s="1698"/>
      <c r="D515" s="1698"/>
      <c r="E515" s="1698"/>
      <c r="F515" s="1698"/>
      <c r="G515" s="1698"/>
      <c r="H515" s="1699"/>
      <c r="I515" t="s">
        <v>416</v>
      </c>
      <c r="AC515" s="1737">
        <v>4</v>
      </c>
      <c r="AD515" s="1631"/>
      <c r="AE515" s="1631"/>
      <c r="AF515" s="1631"/>
      <c r="AG515" s="13" t="s">
        <v>403</v>
      </c>
      <c r="AH515" s="1421">
        <v>2024</v>
      </c>
      <c r="AI515" s="1421"/>
      <c r="AJ515" s="1421"/>
      <c r="AK515" s="1422"/>
      <c r="AZ515" s="3"/>
      <c r="BA515" s="3"/>
      <c r="BB515" s="3"/>
      <c r="BC515" s="3"/>
      <c r="BD515" s="3"/>
      <c r="BE515" s="3"/>
      <c r="BF515" s="3"/>
      <c r="BG515" s="3"/>
      <c r="BH515" s="3"/>
      <c r="BI515" s="3"/>
      <c r="BJ515" s="3"/>
      <c r="BK515" s="3"/>
      <c r="BL515" s="3"/>
      <c r="BM515" s="3"/>
      <c r="BN515" s="3" t="s">
        <v>2424</v>
      </c>
      <c r="BO515" s="3"/>
      <c r="BP515" s="3"/>
      <c r="BQ515" s="3"/>
      <c r="BR515" s="3"/>
      <c r="BS515" s="3"/>
      <c r="BT515" s="3"/>
      <c r="BU515" s="3"/>
      <c r="BV515" s="378" t="s">
        <v>60</v>
      </c>
      <c r="BW515" s="498">
        <v>1486</v>
      </c>
      <c r="BX515" s="499">
        <v>1592</v>
      </c>
      <c r="BY515" s="498">
        <v>1912</v>
      </c>
      <c r="BZ515" s="499">
        <v>2210</v>
      </c>
      <c r="CA515" s="499">
        <v>2464</v>
      </c>
      <c r="CB515" s="500">
        <v>2720</v>
      </c>
      <c r="CC515" s="3"/>
      <c r="CD515" s="895">
        <v>1061</v>
      </c>
      <c r="CE515" s="895">
        <v>1137</v>
      </c>
      <c r="CF515" s="895">
        <v>1386</v>
      </c>
      <c r="CG515" s="895">
        <v>1970</v>
      </c>
      <c r="CH515" s="895">
        <v>2238</v>
      </c>
      <c r="CI515" s="3"/>
      <c r="CJ515" s="3"/>
      <c r="CK515" s="3"/>
      <c r="CL515" s="3"/>
      <c r="CM515" s="3"/>
      <c r="CN515" s="3"/>
      <c r="CO515" s="3"/>
      <c r="CP515" s="3"/>
      <c r="CQ515" s="3"/>
      <c r="CR515" s="3"/>
      <c r="CS515" s="3"/>
      <c r="CT515" s="3"/>
    </row>
    <row r="516" spans="2:110" ht="12.95" customHeight="1">
      <c r="B516" s="1697"/>
      <c r="C516" s="1698"/>
      <c r="D516" s="1698"/>
      <c r="E516" s="1698"/>
      <c r="F516" s="1698"/>
      <c r="G516" s="1698"/>
      <c r="H516" s="1699"/>
      <c r="I516" s="48" t="s">
        <v>417</v>
      </c>
      <c r="J516" s="48"/>
      <c r="K516" s="48"/>
      <c r="L516" s="48"/>
      <c r="M516" s="48"/>
      <c r="N516" s="48"/>
      <c r="O516" s="48"/>
      <c r="P516" s="48"/>
      <c r="Q516" s="48"/>
      <c r="R516" s="48"/>
      <c r="S516" s="48"/>
      <c r="T516" s="48"/>
      <c r="U516" s="48"/>
      <c r="V516" s="48"/>
      <c r="W516" s="48"/>
      <c r="X516" s="48"/>
      <c r="Y516" s="48"/>
      <c r="Z516" s="48"/>
      <c r="AA516" s="48"/>
      <c r="AB516" s="48"/>
      <c r="AC516" s="1737">
        <v>2</v>
      </c>
      <c r="AD516" s="1631"/>
      <c r="AE516" s="1631"/>
      <c r="AF516" s="1631"/>
      <c r="AG516" s="38" t="s">
        <v>403</v>
      </c>
      <c r="AH516" s="1421">
        <v>2025</v>
      </c>
      <c r="AI516" s="1421"/>
      <c r="AJ516" s="1421"/>
      <c r="AK516" s="1422"/>
      <c r="AZ516" s="3"/>
      <c r="BA516" s="3"/>
      <c r="BB516" s="3"/>
      <c r="BC516" s="3"/>
      <c r="BD516" s="3"/>
      <c r="BE516" s="3"/>
      <c r="BF516" s="3"/>
      <c r="BG516" s="3"/>
      <c r="BH516" s="3"/>
      <c r="BI516" s="3"/>
      <c r="BJ516" s="3"/>
      <c r="BK516" s="3"/>
      <c r="BL516" s="3"/>
      <c r="BM516" s="3"/>
      <c r="BN516" s="3" t="s">
        <v>2425</v>
      </c>
      <c r="BO516" s="3"/>
      <c r="BP516" s="3"/>
      <c r="BQ516" s="3"/>
      <c r="BR516" s="3"/>
      <c r="BS516" s="3"/>
      <c r="BT516" s="3"/>
      <c r="BU516" s="3"/>
      <c r="BV516" s="378" t="s">
        <v>61</v>
      </c>
      <c r="BW516" s="498">
        <v>2106</v>
      </c>
      <c r="BX516" s="499">
        <v>2258</v>
      </c>
      <c r="BY516" s="498">
        <v>2710</v>
      </c>
      <c r="BZ516" s="499">
        <v>3130</v>
      </c>
      <c r="CA516" s="499">
        <v>3492</v>
      </c>
      <c r="CB516" s="500">
        <v>3852</v>
      </c>
      <c r="CC516" s="3"/>
      <c r="CD516" s="895">
        <v>2112</v>
      </c>
      <c r="CE516" s="895">
        <v>2194</v>
      </c>
      <c r="CF516" s="895">
        <v>2675</v>
      </c>
      <c r="CG516" s="895">
        <v>3790</v>
      </c>
      <c r="CH516" s="895">
        <v>4144</v>
      </c>
      <c r="CI516" s="3"/>
      <c r="CJ516" s="3"/>
      <c r="CK516" s="3"/>
      <c r="CL516" s="3"/>
      <c r="CM516" s="3"/>
      <c r="CN516" s="3"/>
      <c r="CO516" s="3"/>
      <c r="CP516" s="3"/>
      <c r="CQ516" s="3"/>
      <c r="CR516" s="3"/>
      <c r="CS516" s="3"/>
      <c r="CT516" s="3"/>
    </row>
    <row r="517" spans="2:110" ht="12.95" customHeight="1">
      <c r="B517" s="1694" t="s">
        <v>418</v>
      </c>
      <c r="C517" s="1695"/>
      <c r="D517" s="1695"/>
      <c r="E517" s="1695"/>
      <c r="F517" s="1695"/>
      <c r="G517" s="1695"/>
      <c r="H517" s="1696"/>
      <c r="I517" s="42" t="s">
        <v>415</v>
      </c>
      <c r="J517" s="42"/>
      <c r="K517" s="42"/>
      <c r="L517" s="42"/>
      <c r="M517" s="42"/>
      <c r="N517" s="42"/>
      <c r="O517" s="42"/>
      <c r="P517" s="42"/>
      <c r="Q517" s="42"/>
      <c r="R517" s="42"/>
      <c r="S517" s="42"/>
      <c r="T517" s="42"/>
      <c r="U517" s="42"/>
      <c r="V517" s="42"/>
      <c r="W517" s="42"/>
      <c r="X517" s="42"/>
      <c r="Y517" s="42"/>
      <c r="Z517" s="42"/>
      <c r="AA517" s="42"/>
      <c r="AB517" s="42"/>
      <c r="AC517" s="1368">
        <v>3</v>
      </c>
      <c r="AD517" s="1369"/>
      <c r="AE517" s="1369"/>
      <c r="AF517" s="1369"/>
      <c r="AG517" s="129" t="s">
        <v>403</v>
      </c>
      <c r="AH517" s="1421">
        <v>2024</v>
      </c>
      <c r="AI517" s="1421"/>
      <c r="AJ517" s="1421"/>
      <c r="AK517" s="1422"/>
      <c r="AZ517" s="3"/>
      <c r="BB517" s="3"/>
      <c r="BC517" s="3"/>
      <c r="BD517" s="3"/>
      <c r="BE517" s="3"/>
      <c r="BF517" s="3"/>
      <c r="BG517" s="3"/>
      <c r="BH517" s="3"/>
      <c r="BI517" s="3"/>
      <c r="BJ517" s="3"/>
      <c r="BK517" s="3"/>
      <c r="BL517" s="3"/>
      <c r="BM517" s="3"/>
      <c r="BN517" s="3" t="s">
        <v>2426</v>
      </c>
      <c r="BO517" s="3"/>
      <c r="BP517" s="3"/>
      <c r="BQ517" s="3"/>
      <c r="BR517" s="3"/>
      <c r="BS517" s="3"/>
      <c r="BT517" s="3"/>
      <c r="BU517" s="3"/>
      <c r="BV517" s="378" t="s">
        <v>62</v>
      </c>
      <c r="BW517" s="498">
        <v>2336</v>
      </c>
      <c r="BX517" s="499">
        <v>2502</v>
      </c>
      <c r="BY517" s="498">
        <v>3004</v>
      </c>
      <c r="BZ517" s="499">
        <v>3470</v>
      </c>
      <c r="CA517" s="499">
        <v>3872</v>
      </c>
      <c r="CB517" s="500">
        <v>4272</v>
      </c>
      <c r="CC517" s="3"/>
      <c r="CD517" s="895">
        <v>1597</v>
      </c>
      <c r="CE517" s="895">
        <v>1814</v>
      </c>
      <c r="CF517" s="895">
        <v>2388</v>
      </c>
      <c r="CG517" s="895">
        <v>3288</v>
      </c>
      <c r="CH517" s="895">
        <v>3332</v>
      </c>
      <c r="CI517" s="3"/>
      <c r="CJ517" s="3"/>
      <c r="CK517" s="3"/>
      <c r="CL517" s="3"/>
      <c r="CM517" s="3"/>
      <c r="CN517" s="3"/>
      <c r="CO517" s="3"/>
      <c r="CP517" s="3"/>
      <c r="CQ517" s="3"/>
      <c r="CR517" s="3"/>
      <c r="CS517" s="3"/>
      <c r="CT517" s="3"/>
    </row>
    <row r="518" spans="2:110" ht="12.95" customHeight="1">
      <c r="B518" s="1697"/>
      <c r="C518" s="1698"/>
      <c r="D518" s="1698"/>
      <c r="E518" s="1698"/>
      <c r="F518" s="1698"/>
      <c r="G518" s="1698"/>
      <c r="H518" s="1699"/>
      <c r="I518" t="s">
        <v>416</v>
      </c>
      <c r="AC518" s="1737">
        <v>4</v>
      </c>
      <c r="AD518" s="1631"/>
      <c r="AE518" s="1631"/>
      <c r="AF518" s="1631"/>
      <c r="AG518" s="13" t="s">
        <v>403</v>
      </c>
      <c r="AH518" s="1421">
        <v>2024</v>
      </c>
      <c r="AI518" s="1421"/>
      <c r="AJ518" s="1421"/>
      <c r="AK518" s="1422"/>
      <c r="BB518" s="3"/>
      <c r="BC518" s="3"/>
      <c r="BD518" s="3"/>
      <c r="BE518" s="3"/>
      <c r="BF518" s="3"/>
      <c r="BG518" s="3"/>
      <c r="BH518" s="3"/>
      <c r="BI518" s="3"/>
      <c r="BJ518" s="3"/>
      <c r="BK518" s="3"/>
      <c r="BL518" s="3"/>
      <c r="BM518" s="3"/>
      <c r="BN518" s="3" t="s">
        <v>2427</v>
      </c>
      <c r="BO518" s="3"/>
      <c r="BP518" s="3"/>
      <c r="BQ518" s="3"/>
      <c r="BR518" s="3"/>
      <c r="BS518" s="3"/>
      <c r="BT518" s="3"/>
      <c r="BU518" s="3"/>
      <c r="BV518" s="378" t="s">
        <v>63</v>
      </c>
      <c r="BW518" s="498">
        <v>1824</v>
      </c>
      <c r="BX518" s="499">
        <v>1954</v>
      </c>
      <c r="BY518" s="498">
        <v>2344</v>
      </c>
      <c r="BZ518" s="499">
        <v>2710</v>
      </c>
      <c r="CA518" s="499">
        <v>3022</v>
      </c>
      <c r="CB518" s="500">
        <v>3336</v>
      </c>
      <c r="CC518" s="3"/>
      <c r="CD518" s="895">
        <v>1047</v>
      </c>
      <c r="CE518" s="895">
        <v>1054</v>
      </c>
      <c r="CF518" s="895">
        <v>1387</v>
      </c>
      <c r="CG518" s="895">
        <v>1971</v>
      </c>
      <c r="CH518" s="895">
        <v>2257</v>
      </c>
      <c r="CI518" s="3"/>
      <c r="CJ518" s="3"/>
      <c r="CK518" s="3"/>
      <c r="CL518" s="3"/>
      <c r="CM518" s="3"/>
      <c r="CN518" s="3"/>
      <c r="CO518" s="3"/>
      <c r="CP518" s="3"/>
      <c r="CQ518" s="3"/>
      <c r="CR518" s="3"/>
      <c r="CS518" s="3"/>
      <c r="CT518" s="3"/>
    </row>
    <row r="519" spans="2:110" ht="12.95" customHeight="1">
      <c r="B519" s="1700"/>
      <c r="C519" s="1701"/>
      <c r="D519" s="1701"/>
      <c r="E519" s="1701"/>
      <c r="F519" s="1701"/>
      <c r="G519" s="1701"/>
      <c r="H519" s="1702"/>
      <c r="I519" s="48" t="s">
        <v>417</v>
      </c>
      <c r="J519" s="48"/>
      <c r="K519" s="48"/>
      <c r="L519" s="48"/>
      <c r="M519" s="48"/>
      <c r="N519" s="48"/>
      <c r="O519" s="48"/>
      <c r="P519" s="48"/>
      <c r="Q519" s="48"/>
      <c r="R519" s="48"/>
      <c r="S519" s="48"/>
      <c r="T519" s="48"/>
      <c r="U519" s="48"/>
      <c r="V519" s="48"/>
      <c r="W519" s="48"/>
      <c r="X519" s="48"/>
      <c r="Y519" s="48"/>
      <c r="Z519" s="48"/>
      <c r="AA519" s="48"/>
      <c r="AB519" s="48"/>
      <c r="AC519" s="1737">
        <v>9</v>
      </c>
      <c r="AD519" s="1631"/>
      <c r="AE519" s="1631"/>
      <c r="AF519" s="1631"/>
      <c r="AG519" s="38" t="s">
        <v>403</v>
      </c>
      <c r="AH519" s="1421">
        <v>2028</v>
      </c>
      <c r="AI519" s="1421"/>
      <c r="AJ519" s="1421"/>
      <c r="AK519" s="1422"/>
      <c r="BB519" s="3"/>
      <c r="BC519" s="3"/>
      <c r="BD519" s="3"/>
      <c r="BE519" s="3"/>
      <c r="BF519" s="3"/>
      <c r="BG519" s="3"/>
      <c r="BH519" s="3"/>
      <c r="BI519" s="3"/>
      <c r="BJ519" s="3"/>
      <c r="BK519" s="3"/>
      <c r="BL519" s="3"/>
      <c r="BM519" s="3"/>
      <c r="BN519" s="3" t="s">
        <v>2428</v>
      </c>
      <c r="BO519" s="3"/>
      <c r="BP519" s="3"/>
      <c r="BQ519" s="3"/>
      <c r="BR519" s="3"/>
      <c r="BS519" s="3"/>
      <c r="BT519" s="3"/>
      <c r="BU519" s="3"/>
      <c r="BV519" s="378" t="s">
        <v>64</v>
      </c>
      <c r="BW519" s="498">
        <v>2512</v>
      </c>
      <c r="BX519" s="499">
        <v>2690</v>
      </c>
      <c r="BY519" s="498">
        <v>3230</v>
      </c>
      <c r="BZ519" s="499">
        <v>3730</v>
      </c>
      <c r="CA519" s="499">
        <v>4162</v>
      </c>
      <c r="CB519" s="500">
        <v>4592</v>
      </c>
      <c r="CC519" s="34"/>
      <c r="CD519" s="1076">
        <v>1939</v>
      </c>
      <c r="CE519" s="1076">
        <v>2113</v>
      </c>
      <c r="CF519" s="1076">
        <v>2539</v>
      </c>
      <c r="CG519" s="1076">
        <v>3448</v>
      </c>
      <c r="CH519" s="1076">
        <v>4032</v>
      </c>
      <c r="CI519" s="3"/>
      <c r="CJ519" s="3"/>
      <c r="CK519" s="3"/>
      <c r="CL519" s="3"/>
      <c r="CM519" s="3"/>
      <c r="CN519" s="3"/>
      <c r="CO519" s="3"/>
      <c r="CP519" s="3"/>
      <c r="CQ519" s="3"/>
      <c r="CR519" s="3"/>
      <c r="CS519" s="3"/>
      <c r="CT519" s="3"/>
    </row>
    <row r="520" spans="2:110" ht="12.95" customHeight="1">
      <c r="B520" s="1694" t="s">
        <v>419</v>
      </c>
      <c r="C520" s="1695"/>
      <c r="D520" s="1695"/>
      <c r="E520" s="1695"/>
      <c r="F520" s="1695"/>
      <c r="G520" s="1695"/>
      <c r="H520" s="1696"/>
      <c r="I520" s="41" t="s">
        <v>420</v>
      </c>
      <c r="J520" s="42"/>
      <c r="K520" s="42"/>
      <c r="L520" s="42"/>
      <c r="M520" s="42"/>
      <c r="N520" s="42"/>
      <c r="O520" s="1738" t="s">
        <v>2711</v>
      </c>
      <c r="P520" s="1739"/>
      <c r="Q520" s="1739"/>
      <c r="R520" s="1739"/>
      <c r="S520" s="1739"/>
      <c r="T520" s="1739"/>
      <c r="U520" s="1739"/>
      <c r="V520" s="1739"/>
      <c r="W520" s="1739"/>
      <c r="X520" s="1739"/>
      <c r="Y520" s="1739"/>
      <c r="Z520" s="1739"/>
      <c r="AA520" s="1739"/>
      <c r="AB520" s="58"/>
      <c r="AC520" s="1368" t="s">
        <v>598</v>
      </c>
      <c r="AD520" s="1369"/>
      <c r="AE520" s="1369"/>
      <c r="AF520" s="1369"/>
      <c r="AG520" s="129" t="s">
        <v>403</v>
      </c>
      <c r="AH520" s="1421"/>
      <c r="AI520" s="1421"/>
      <c r="AJ520" s="1421"/>
      <c r="AK520" s="1422"/>
      <c r="AZ520" s="3"/>
      <c r="BB520" s="3"/>
      <c r="BC520" s="3"/>
      <c r="BD520" s="3"/>
      <c r="BE520" s="3"/>
      <c r="BF520" s="3"/>
      <c r="BG520" s="3"/>
      <c r="BH520" s="3"/>
      <c r="BI520" s="3"/>
      <c r="BJ520" s="3"/>
      <c r="BK520" s="3"/>
      <c r="BL520" s="3"/>
      <c r="BM520" s="3"/>
      <c r="BN520" s="3" t="s">
        <v>2429</v>
      </c>
      <c r="BO520" s="3"/>
      <c r="BP520" s="3"/>
      <c r="BQ520" s="3"/>
      <c r="BR520" s="3"/>
      <c r="BS520" s="3"/>
      <c r="BT520" s="3"/>
      <c r="BU520" s="3"/>
      <c r="BV520" s="378" t="s">
        <v>65</v>
      </c>
      <c r="BW520" s="498">
        <v>1876</v>
      </c>
      <c r="BX520" s="499">
        <v>2010</v>
      </c>
      <c r="BY520" s="498">
        <v>2412</v>
      </c>
      <c r="BZ520" s="499">
        <v>2786</v>
      </c>
      <c r="CA520" s="499">
        <v>3110</v>
      </c>
      <c r="CB520" s="500">
        <v>3432</v>
      </c>
      <c r="CC520" s="34"/>
      <c r="CD520" s="1076">
        <v>1277</v>
      </c>
      <c r="CE520" s="1076">
        <v>1400</v>
      </c>
      <c r="CF520" s="1076">
        <v>1756</v>
      </c>
      <c r="CG520" s="1076">
        <v>2496</v>
      </c>
      <c r="CH520" s="1076">
        <v>2907</v>
      </c>
      <c r="CI520" s="3"/>
      <c r="CJ520" s="3"/>
      <c r="CK520" s="3"/>
      <c r="CL520" s="3"/>
      <c r="CM520" s="3"/>
      <c r="CN520" s="3"/>
      <c r="CO520" s="3"/>
      <c r="CP520" s="3"/>
      <c r="CQ520" s="3"/>
      <c r="CR520" s="3"/>
      <c r="CS520" s="3"/>
      <c r="CT520" s="3"/>
    </row>
    <row r="521" spans="2:110" ht="12.95" customHeight="1">
      <c r="B521" s="1697"/>
      <c r="C521" s="1698"/>
      <c r="D521" s="1698"/>
      <c r="E521" s="1698"/>
      <c r="F521" s="1698"/>
      <c r="G521" s="1698"/>
      <c r="H521" s="1699"/>
      <c r="I521" s="114" t="s">
        <v>421</v>
      </c>
      <c r="AB521" s="65"/>
      <c r="AC521" s="1737">
        <v>4</v>
      </c>
      <c r="AD521" s="1631"/>
      <c r="AE521" s="1631"/>
      <c r="AF521" s="1631"/>
      <c r="AG521" s="13" t="s">
        <v>403</v>
      </c>
      <c r="AH521" s="1421">
        <v>2023</v>
      </c>
      <c r="AI521" s="1421"/>
      <c r="AJ521" s="1421"/>
      <c r="AK521" s="1422"/>
      <c r="AZ521" s="3"/>
      <c r="BB521" s="3"/>
      <c r="BC521" s="3"/>
      <c r="BD521" s="3"/>
      <c r="BE521" s="3"/>
      <c r="BF521" s="3"/>
      <c r="BG521" s="3"/>
      <c r="BH521" s="3"/>
      <c r="BI521" s="3"/>
      <c r="BJ521" s="3"/>
      <c r="BK521" s="3"/>
      <c r="BL521" s="3"/>
      <c r="BM521" s="3"/>
      <c r="BN521" s="3" t="s">
        <v>2430</v>
      </c>
      <c r="BO521" s="3"/>
      <c r="BP521" s="3"/>
      <c r="BQ521" s="3"/>
      <c r="BR521" s="3"/>
      <c r="BS521" s="3"/>
      <c r="BT521" s="3"/>
      <c r="BU521" s="3"/>
      <c r="BV521" s="378" t="s">
        <v>66</v>
      </c>
      <c r="BW521" s="498">
        <v>1466</v>
      </c>
      <c r="BX521" s="499">
        <v>1572</v>
      </c>
      <c r="BY521" s="498">
        <v>1886</v>
      </c>
      <c r="BZ521" s="499">
        <v>2180</v>
      </c>
      <c r="CA521" s="499">
        <v>2432</v>
      </c>
      <c r="CB521" s="500">
        <v>2682</v>
      </c>
      <c r="CC521" s="34"/>
      <c r="CD521" s="1076">
        <v>681</v>
      </c>
      <c r="CE521" s="1076">
        <v>772</v>
      </c>
      <c r="CF521" s="1076">
        <v>1000</v>
      </c>
      <c r="CG521" s="1076">
        <v>1421</v>
      </c>
      <c r="CH521" s="1076">
        <v>1634</v>
      </c>
      <c r="CI521" s="3"/>
      <c r="CJ521" s="3"/>
      <c r="CK521" s="3"/>
      <c r="CL521" s="3"/>
      <c r="CM521" s="3"/>
      <c r="CN521" s="3"/>
      <c r="CO521" s="3"/>
      <c r="CP521" s="3"/>
      <c r="CQ521" s="3"/>
      <c r="CR521" s="3"/>
      <c r="CS521" s="3"/>
      <c r="CT521" s="3"/>
    </row>
    <row r="522" spans="2:110" ht="12.95" customHeight="1">
      <c r="B522" s="1697"/>
      <c r="C522" s="1698"/>
      <c r="D522" s="1698"/>
      <c r="E522" s="1698"/>
      <c r="F522" s="1698"/>
      <c r="G522" s="1698"/>
      <c r="H522" s="1699"/>
      <c r="I522" s="47" t="s">
        <v>422</v>
      </c>
      <c r="J522" s="48"/>
      <c r="K522" s="48"/>
      <c r="L522" s="48"/>
      <c r="M522" s="48"/>
      <c r="N522" s="48"/>
      <c r="O522" s="48"/>
      <c r="P522" s="48"/>
      <c r="Q522" s="48"/>
      <c r="R522" s="48"/>
      <c r="S522" s="48"/>
      <c r="T522" s="48"/>
      <c r="U522" s="48"/>
      <c r="V522" s="48"/>
      <c r="W522" s="48"/>
      <c r="X522" s="48"/>
      <c r="Y522" s="48"/>
      <c r="Z522" s="48"/>
      <c r="AA522" s="48"/>
      <c r="AB522" s="49"/>
      <c r="AC522" s="1737">
        <v>9</v>
      </c>
      <c r="AD522" s="1631"/>
      <c r="AE522" s="1631"/>
      <c r="AF522" s="1631"/>
      <c r="AG522" s="38" t="s">
        <v>403</v>
      </c>
      <c r="AH522" s="1421">
        <v>2023</v>
      </c>
      <c r="AI522" s="1421"/>
      <c r="AJ522" s="1421"/>
      <c r="AK522" s="1422"/>
      <c r="AZ522" s="3"/>
      <c r="BA522" s="3"/>
      <c r="BB522" s="3"/>
      <c r="BC522" s="3"/>
      <c r="BD522" s="3"/>
      <c r="BE522" s="3"/>
      <c r="BF522" s="3"/>
      <c r="BG522" s="3"/>
      <c r="BH522" s="3"/>
      <c r="BI522" s="3"/>
      <c r="BJ522" s="3"/>
      <c r="BK522" s="3"/>
      <c r="BL522" s="3"/>
      <c r="BM522" s="3"/>
      <c r="BN522" s="3" t="s">
        <v>2431</v>
      </c>
      <c r="BO522" s="3"/>
      <c r="BP522" s="3"/>
      <c r="BQ522" s="3"/>
      <c r="BR522" s="3"/>
      <c r="BS522" s="3"/>
      <c r="BT522" s="3"/>
      <c r="BU522" s="3"/>
      <c r="BV522" s="378" t="s">
        <v>67</v>
      </c>
      <c r="BW522" s="498">
        <v>1632</v>
      </c>
      <c r="BX522" s="499">
        <v>1748</v>
      </c>
      <c r="BY522" s="498">
        <v>2096</v>
      </c>
      <c r="BZ522" s="499">
        <v>2422</v>
      </c>
      <c r="CA522" s="499">
        <v>2704</v>
      </c>
      <c r="CB522" s="500">
        <v>2982</v>
      </c>
      <c r="CC522" s="34"/>
      <c r="CD522" s="1076">
        <v>1281</v>
      </c>
      <c r="CE522" s="1076">
        <v>1398</v>
      </c>
      <c r="CF522" s="1076">
        <v>1751</v>
      </c>
      <c r="CG522" s="1076">
        <v>2376</v>
      </c>
      <c r="CH522" s="1076">
        <v>2922</v>
      </c>
      <c r="CI522" s="3"/>
      <c r="CJ522" s="3"/>
      <c r="CK522" s="3"/>
      <c r="CL522" s="3"/>
      <c r="CM522" s="3"/>
      <c r="CN522" s="3"/>
      <c r="CO522" s="3"/>
      <c r="CP522" s="3"/>
      <c r="CQ522" s="3"/>
      <c r="CR522" s="3"/>
      <c r="CS522" s="3"/>
      <c r="CT522" s="3"/>
    </row>
    <row r="523" spans="2:110" ht="12.95" customHeight="1">
      <c r="B523" s="1697"/>
      <c r="C523" s="1698"/>
      <c r="D523" s="1698"/>
      <c r="E523" s="1698"/>
      <c r="F523" s="1698"/>
      <c r="G523" s="1698"/>
      <c r="H523" s="1699"/>
      <c r="I523" s="42" t="s">
        <v>423</v>
      </c>
      <c r="J523" s="42"/>
      <c r="K523" s="42"/>
      <c r="L523" s="42"/>
      <c r="M523" s="42"/>
      <c r="N523" s="42"/>
      <c r="O523" s="1738" t="s">
        <v>2712</v>
      </c>
      <c r="P523" s="1739"/>
      <c r="Q523" s="1739"/>
      <c r="R523" s="1739"/>
      <c r="S523" s="1739"/>
      <c r="T523" s="1739"/>
      <c r="U523" s="1739"/>
      <c r="V523" s="1739"/>
      <c r="W523" s="1739"/>
      <c r="X523" s="1739"/>
      <c r="Y523" s="1739"/>
      <c r="Z523" s="1739"/>
      <c r="AA523" s="1739"/>
      <c r="AC523" s="1737" t="s">
        <v>598</v>
      </c>
      <c r="AD523" s="1631"/>
      <c r="AE523" s="1631"/>
      <c r="AF523" s="1631"/>
      <c r="AG523" s="13" t="s">
        <v>403</v>
      </c>
      <c r="AH523" s="1421"/>
      <c r="AI523" s="1421"/>
      <c r="AJ523" s="1421"/>
      <c r="AK523" s="1422"/>
      <c r="AZ523" s="3"/>
      <c r="BA523" s="3"/>
      <c r="BB523" s="3"/>
      <c r="BC523" s="3"/>
      <c r="BD523" s="3"/>
      <c r="BE523" s="3"/>
      <c r="BF523" s="3"/>
      <c r="BG523" s="3"/>
      <c r="BH523" s="3"/>
      <c r="BI523" s="3"/>
      <c r="BJ523" s="3"/>
      <c r="BK523" s="3"/>
      <c r="BL523" s="3"/>
      <c r="BM523" s="3"/>
      <c r="BN523" s="3" t="s">
        <v>2432</v>
      </c>
      <c r="BO523" s="3"/>
      <c r="BP523" s="3"/>
      <c r="BQ523" s="3"/>
      <c r="BR523" s="3"/>
      <c r="BS523" s="3"/>
      <c r="BT523" s="3"/>
      <c r="BU523" s="3"/>
      <c r="BV523" s="378" t="s">
        <v>68</v>
      </c>
      <c r="BW523" s="498">
        <v>1876</v>
      </c>
      <c r="BX523" s="499">
        <v>2010</v>
      </c>
      <c r="BY523" s="498">
        <v>2412</v>
      </c>
      <c r="BZ523" s="499">
        <v>2786</v>
      </c>
      <c r="CA523" s="499">
        <v>3110</v>
      </c>
      <c r="CB523" s="500">
        <v>3432</v>
      </c>
      <c r="CC523" s="34"/>
      <c r="CD523" s="1076">
        <v>1277</v>
      </c>
      <c r="CE523" s="1076">
        <v>1400</v>
      </c>
      <c r="CF523" s="1076">
        <v>1756</v>
      </c>
      <c r="CG523" s="1076">
        <v>2496</v>
      </c>
      <c r="CH523" s="1076">
        <v>2907</v>
      </c>
      <c r="CI523" s="3"/>
      <c r="CJ523" s="3"/>
      <c r="CK523" s="3"/>
      <c r="CL523" s="3"/>
      <c r="CM523" s="3"/>
      <c r="CN523" s="3"/>
      <c r="CO523" s="3"/>
      <c r="CP523" s="3"/>
      <c r="CQ523" s="3"/>
      <c r="CR523" s="3"/>
      <c r="CS523" s="3"/>
      <c r="CT523" s="3"/>
    </row>
    <row r="524" spans="2:110" ht="12.95" customHeight="1">
      <c r="B524" s="1697"/>
      <c r="C524" s="1698"/>
      <c r="D524" s="1698"/>
      <c r="E524" s="1698"/>
      <c r="F524" s="1698"/>
      <c r="G524" s="1698"/>
      <c r="H524" s="1699"/>
      <c r="I524" t="s">
        <v>421</v>
      </c>
      <c r="AC524" s="1737">
        <v>3</v>
      </c>
      <c r="AD524" s="1631"/>
      <c r="AE524" s="1631"/>
      <c r="AF524" s="1631"/>
      <c r="AG524" s="13" t="s">
        <v>403</v>
      </c>
      <c r="AH524" s="1421">
        <v>2023</v>
      </c>
      <c r="AI524" s="1421"/>
      <c r="AJ524" s="1421"/>
      <c r="AK524" s="1422"/>
      <c r="AZ524" s="3"/>
      <c r="BA524" s="3"/>
      <c r="BB524" s="3"/>
      <c r="BC524" s="3"/>
      <c r="BD524" s="3"/>
      <c r="BE524" s="3"/>
      <c r="BF524" s="3"/>
      <c r="BG524" s="3"/>
      <c r="BH524" s="3"/>
      <c r="BI524" s="3"/>
      <c r="BJ524" s="3"/>
      <c r="BK524" s="3"/>
      <c r="BL524" s="3"/>
      <c r="BM524" s="3"/>
      <c r="BN524" s="3" t="s">
        <v>2433</v>
      </c>
      <c r="BO524" s="3"/>
      <c r="BP524" s="3"/>
      <c r="BQ524" s="3"/>
      <c r="BR524" s="3"/>
      <c r="BS524" s="3"/>
      <c r="BT524" s="3"/>
      <c r="BU524" s="3"/>
      <c r="BV524" s="378" t="s">
        <v>735</v>
      </c>
      <c r="BW524" s="498">
        <v>1950</v>
      </c>
      <c r="BX524" s="499">
        <v>2088</v>
      </c>
      <c r="BY524" s="498">
        <v>2504</v>
      </c>
      <c r="BZ524" s="499">
        <v>2894</v>
      </c>
      <c r="CA524" s="499">
        <v>3230</v>
      </c>
      <c r="CB524" s="500">
        <v>3562</v>
      </c>
      <c r="CC524" s="34"/>
      <c r="CD524" s="1076">
        <v>1441</v>
      </c>
      <c r="CE524" s="1076">
        <v>1637</v>
      </c>
      <c r="CF524" s="1076">
        <v>2155</v>
      </c>
      <c r="CG524" s="1076">
        <v>3063</v>
      </c>
      <c r="CH524" s="1076">
        <v>3671</v>
      </c>
      <c r="CI524" s="3"/>
      <c r="CJ524" s="3"/>
      <c r="CK524" s="3"/>
      <c r="CL524" s="3"/>
      <c r="CM524" s="3"/>
      <c r="CN524" s="3"/>
      <c r="CO524" s="3"/>
      <c r="CP524" s="3"/>
      <c r="CQ524" s="3"/>
      <c r="CR524" s="3"/>
      <c r="CS524" s="3"/>
      <c r="CT524" s="3"/>
    </row>
    <row r="525" spans="2:110" ht="12.95" customHeight="1">
      <c r="B525" s="1697"/>
      <c r="C525" s="1698"/>
      <c r="D525" s="1698"/>
      <c r="E525" s="1698"/>
      <c r="F525" s="1698"/>
      <c r="G525" s="1698"/>
      <c r="H525" s="1699"/>
      <c r="I525" s="48" t="s">
        <v>422</v>
      </c>
      <c r="J525" s="48"/>
      <c r="K525" s="48"/>
      <c r="L525" s="48"/>
      <c r="M525" s="48"/>
      <c r="N525" s="48"/>
      <c r="O525" s="48"/>
      <c r="P525" s="48"/>
      <c r="Q525" s="48"/>
      <c r="R525" s="48"/>
      <c r="S525" s="48"/>
      <c r="T525" s="48"/>
      <c r="U525" s="48"/>
      <c r="V525" s="48"/>
      <c r="W525" s="48"/>
      <c r="X525" s="48"/>
      <c r="Y525" s="48"/>
      <c r="Z525" s="48"/>
      <c r="AA525" s="48"/>
      <c r="AB525" s="48"/>
      <c r="AC525" s="1737">
        <v>2</v>
      </c>
      <c r="AD525" s="1631"/>
      <c r="AE525" s="1631"/>
      <c r="AF525" s="1631"/>
      <c r="AG525" s="38" t="s">
        <v>403</v>
      </c>
      <c r="AH525" s="1421">
        <v>2025</v>
      </c>
      <c r="AI525" s="1421"/>
      <c r="AJ525" s="1421"/>
      <c r="AK525" s="1422"/>
      <c r="AZ525" s="3"/>
      <c r="BA525" s="3"/>
      <c r="BB525" s="3"/>
      <c r="BC525" s="3"/>
      <c r="BD525" s="3"/>
      <c r="BE525" s="3"/>
      <c r="BF525" s="3"/>
      <c r="BG525" s="3"/>
      <c r="BH525" s="3"/>
      <c r="BI525" s="3"/>
      <c r="BJ525" s="3"/>
      <c r="BK525" s="3"/>
      <c r="BL525" s="3"/>
      <c r="BM525" s="3"/>
      <c r="BN525" s="3" t="s">
        <v>2434</v>
      </c>
      <c r="BO525" s="3"/>
      <c r="BP525" s="3"/>
      <c r="BQ525" s="3"/>
      <c r="BR525" s="3"/>
      <c r="BS525" s="3"/>
      <c r="BT525" s="3"/>
      <c r="BU525" s="3"/>
      <c r="BV525" s="378" t="s">
        <v>736</v>
      </c>
      <c r="BW525" s="498">
        <v>1632</v>
      </c>
      <c r="BX525" s="499">
        <v>1748</v>
      </c>
      <c r="BY525" s="498">
        <v>2096</v>
      </c>
      <c r="BZ525" s="499">
        <v>2422</v>
      </c>
      <c r="CA525" s="499">
        <v>2704</v>
      </c>
      <c r="CB525" s="500">
        <v>2982</v>
      </c>
      <c r="CC525" s="34"/>
      <c r="CD525" s="1076">
        <v>1281</v>
      </c>
      <c r="CE525" s="1076">
        <v>1398</v>
      </c>
      <c r="CF525" s="1076">
        <v>1751</v>
      </c>
      <c r="CG525" s="1076">
        <v>2376</v>
      </c>
      <c r="CH525" s="1076">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697"/>
      <c r="C526" s="1698"/>
      <c r="D526" s="1698"/>
      <c r="E526" s="1698"/>
      <c r="F526" s="1698"/>
      <c r="G526" s="1698"/>
      <c r="H526" s="1699"/>
      <c r="I526" s="42" t="s">
        <v>423</v>
      </c>
      <c r="J526" s="42"/>
      <c r="K526" s="42"/>
      <c r="L526" s="42"/>
      <c r="M526" s="42"/>
      <c r="N526" s="42"/>
      <c r="O526" s="1738" t="s">
        <v>2713</v>
      </c>
      <c r="P526" s="1739"/>
      <c r="Q526" s="1739"/>
      <c r="R526" s="1739"/>
      <c r="S526" s="1739"/>
      <c r="T526" s="1739"/>
      <c r="U526" s="1739"/>
      <c r="V526" s="1739"/>
      <c r="W526" s="1739"/>
      <c r="X526" s="1739"/>
      <c r="Y526" s="1739"/>
      <c r="Z526" s="1739"/>
      <c r="AA526" s="1739"/>
      <c r="AC526" s="1737" t="s">
        <v>598</v>
      </c>
      <c r="AD526" s="1631"/>
      <c r="AE526" s="1631"/>
      <c r="AF526" s="1631"/>
      <c r="AG526" s="13" t="s">
        <v>403</v>
      </c>
      <c r="AH526" s="1421"/>
      <c r="AI526" s="1421"/>
      <c r="AJ526" s="1421"/>
      <c r="AK526" s="1422"/>
      <c r="AZ526" s="3"/>
      <c r="BA526" s="3"/>
      <c r="BB526" s="3"/>
      <c r="BC526" s="3"/>
      <c r="BD526" s="3"/>
      <c r="BE526" s="3"/>
      <c r="BF526" s="3"/>
      <c r="BG526" s="3"/>
      <c r="BH526" s="3"/>
      <c r="BI526" s="3"/>
      <c r="BJ526" s="3"/>
      <c r="BK526" s="3"/>
      <c r="BL526" s="3"/>
      <c r="BM526" s="3"/>
      <c r="BN526" s="3" t="s">
        <v>2435</v>
      </c>
      <c r="BO526" s="3"/>
      <c r="BP526" s="3"/>
      <c r="BQ526" s="3"/>
      <c r="BR526" s="3"/>
      <c r="BS526" s="3"/>
      <c r="BT526" s="3"/>
      <c r="BU526" s="3"/>
      <c r="BV526" s="378" t="s">
        <v>737</v>
      </c>
      <c r="BW526" s="498">
        <v>2412</v>
      </c>
      <c r="BX526" s="499">
        <v>2584</v>
      </c>
      <c r="BY526" s="498">
        <v>3102</v>
      </c>
      <c r="BZ526" s="499">
        <v>3582</v>
      </c>
      <c r="CA526" s="499">
        <v>3996</v>
      </c>
      <c r="CB526" s="500">
        <v>4410</v>
      </c>
      <c r="CC526" s="34"/>
      <c r="CD526" s="1076">
        <v>1714</v>
      </c>
      <c r="CE526" s="1076">
        <v>1885</v>
      </c>
      <c r="CF526" s="1076">
        <v>2399</v>
      </c>
      <c r="CG526" s="1076">
        <v>3279</v>
      </c>
      <c r="CH526" s="1076">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697"/>
      <c r="C527" s="1698"/>
      <c r="D527" s="1698"/>
      <c r="E527" s="1698"/>
      <c r="F527" s="1698"/>
      <c r="G527" s="1698"/>
      <c r="H527" s="1699"/>
      <c r="I527" t="s">
        <v>421</v>
      </c>
      <c r="AC527" s="1737">
        <v>3</v>
      </c>
      <c r="AD527" s="1631"/>
      <c r="AE527" s="1631"/>
      <c r="AF527" s="1631"/>
      <c r="AG527" s="13" t="s">
        <v>403</v>
      </c>
      <c r="AH527" s="1421">
        <v>2023</v>
      </c>
      <c r="AI527" s="1421"/>
      <c r="AJ527" s="1421"/>
      <c r="AK527" s="1422"/>
      <c r="AZ527" s="3"/>
      <c r="BA527" s="3"/>
      <c r="BB527" s="3"/>
      <c r="BC527" s="3"/>
      <c r="BD527" s="3"/>
      <c r="BE527" s="3"/>
      <c r="BF527" s="3"/>
      <c r="BG527" s="3"/>
      <c r="BH527" s="3"/>
      <c r="BI527" s="3"/>
      <c r="BJ527" s="3"/>
      <c r="BK527" s="3"/>
      <c r="BL527" s="3"/>
      <c r="BM527" s="3"/>
      <c r="BN527" s="3" t="s">
        <v>2436</v>
      </c>
      <c r="BO527" s="3"/>
      <c r="BP527" s="3"/>
      <c r="BQ527" s="3"/>
      <c r="BR527" s="3"/>
      <c r="BS527" s="3"/>
      <c r="BT527" s="3"/>
      <c r="BU527" s="3"/>
      <c r="BV527" s="378" t="s">
        <v>738</v>
      </c>
      <c r="BW527" s="498">
        <v>3252</v>
      </c>
      <c r="BX527" s="499">
        <v>3484</v>
      </c>
      <c r="BY527" s="498">
        <v>4182</v>
      </c>
      <c r="BZ527" s="499">
        <v>4830</v>
      </c>
      <c r="CA527" s="499">
        <v>5390</v>
      </c>
      <c r="CB527" s="500">
        <v>5946</v>
      </c>
      <c r="CC527" s="34"/>
      <c r="CD527" s="1076">
        <v>2156</v>
      </c>
      <c r="CE527" s="1076">
        <v>2665</v>
      </c>
      <c r="CF527" s="1076">
        <v>3188</v>
      </c>
      <c r="CG527" s="1076">
        <v>3912</v>
      </c>
      <c r="CH527" s="1076">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697"/>
      <c r="C528" s="1698"/>
      <c r="D528" s="1698"/>
      <c r="E528" s="1698"/>
      <c r="F528" s="1698"/>
      <c r="G528" s="1698"/>
      <c r="H528" s="1699"/>
      <c r="I528" s="48" t="s">
        <v>422</v>
      </c>
      <c r="J528" s="48"/>
      <c r="K528" s="48"/>
      <c r="L528" s="48"/>
      <c r="M528" s="48"/>
      <c r="N528" s="48"/>
      <c r="O528" s="48"/>
      <c r="P528" s="48"/>
      <c r="Q528" s="48"/>
      <c r="R528" s="48"/>
      <c r="S528" s="48"/>
      <c r="T528" s="48"/>
      <c r="U528" s="48"/>
      <c r="V528" s="48"/>
      <c r="W528" s="48"/>
      <c r="X528" s="48"/>
      <c r="Y528" s="48"/>
      <c r="Z528" s="48"/>
      <c r="AA528" s="48"/>
      <c r="AB528" s="48"/>
      <c r="AC528" s="1737">
        <v>2</v>
      </c>
      <c r="AD528" s="1631"/>
      <c r="AE528" s="1631"/>
      <c r="AF528" s="1631"/>
      <c r="AG528" s="38" t="s">
        <v>403</v>
      </c>
      <c r="AH528" s="1421">
        <v>2025</v>
      </c>
      <c r="AI528" s="1421"/>
      <c r="AJ528" s="1421"/>
      <c r="AK528" s="1422"/>
      <c r="AZ528" s="3"/>
      <c r="BA528" s="3"/>
      <c r="BB528" s="3"/>
      <c r="BC528" s="3"/>
      <c r="BD528" s="3"/>
      <c r="BE528" s="3"/>
      <c r="BF528" s="3"/>
      <c r="BG528" s="3"/>
      <c r="BH528" s="3"/>
      <c r="BI528" s="3"/>
      <c r="BJ528" s="3"/>
      <c r="BK528" s="3"/>
      <c r="BL528" s="3"/>
      <c r="BM528" s="3"/>
      <c r="BN528" s="3" t="s">
        <v>2437</v>
      </c>
      <c r="BO528" s="3"/>
      <c r="BP528" s="3"/>
      <c r="BQ528" s="3"/>
      <c r="BR528" s="3"/>
      <c r="BS528" s="3"/>
      <c r="BT528" s="3"/>
      <c r="BU528" s="3"/>
      <c r="BV528" s="378" t="s">
        <v>739</v>
      </c>
      <c r="BW528" s="498">
        <v>1534</v>
      </c>
      <c r="BX528" s="499">
        <v>1644</v>
      </c>
      <c r="BY528" s="498">
        <v>1974</v>
      </c>
      <c r="BZ528" s="499">
        <v>2280</v>
      </c>
      <c r="CA528" s="499">
        <v>2544</v>
      </c>
      <c r="CB528" s="500">
        <v>2806</v>
      </c>
      <c r="CC528" s="3"/>
      <c r="CD528" s="895">
        <v>1040</v>
      </c>
      <c r="CE528" s="895">
        <v>1158</v>
      </c>
      <c r="CF528" s="895">
        <v>1513</v>
      </c>
      <c r="CG528" s="895">
        <v>2150</v>
      </c>
      <c r="CH528" s="89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697"/>
      <c r="C529" s="1698"/>
      <c r="D529" s="1698"/>
      <c r="E529" s="1698"/>
      <c r="F529" s="1698"/>
      <c r="G529" s="1698"/>
      <c r="H529" s="1699"/>
      <c r="I529" s="42" t="s">
        <v>423</v>
      </c>
      <c r="J529" s="42"/>
      <c r="K529" s="42"/>
      <c r="L529" s="42"/>
      <c r="M529" s="42"/>
      <c r="N529" s="42"/>
      <c r="O529" s="1738" t="s">
        <v>2760</v>
      </c>
      <c r="P529" s="1739"/>
      <c r="Q529" s="1739"/>
      <c r="R529" s="1739"/>
      <c r="S529" s="1739"/>
      <c r="T529" s="1739"/>
      <c r="U529" s="1739"/>
      <c r="V529" s="1739"/>
      <c r="W529" s="1739"/>
      <c r="X529" s="1739"/>
      <c r="Y529" s="1739"/>
      <c r="Z529" s="1739"/>
      <c r="AA529" s="1739"/>
      <c r="AC529" s="1737" t="s">
        <v>598</v>
      </c>
      <c r="AD529" s="1631"/>
      <c r="AE529" s="1631"/>
      <c r="AF529" s="1631"/>
      <c r="AG529" s="13" t="s">
        <v>403</v>
      </c>
      <c r="AH529" s="1421"/>
      <c r="AI529" s="1421"/>
      <c r="AJ529" s="1421"/>
      <c r="AK529" s="1422"/>
      <c r="AZ529" s="3"/>
      <c r="BA529" s="3"/>
      <c r="BB529" s="3"/>
      <c r="BC529" s="3"/>
      <c r="BD529" s="3"/>
      <c r="BE529" s="3"/>
      <c r="BF529" s="3"/>
      <c r="BG529" s="3"/>
      <c r="BH529" s="3"/>
      <c r="BI529" s="3"/>
      <c r="BJ529" s="3"/>
      <c r="BK529" s="3"/>
      <c r="BL529" s="3"/>
      <c r="BM529" s="3"/>
      <c r="BN529" s="3" t="s">
        <v>2438</v>
      </c>
      <c r="BO529" s="3"/>
      <c r="BP529" s="3"/>
      <c r="BQ529" s="3"/>
      <c r="BR529" s="3"/>
      <c r="BS529" s="3"/>
      <c r="BT529" s="3"/>
      <c r="BU529" s="3"/>
      <c r="BV529" s="378" t="s">
        <v>69</v>
      </c>
      <c r="BW529" s="498">
        <v>2026</v>
      </c>
      <c r="BX529" s="499">
        <v>2172</v>
      </c>
      <c r="BY529" s="498">
        <v>2606</v>
      </c>
      <c r="BZ529" s="499">
        <v>3010</v>
      </c>
      <c r="CA529" s="499">
        <v>3360</v>
      </c>
      <c r="CB529" s="500">
        <v>3706</v>
      </c>
      <c r="CC529" s="3"/>
      <c r="CD529" s="895">
        <v>1394</v>
      </c>
      <c r="CE529" s="895">
        <v>1561</v>
      </c>
      <c r="CF529" s="895">
        <v>2055</v>
      </c>
      <c r="CG529" s="895">
        <v>2834</v>
      </c>
      <c r="CH529" s="89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697"/>
      <c r="C530" s="1698"/>
      <c r="D530" s="1698"/>
      <c r="E530" s="1698"/>
      <c r="F530" s="1698"/>
      <c r="G530" s="1698"/>
      <c r="H530" s="1699"/>
      <c r="I530" t="s">
        <v>421</v>
      </c>
      <c r="AC530" s="1737">
        <v>3</v>
      </c>
      <c r="AD530" s="1631"/>
      <c r="AE530" s="1631"/>
      <c r="AF530" s="1631"/>
      <c r="AG530" s="13" t="s">
        <v>403</v>
      </c>
      <c r="AH530" s="1421">
        <v>2022</v>
      </c>
      <c r="AI530" s="1421"/>
      <c r="AJ530" s="1421"/>
      <c r="AK530" s="1422"/>
      <c r="AZ530" s="3"/>
      <c r="BA530" s="3"/>
      <c r="BB530" s="3"/>
      <c r="BC530" s="3"/>
      <c r="BD530" s="3"/>
      <c r="BE530" s="3"/>
      <c r="BF530" s="3"/>
      <c r="BG530" s="3"/>
      <c r="BH530" s="3"/>
      <c r="BI530" s="3"/>
      <c r="BJ530" s="3"/>
      <c r="BK530" s="3"/>
      <c r="BL530" s="3"/>
      <c r="BM530" s="3"/>
      <c r="BN530" s="3" t="s">
        <v>2439</v>
      </c>
      <c r="BO530" s="3"/>
      <c r="BP530" s="3"/>
      <c r="BQ530" s="3"/>
      <c r="BR530" s="3"/>
      <c r="BS530" s="3"/>
      <c r="BT530" s="3"/>
      <c r="BU530" s="3"/>
      <c r="BV530" s="378" t="s">
        <v>70</v>
      </c>
      <c r="BW530" s="498">
        <v>3252</v>
      </c>
      <c r="BX530" s="499">
        <v>3484</v>
      </c>
      <c r="BY530" s="498">
        <v>4182</v>
      </c>
      <c r="BZ530" s="499">
        <v>4830</v>
      </c>
      <c r="CA530" s="499">
        <v>5390</v>
      </c>
      <c r="CB530" s="500">
        <v>5946</v>
      </c>
      <c r="CC530" s="3"/>
      <c r="CD530" s="895">
        <v>2156</v>
      </c>
      <c r="CE530" s="895">
        <v>2665</v>
      </c>
      <c r="CF530" s="895">
        <v>3188</v>
      </c>
      <c r="CG530" s="895">
        <v>3912</v>
      </c>
      <c r="CH530" s="89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697"/>
      <c r="C531" s="1698"/>
      <c r="D531" s="1698"/>
      <c r="E531" s="1698"/>
      <c r="F531" s="1698"/>
      <c r="G531" s="1698"/>
      <c r="H531" s="1699"/>
      <c r="I531" s="48" t="s">
        <v>422</v>
      </c>
      <c r="J531" s="48"/>
      <c r="K531" s="48"/>
      <c r="L531" s="48"/>
      <c r="M531" s="48"/>
      <c r="N531" s="48"/>
      <c r="O531" s="48"/>
      <c r="P531" s="48"/>
      <c r="Q531" s="48"/>
      <c r="R531" s="48"/>
      <c r="S531" s="48"/>
      <c r="T531" s="48"/>
      <c r="U531" s="48"/>
      <c r="V531" s="48"/>
      <c r="W531" s="48"/>
      <c r="X531" s="48"/>
      <c r="Y531" s="48"/>
      <c r="Z531" s="48"/>
      <c r="AA531" s="48"/>
      <c r="AB531" s="48"/>
      <c r="AC531" s="1737">
        <v>2</v>
      </c>
      <c r="AD531" s="1631"/>
      <c r="AE531" s="1631"/>
      <c r="AF531" s="1631"/>
      <c r="AG531" s="38" t="s">
        <v>403</v>
      </c>
      <c r="AH531" s="1421">
        <v>2025</v>
      </c>
      <c r="AI531" s="1421"/>
      <c r="AJ531" s="1421"/>
      <c r="AK531" s="1422"/>
      <c r="AZ531" s="3"/>
      <c r="BA531" s="3"/>
      <c r="BB531" s="3"/>
      <c r="BC531" s="3"/>
      <c r="BD531" s="3"/>
      <c r="BE531" s="3"/>
      <c r="BF531" s="3"/>
      <c r="BG531" s="3"/>
      <c r="BH531" s="3"/>
      <c r="BI531" s="3"/>
      <c r="BJ531" s="3"/>
      <c r="BK531" s="3"/>
      <c r="BL531" s="3"/>
      <c r="BM531" s="3"/>
      <c r="BN531" s="3" t="s">
        <v>2440</v>
      </c>
      <c r="BO531" s="3"/>
      <c r="BP531" s="3"/>
      <c r="BQ531" s="3"/>
      <c r="BR531" s="3"/>
      <c r="BS531" s="3"/>
      <c r="BT531" s="3"/>
      <c r="BU531" s="3"/>
      <c r="BV531" s="378" t="s">
        <v>191</v>
      </c>
      <c r="BW531" s="498">
        <v>2590</v>
      </c>
      <c r="BX531" s="499">
        <v>2774</v>
      </c>
      <c r="BY531" s="498">
        <v>3330</v>
      </c>
      <c r="BZ531" s="499">
        <v>3846</v>
      </c>
      <c r="CA531" s="499">
        <v>4290</v>
      </c>
      <c r="CB531" s="500">
        <v>4732</v>
      </c>
      <c r="CC531" s="3"/>
      <c r="CD531" s="895">
        <v>2040</v>
      </c>
      <c r="CE531" s="895">
        <v>2350</v>
      </c>
      <c r="CF531" s="895">
        <v>2667</v>
      </c>
      <c r="CG531" s="895">
        <v>3520</v>
      </c>
      <c r="CH531" s="89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697"/>
      <c r="C532" s="1698"/>
      <c r="D532" s="1698"/>
      <c r="E532" s="1698"/>
      <c r="F532" s="1698"/>
      <c r="G532" s="1698"/>
      <c r="H532" s="1699"/>
      <c r="I532" s="42" t="s">
        <v>423</v>
      </c>
      <c r="J532" s="42"/>
      <c r="K532" s="42"/>
      <c r="L532" s="42"/>
      <c r="M532" s="42"/>
      <c r="N532" s="42"/>
      <c r="O532" s="1738"/>
      <c r="P532" s="1739"/>
      <c r="Q532" s="1739"/>
      <c r="R532" s="1739"/>
      <c r="S532" s="1739"/>
      <c r="T532" s="1739"/>
      <c r="U532" s="1739"/>
      <c r="V532" s="1739"/>
      <c r="W532" s="1739"/>
      <c r="X532" s="1739"/>
      <c r="Y532" s="1739"/>
      <c r="Z532" s="1739"/>
      <c r="AA532" s="1739"/>
      <c r="AC532" s="1737" t="s">
        <v>598</v>
      </c>
      <c r="AD532" s="1631"/>
      <c r="AE532" s="1631"/>
      <c r="AF532" s="1631"/>
      <c r="AG532" s="13" t="s">
        <v>403</v>
      </c>
      <c r="AH532" s="1421"/>
      <c r="AI532" s="1421"/>
      <c r="AJ532" s="1421"/>
      <c r="AK532" s="1422"/>
      <c r="AZ532" s="3"/>
      <c r="BA532" s="3"/>
      <c r="BB532" s="3"/>
      <c r="BC532" s="3"/>
      <c r="BD532" s="3"/>
      <c r="BE532" s="3"/>
      <c r="BF532" s="3"/>
      <c r="BG532" s="3"/>
      <c r="BH532" s="3"/>
      <c r="BI532" s="3"/>
      <c r="BJ532" s="3"/>
      <c r="BK532" s="3"/>
      <c r="BL532" s="3"/>
      <c r="BM532" s="3"/>
      <c r="BN532" s="3" t="s">
        <v>2441</v>
      </c>
      <c r="BO532" s="3"/>
      <c r="BP532" s="3"/>
      <c r="BQ532" s="3"/>
      <c r="BR532" s="3"/>
      <c r="BS532" s="3"/>
      <c r="BT532" s="3"/>
      <c r="BU532" s="3"/>
      <c r="BV532" s="378" t="s">
        <v>192</v>
      </c>
      <c r="BW532" s="498">
        <v>3122</v>
      </c>
      <c r="BX532" s="499">
        <v>3346</v>
      </c>
      <c r="BY532" s="498">
        <v>4014</v>
      </c>
      <c r="BZ532" s="499">
        <v>4638</v>
      </c>
      <c r="CA532" s="499">
        <v>5174</v>
      </c>
      <c r="CB532" s="500">
        <v>5710</v>
      </c>
      <c r="CC532" s="3"/>
      <c r="CD532" s="895">
        <v>2223</v>
      </c>
      <c r="CE532" s="895">
        <v>2513</v>
      </c>
      <c r="CF532" s="895">
        <v>2941</v>
      </c>
      <c r="CG532" s="895">
        <v>3750</v>
      </c>
      <c r="CH532" s="89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697"/>
      <c r="C533" s="1698"/>
      <c r="D533" s="1698"/>
      <c r="E533" s="1698"/>
      <c r="F533" s="1698"/>
      <c r="G533" s="1698"/>
      <c r="H533" s="1699"/>
      <c r="I533" t="s">
        <v>421</v>
      </c>
      <c r="AC533" s="1737" t="s">
        <v>598</v>
      </c>
      <c r="AD533" s="1631"/>
      <c r="AE533" s="1631"/>
      <c r="AF533" s="1631"/>
      <c r="AG533" s="38" t="s">
        <v>403</v>
      </c>
      <c r="AH533" s="1421" t="s">
        <v>598</v>
      </c>
      <c r="AI533" s="1421"/>
      <c r="AJ533" s="1421"/>
      <c r="AK533" s="1422"/>
      <c r="AZ533" s="3"/>
      <c r="BA533" s="3"/>
      <c r="BB533" s="3"/>
      <c r="BC533" s="3"/>
      <c r="BD533" s="3"/>
      <c r="BE533" s="3"/>
      <c r="BF533" s="3"/>
      <c r="BG533" s="3"/>
      <c r="BH533" s="3"/>
      <c r="BI533" s="3"/>
      <c r="BJ533" s="3"/>
      <c r="BK533" s="3"/>
      <c r="BL533" s="3"/>
      <c r="BM533" s="3"/>
      <c r="BN533" s="3" t="s">
        <v>2442</v>
      </c>
      <c r="BO533" s="3"/>
      <c r="BP533" s="3"/>
      <c r="BQ533" s="3"/>
      <c r="BR533" s="3"/>
      <c r="BS533" s="3"/>
      <c r="BT533" s="3"/>
      <c r="BU533" s="3"/>
      <c r="BV533" s="378" t="s">
        <v>193</v>
      </c>
      <c r="BW533" s="498">
        <v>2882</v>
      </c>
      <c r="BX533" s="499">
        <v>3088</v>
      </c>
      <c r="BY533" s="498">
        <v>3706</v>
      </c>
      <c r="BZ533" s="499">
        <v>4282</v>
      </c>
      <c r="CA533" s="499">
        <v>4776</v>
      </c>
      <c r="CB533" s="500">
        <v>5272</v>
      </c>
      <c r="CC533" s="3"/>
      <c r="CD533" s="895">
        <v>2212</v>
      </c>
      <c r="CE533" s="895">
        <v>2502</v>
      </c>
      <c r="CF533" s="895">
        <v>3293</v>
      </c>
      <c r="CG533" s="895">
        <v>4077</v>
      </c>
      <c r="CH533" s="89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697"/>
      <c r="C534" s="1698"/>
      <c r="D534" s="1698"/>
      <c r="E534" s="1698"/>
      <c r="F534" s="1698"/>
      <c r="G534" s="1698"/>
      <c r="H534" s="1699"/>
      <c r="I534" s="48" t="s">
        <v>422</v>
      </c>
      <c r="J534" s="48"/>
      <c r="K534" s="48"/>
      <c r="L534" s="48"/>
      <c r="M534" s="48"/>
      <c r="N534" s="48"/>
      <c r="O534" s="48"/>
      <c r="P534" s="48"/>
      <c r="Q534" s="48"/>
      <c r="R534" s="48"/>
      <c r="S534" s="48"/>
      <c r="T534" s="48"/>
      <c r="U534" s="48"/>
      <c r="V534" s="48"/>
      <c r="W534" s="48"/>
      <c r="X534" s="48"/>
      <c r="Y534" s="48"/>
      <c r="Z534" s="48"/>
      <c r="AA534" s="48"/>
      <c r="AB534" s="48"/>
      <c r="AC534" s="1737" t="s">
        <v>598</v>
      </c>
      <c r="AD534" s="1631"/>
      <c r="AE534" s="1631"/>
      <c r="AF534" s="1631"/>
      <c r="AG534" s="13" t="s">
        <v>403</v>
      </c>
      <c r="AH534" s="1421" t="s">
        <v>598</v>
      </c>
      <c r="AI534" s="1421"/>
      <c r="AJ534" s="1421"/>
      <c r="AK534" s="1422"/>
      <c r="AZ534" s="3"/>
      <c r="BA534" s="3"/>
      <c r="BB534" s="3"/>
      <c r="BC534" s="3"/>
      <c r="BD534" s="3"/>
      <c r="BE534" s="3"/>
      <c r="BF534" s="3"/>
      <c r="BG534" s="3"/>
      <c r="BH534" s="3"/>
      <c r="BI534" s="3"/>
      <c r="BJ534" s="3"/>
      <c r="BK534" s="3"/>
      <c r="BL534" s="3"/>
      <c r="BM534" s="3"/>
      <c r="BN534" s="3" t="s">
        <v>2443</v>
      </c>
      <c r="BO534" s="3"/>
      <c r="BP534" s="3"/>
      <c r="BQ534" s="3"/>
      <c r="BR534" s="3"/>
      <c r="BS534" s="3"/>
      <c r="BT534" s="3"/>
      <c r="BU534" s="3"/>
      <c r="BV534" s="378" t="s">
        <v>194</v>
      </c>
      <c r="BW534" s="498">
        <v>1470</v>
      </c>
      <c r="BX534" s="499">
        <v>1574</v>
      </c>
      <c r="BY534" s="498">
        <v>1890</v>
      </c>
      <c r="BZ534" s="499">
        <v>2184</v>
      </c>
      <c r="CA534" s="499">
        <v>2436</v>
      </c>
      <c r="CB534" s="500">
        <v>2688</v>
      </c>
      <c r="CC534" s="3"/>
      <c r="CD534" s="895">
        <v>895</v>
      </c>
      <c r="CE534" s="895">
        <v>1017</v>
      </c>
      <c r="CF534" s="895">
        <v>1339</v>
      </c>
      <c r="CG534" s="895">
        <v>1903</v>
      </c>
      <c r="CH534" s="89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697"/>
      <c r="C535" s="1698"/>
      <c r="D535" s="1698"/>
      <c r="E535" s="1698"/>
      <c r="F535" s="1698"/>
      <c r="G535" s="1698"/>
      <c r="H535" s="1699"/>
      <c r="I535" s="42" t="s">
        <v>423</v>
      </c>
      <c r="J535" s="42"/>
      <c r="K535" s="42"/>
      <c r="L535" s="42"/>
      <c r="M535" s="42"/>
      <c r="N535" s="42"/>
      <c r="O535" s="1738" t="s">
        <v>334</v>
      </c>
      <c r="P535" s="1739"/>
      <c r="Q535" s="1739"/>
      <c r="R535" s="1739"/>
      <c r="S535" s="1739"/>
      <c r="T535" s="1739"/>
      <c r="U535" s="1739"/>
      <c r="V535" s="1739"/>
      <c r="W535" s="1739"/>
      <c r="X535" s="1739"/>
      <c r="Y535" s="1739"/>
      <c r="Z535" s="1739"/>
      <c r="AA535" s="1739"/>
      <c r="AC535" s="1737" t="s">
        <v>598</v>
      </c>
      <c r="AD535" s="1631"/>
      <c r="AE535" s="1631"/>
      <c r="AF535" s="1631"/>
      <c r="AG535" s="38" t="s">
        <v>403</v>
      </c>
      <c r="AH535" s="1421"/>
      <c r="AI535" s="1421"/>
      <c r="AJ535" s="1421"/>
      <c r="AK535" s="1422"/>
      <c r="AZ535" s="3"/>
      <c r="BA535" s="3"/>
      <c r="BB535" s="3"/>
      <c r="BC535" s="3"/>
      <c r="BD535" s="3"/>
      <c r="BE535" s="3"/>
      <c r="BF535" s="3"/>
      <c r="BG535" s="3"/>
      <c r="BH535" s="3"/>
      <c r="BI535" s="3"/>
      <c r="BJ535" s="3"/>
      <c r="BK535" s="3"/>
      <c r="BL535" s="3"/>
      <c r="BM535" s="3"/>
      <c r="BN535" s="3" t="s">
        <v>2444</v>
      </c>
      <c r="BO535" s="3"/>
      <c r="BP535" s="3"/>
      <c r="BQ535" s="3"/>
      <c r="BR535" s="3"/>
      <c r="BS535" s="3"/>
      <c r="BT535" s="3"/>
      <c r="BU535" s="3"/>
      <c r="BV535" s="378" t="s">
        <v>195</v>
      </c>
      <c r="BW535" s="498">
        <v>1496</v>
      </c>
      <c r="BX535" s="499">
        <v>1602</v>
      </c>
      <c r="BY535" s="498">
        <v>1924</v>
      </c>
      <c r="BZ535" s="499">
        <v>2222</v>
      </c>
      <c r="CA535" s="499">
        <v>2480</v>
      </c>
      <c r="CB535" s="500">
        <v>2736</v>
      </c>
      <c r="CC535" s="3"/>
      <c r="CD535" s="895">
        <v>774</v>
      </c>
      <c r="CE535" s="895">
        <v>866</v>
      </c>
      <c r="CF535" s="895">
        <v>1138</v>
      </c>
      <c r="CG535" s="895">
        <v>1479</v>
      </c>
      <c r="CH535" s="89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697"/>
      <c r="C536" s="1698"/>
      <c r="D536" s="1698"/>
      <c r="E536" s="1698"/>
      <c r="F536" s="1698"/>
      <c r="G536" s="1698"/>
      <c r="H536" s="1699"/>
      <c r="I536" t="s">
        <v>421</v>
      </c>
      <c r="AC536" s="1737" t="s">
        <v>598</v>
      </c>
      <c r="AD536" s="1631"/>
      <c r="AE536" s="1631"/>
      <c r="AF536" s="1631"/>
      <c r="AG536" s="13" t="s">
        <v>403</v>
      </c>
      <c r="AH536" s="1421"/>
      <c r="AI536" s="1421"/>
      <c r="AJ536" s="1421"/>
      <c r="AK536" s="1422"/>
      <c r="AZ536" s="3"/>
      <c r="BA536" s="3"/>
      <c r="BB536" s="3"/>
      <c r="BC536" s="3"/>
      <c r="BD536" s="3"/>
      <c r="BE536" s="3"/>
      <c r="BF536" s="3"/>
      <c r="BG536" s="3"/>
      <c r="BH536" s="3"/>
      <c r="BI536" s="3"/>
      <c r="BJ536" s="3"/>
      <c r="BK536" s="3"/>
      <c r="BL536" s="3"/>
      <c r="BM536" s="3"/>
      <c r="BN536" s="3" t="s">
        <v>2445</v>
      </c>
      <c r="BO536" s="3"/>
      <c r="BP536" s="3"/>
      <c r="BQ536" s="3"/>
      <c r="BR536" s="3"/>
      <c r="BS536" s="3"/>
      <c r="BT536" s="3"/>
      <c r="BU536" s="3"/>
      <c r="BV536" s="378" t="s">
        <v>196</v>
      </c>
      <c r="BW536" s="498">
        <v>1444</v>
      </c>
      <c r="BX536" s="499">
        <v>1546</v>
      </c>
      <c r="BY536" s="498">
        <v>1856</v>
      </c>
      <c r="BZ536" s="499">
        <v>2144</v>
      </c>
      <c r="CA536" s="499">
        <v>2392</v>
      </c>
      <c r="CB536" s="500">
        <v>2640</v>
      </c>
      <c r="CC536" s="3"/>
      <c r="CD536" s="895">
        <v>738</v>
      </c>
      <c r="CE536" s="895">
        <v>752</v>
      </c>
      <c r="CF536" s="895">
        <v>974</v>
      </c>
      <c r="CG536" s="895">
        <v>1384</v>
      </c>
      <c r="CH536" s="89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697"/>
      <c r="C537" s="1698"/>
      <c r="D537" s="1698"/>
      <c r="E537" s="1698"/>
      <c r="F537" s="1698"/>
      <c r="G537" s="1698"/>
      <c r="H537" s="1699"/>
      <c r="I537" s="48" t="s">
        <v>422</v>
      </c>
      <c r="J537" s="48"/>
      <c r="K537" s="48"/>
      <c r="L537" s="48"/>
      <c r="M537" s="48"/>
      <c r="N537" s="48"/>
      <c r="O537" s="48"/>
      <c r="P537" s="48"/>
      <c r="Q537" s="48"/>
      <c r="R537" s="48"/>
      <c r="S537" s="48"/>
      <c r="T537" s="48"/>
      <c r="U537" s="48"/>
      <c r="V537" s="48"/>
      <c r="W537" s="48"/>
      <c r="X537" s="48"/>
      <c r="Y537" s="48"/>
      <c r="Z537" s="48"/>
      <c r="AA537" s="48"/>
      <c r="AB537" s="48"/>
      <c r="AC537" s="1737" t="s">
        <v>598</v>
      </c>
      <c r="AD537" s="1631"/>
      <c r="AE537" s="1631"/>
      <c r="AF537" s="1631"/>
      <c r="AG537" s="38" t="s">
        <v>403</v>
      </c>
      <c r="AH537" s="1421"/>
      <c r="AI537" s="1421"/>
      <c r="AJ537" s="1421"/>
      <c r="AK537" s="1422"/>
      <c r="AZ537" s="3"/>
      <c r="BA537" s="3"/>
      <c r="BB537" s="3"/>
      <c r="BC537" s="3"/>
      <c r="BD537" s="3"/>
      <c r="BE537" s="3"/>
      <c r="BF537" s="3"/>
      <c r="BG537" s="3"/>
      <c r="BH537" s="3"/>
      <c r="BI537" s="3"/>
      <c r="BJ537" s="3"/>
      <c r="BK537" s="3"/>
      <c r="BL537" s="3"/>
      <c r="BM537" s="3"/>
      <c r="BN537" s="3" t="s">
        <v>2446</v>
      </c>
      <c r="BO537" s="3"/>
      <c r="BP537" s="3"/>
      <c r="BQ537" s="3"/>
      <c r="BR537" s="3"/>
      <c r="BS537" s="3"/>
      <c r="BT537" s="3"/>
      <c r="BU537" s="3"/>
      <c r="BV537" s="378" t="s">
        <v>197</v>
      </c>
      <c r="BW537" s="498">
        <v>2002</v>
      </c>
      <c r="BX537" s="499">
        <v>2146</v>
      </c>
      <c r="BY537" s="498">
        <v>2574</v>
      </c>
      <c r="BZ537" s="499">
        <v>2974</v>
      </c>
      <c r="CA537" s="499">
        <v>3320</v>
      </c>
      <c r="CB537" s="500">
        <v>3662</v>
      </c>
      <c r="CC537" s="3"/>
      <c r="CD537" s="895">
        <v>1428</v>
      </c>
      <c r="CE537" s="895">
        <v>1620</v>
      </c>
      <c r="CF537" s="895">
        <v>1963</v>
      </c>
      <c r="CG537" s="895">
        <v>2790</v>
      </c>
      <c r="CH537" s="89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697"/>
      <c r="C538" s="1698"/>
      <c r="D538" s="1698"/>
      <c r="E538" s="1698"/>
      <c r="F538" s="1698"/>
      <c r="G538" s="1698"/>
      <c r="H538" s="1699"/>
      <c r="I538" s="42" t="s">
        <v>569</v>
      </c>
      <c r="J538" s="42"/>
      <c r="K538" s="42"/>
      <c r="L538" s="42"/>
      <c r="M538" s="42"/>
      <c r="N538" s="42"/>
      <c r="O538" s="42"/>
      <c r="P538" s="42"/>
      <c r="Q538" s="42"/>
      <c r="R538" s="42"/>
      <c r="S538" s="42"/>
      <c r="T538" s="42"/>
      <c r="U538" s="42"/>
      <c r="V538" s="42"/>
      <c r="W538" s="42"/>
      <c r="AC538" s="1737">
        <v>5</v>
      </c>
      <c r="AD538" s="1631"/>
      <c r="AE538" s="1631"/>
      <c r="AF538" s="1631"/>
      <c r="AG538" s="38" t="s">
        <v>403</v>
      </c>
      <c r="AH538" s="1421">
        <v>2025</v>
      </c>
      <c r="AI538" s="1421"/>
      <c r="AJ538" s="1421"/>
      <c r="AK538" s="1422"/>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173</v>
      </c>
      <c r="BW538" s="498">
        <v>2202</v>
      </c>
      <c r="BX538" s="499">
        <v>2360</v>
      </c>
      <c r="BY538" s="498">
        <v>2832</v>
      </c>
      <c r="BZ538" s="499">
        <v>3270</v>
      </c>
      <c r="CA538" s="499">
        <v>3650</v>
      </c>
      <c r="CB538" s="500">
        <v>4026</v>
      </c>
      <c r="CC538" s="3"/>
      <c r="CD538" s="895">
        <v>1525</v>
      </c>
      <c r="CE538" s="895">
        <v>1711</v>
      </c>
      <c r="CF538" s="895">
        <v>2252</v>
      </c>
      <c r="CG538" s="895">
        <v>3101</v>
      </c>
      <c r="CH538" s="89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697"/>
      <c r="C539" s="1698"/>
      <c r="D539" s="1698"/>
      <c r="E539" s="1698"/>
      <c r="F539" s="1698"/>
      <c r="G539" s="1698"/>
      <c r="H539" s="1699"/>
      <c r="I539" t="s">
        <v>570</v>
      </c>
      <c r="AC539" s="1737">
        <v>2</v>
      </c>
      <c r="AD539" s="1631"/>
      <c r="AE539" s="1631"/>
      <c r="AF539" s="1631"/>
      <c r="AG539" s="13" t="s">
        <v>403</v>
      </c>
      <c r="AH539" s="1421">
        <v>2025</v>
      </c>
      <c r="AI539" s="1421"/>
      <c r="AJ539" s="1421"/>
      <c r="AK539" s="1422"/>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198</v>
      </c>
      <c r="BW539" s="498">
        <v>1476</v>
      </c>
      <c r="BX539" s="499">
        <v>1582</v>
      </c>
      <c r="BY539" s="498">
        <v>1900</v>
      </c>
      <c r="BZ539" s="499">
        <v>2194</v>
      </c>
      <c r="CA539" s="499">
        <v>2450</v>
      </c>
      <c r="CB539" s="500">
        <v>2702</v>
      </c>
      <c r="CC539" s="3"/>
      <c r="CD539" s="895">
        <v>1039</v>
      </c>
      <c r="CE539" s="895">
        <v>1072</v>
      </c>
      <c r="CF539" s="895">
        <v>1365</v>
      </c>
      <c r="CG539" s="895">
        <v>1929</v>
      </c>
      <c r="CH539" s="89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697"/>
      <c r="C540" s="1698"/>
      <c r="D540" s="1698"/>
      <c r="E540" s="1698"/>
      <c r="F540" s="1698"/>
      <c r="G540" s="1698"/>
      <c r="H540" s="1699"/>
      <c r="I540" t="s">
        <v>571</v>
      </c>
      <c r="AC540" s="1737">
        <v>7</v>
      </c>
      <c r="AD540" s="1631"/>
      <c r="AE540" s="1631"/>
      <c r="AF540" s="1631"/>
      <c r="AG540" s="38" t="s">
        <v>403</v>
      </c>
      <c r="AH540" s="1421">
        <v>2027</v>
      </c>
      <c r="AI540" s="1421"/>
      <c r="AJ540" s="1421"/>
      <c r="AK540" s="1422"/>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199</v>
      </c>
      <c r="BW540" s="498">
        <v>1444</v>
      </c>
      <c r="BX540" s="499">
        <v>1546</v>
      </c>
      <c r="BY540" s="498">
        <v>1856</v>
      </c>
      <c r="BZ540" s="499">
        <v>2144</v>
      </c>
      <c r="CA540" s="499">
        <v>2392</v>
      </c>
      <c r="CB540" s="500">
        <v>2640</v>
      </c>
      <c r="CC540" s="3"/>
      <c r="CD540" s="895">
        <v>1003</v>
      </c>
      <c r="CE540" s="895">
        <v>1010</v>
      </c>
      <c r="CF540" s="895">
        <v>1288</v>
      </c>
      <c r="CG540" s="895">
        <v>1830</v>
      </c>
      <c r="CH540" s="89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697"/>
      <c r="C541" s="1698"/>
      <c r="D541" s="1698"/>
      <c r="E541" s="1698"/>
      <c r="F541" s="1698"/>
      <c r="G541" s="1698"/>
      <c r="H541" s="1699"/>
      <c r="I541" t="s">
        <v>572</v>
      </c>
      <c r="AC541" s="1737">
        <v>7</v>
      </c>
      <c r="AD541" s="1631"/>
      <c r="AE541" s="1631"/>
      <c r="AF541" s="1631"/>
      <c r="AG541" s="38" t="s">
        <v>403</v>
      </c>
      <c r="AH541" s="1421">
        <v>2027</v>
      </c>
      <c r="AI541" s="1421"/>
      <c r="AJ541" s="1421"/>
      <c r="AK541" s="1422"/>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200</v>
      </c>
      <c r="BW541" s="498">
        <v>1444</v>
      </c>
      <c r="BX541" s="499">
        <v>1546</v>
      </c>
      <c r="BY541" s="498">
        <v>1856</v>
      </c>
      <c r="BZ541" s="499">
        <v>2144</v>
      </c>
      <c r="CA541" s="499">
        <v>2392</v>
      </c>
      <c r="CB541" s="500">
        <v>2640</v>
      </c>
      <c r="CC541" s="3"/>
      <c r="CD541" s="895">
        <v>760</v>
      </c>
      <c r="CE541" s="895">
        <v>819</v>
      </c>
      <c r="CF541" s="895">
        <v>1078</v>
      </c>
      <c r="CG541" s="895">
        <v>1460</v>
      </c>
      <c r="CH541" s="89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700"/>
      <c r="C542" s="1701"/>
      <c r="D542" s="1701"/>
      <c r="E542" s="1701"/>
      <c r="F542" s="1701"/>
      <c r="G542" s="1701"/>
      <c r="H542" s="1702"/>
      <c r="I542" s="48" t="s">
        <v>458</v>
      </c>
      <c r="J542" s="48"/>
      <c r="K542" s="48"/>
      <c r="L542" s="48"/>
      <c r="M542" s="48"/>
      <c r="N542" s="48"/>
      <c r="O542" s="48"/>
      <c r="P542" s="48"/>
      <c r="Q542" s="48"/>
      <c r="R542" s="48"/>
      <c r="S542" s="48"/>
      <c r="T542" s="48"/>
      <c r="U542" s="48"/>
      <c r="V542" s="48"/>
      <c r="W542" s="48"/>
      <c r="X542" s="48"/>
      <c r="Y542" s="48"/>
      <c r="Z542" s="48"/>
      <c r="AA542" s="48"/>
      <c r="AB542" s="48"/>
      <c r="AC542" s="1737">
        <v>3</v>
      </c>
      <c r="AD542" s="1631"/>
      <c r="AE542" s="1631"/>
      <c r="AF542" s="1631"/>
      <c r="AG542" s="38" t="s">
        <v>403</v>
      </c>
      <c r="AH542" s="1421">
        <v>2028</v>
      </c>
      <c r="AI542" s="1421"/>
      <c r="AJ542" s="1421"/>
      <c r="AK542" s="1422"/>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201</v>
      </c>
      <c r="BW542" s="498">
        <v>1444</v>
      </c>
      <c r="BX542" s="499">
        <v>1546</v>
      </c>
      <c r="BY542" s="498">
        <v>1856</v>
      </c>
      <c r="BZ542" s="499">
        <v>2144</v>
      </c>
      <c r="CA542" s="499">
        <v>2392</v>
      </c>
      <c r="CB542" s="500">
        <v>2640</v>
      </c>
      <c r="CC542" s="3"/>
      <c r="CD542" s="895">
        <v>629</v>
      </c>
      <c r="CE542" s="895">
        <v>702</v>
      </c>
      <c r="CF542" s="895">
        <v>924</v>
      </c>
      <c r="CG542" s="895">
        <v>1313</v>
      </c>
      <c r="CH542" s="89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202</v>
      </c>
      <c r="BW543" s="498">
        <v>1444</v>
      </c>
      <c r="BX543" s="499">
        <v>1546</v>
      </c>
      <c r="BY543" s="498">
        <v>1856</v>
      </c>
      <c r="BZ543" s="499">
        <v>2144</v>
      </c>
      <c r="CA543" s="499">
        <v>2392</v>
      </c>
      <c r="CB543" s="500">
        <v>2640</v>
      </c>
      <c r="CC543" s="3"/>
      <c r="CD543" s="895">
        <v>825</v>
      </c>
      <c r="CE543" s="895">
        <v>848</v>
      </c>
      <c r="CF543" s="895">
        <v>1116</v>
      </c>
      <c r="CG543" s="895">
        <v>1552</v>
      </c>
      <c r="CH543" s="89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66" t="s">
        <v>550</v>
      </c>
      <c r="B544" s="1266"/>
      <c r="C544" s="1266"/>
      <c r="D544" s="1266"/>
      <c r="E544" s="1266"/>
      <c r="F544" s="1266"/>
      <c r="G544" s="1266"/>
      <c r="H544" s="1266"/>
      <c r="I544" s="1266"/>
      <c r="J544" s="1266"/>
      <c r="K544" s="1266"/>
      <c r="L544" s="1266"/>
      <c r="M544" s="1266"/>
      <c r="N544" s="1266"/>
      <c r="O544" s="1266"/>
      <c r="P544" s="1266"/>
      <c r="Q544" s="1266"/>
      <c r="R544" s="1266"/>
      <c r="S544" s="1266"/>
      <c r="T544" s="1266"/>
      <c r="U544" s="1266"/>
      <c r="V544" s="1266"/>
      <c r="W544" s="1266"/>
      <c r="X544" s="1266"/>
      <c r="Y544" s="1266"/>
      <c r="Z544" s="1266"/>
      <c r="AA544" s="1266"/>
      <c r="AB544" s="1266"/>
      <c r="AC544" s="1266"/>
      <c r="AD544" s="1266"/>
      <c r="AE544" s="1266"/>
      <c r="AF544" s="1266"/>
      <c r="AG544" s="1266"/>
      <c r="AH544" s="1266"/>
      <c r="AI544" s="1266"/>
      <c r="AJ544" s="1266"/>
      <c r="AK544" s="1266"/>
      <c r="AL544" s="1266"/>
      <c r="AM544" s="1266"/>
      <c r="AN544" s="1266"/>
      <c r="AO544" s="1266"/>
      <c r="AP544" s="1266"/>
      <c r="AQ544" s="1266"/>
      <c r="AR544" s="1266"/>
      <c r="AS544" s="1266"/>
      <c r="AT544" s="1266"/>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1542</v>
      </c>
      <c r="BX544" s="499">
        <v>1652</v>
      </c>
      <c r="BY544" s="498">
        <v>1982</v>
      </c>
      <c r="BZ544" s="499">
        <v>2290</v>
      </c>
      <c r="CA544" s="499">
        <v>2554</v>
      </c>
      <c r="CB544" s="500">
        <v>2820</v>
      </c>
      <c r="CC544" s="3"/>
      <c r="CD544" s="895">
        <v>794</v>
      </c>
      <c r="CE544" s="895">
        <v>902</v>
      </c>
      <c r="CF544" s="895">
        <v>1187</v>
      </c>
      <c r="CG544" s="895">
        <v>1567</v>
      </c>
      <c r="CH544" s="89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66"/>
      <c r="B545" s="1266"/>
      <c r="C545" s="1266"/>
      <c r="D545" s="1266"/>
      <c r="E545" s="1266"/>
      <c r="F545" s="1266"/>
      <c r="G545" s="1266"/>
      <c r="H545" s="1266"/>
      <c r="I545" s="1266"/>
      <c r="J545" s="1266"/>
      <c r="K545" s="1266"/>
      <c r="L545" s="1266"/>
      <c r="M545" s="1266"/>
      <c r="N545" s="1266"/>
      <c r="O545" s="1266"/>
      <c r="P545" s="1266"/>
      <c r="Q545" s="1266"/>
      <c r="R545" s="1266"/>
      <c r="S545" s="1266"/>
      <c r="T545" s="1266"/>
      <c r="U545" s="1266"/>
      <c r="V545" s="1266"/>
      <c r="W545" s="1266"/>
      <c r="X545" s="1266"/>
      <c r="Y545" s="1266"/>
      <c r="Z545" s="1266"/>
      <c r="AA545" s="1266"/>
      <c r="AB545" s="1266"/>
      <c r="AC545" s="1266"/>
      <c r="AD545" s="1266"/>
      <c r="AE545" s="1266"/>
      <c r="AF545" s="1266"/>
      <c r="AG545" s="1266"/>
      <c r="AH545" s="1266"/>
      <c r="AI545" s="1266"/>
      <c r="AJ545" s="1266"/>
      <c r="AK545" s="1266"/>
      <c r="AL545" s="1266"/>
      <c r="AM545" s="1266"/>
      <c r="AN545" s="1266"/>
      <c r="AO545" s="1266"/>
      <c r="AP545" s="1266"/>
      <c r="AQ545" s="1266"/>
      <c r="AR545" s="1266"/>
      <c r="AS545" s="1266"/>
      <c r="AT545" s="1266"/>
      <c r="BB545" s="3"/>
      <c r="BC545" s="3"/>
      <c r="BD545" s="3"/>
      <c r="BE545" s="3"/>
      <c r="BF545" s="3"/>
      <c r="BG545" s="3"/>
      <c r="BH545" s="3"/>
      <c r="BI545" s="3"/>
      <c r="BJ545" s="3"/>
      <c r="BK545" s="3"/>
      <c r="BL545" s="3"/>
      <c r="BM545" s="3"/>
      <c r="BN545" s="3"/>
      <c r="BO545" s="3"/>
      <c r="BP545" s="3"/>
      <c r="BQ545" s="3"/>
      <c r="BR545" s="3"/>
      <c r="BS545" s="3"/>
      <c r="BT545" s="3"/>
      <c r="BU545" s="3"/>
      <c r="BV545" s="378" t="s">
        <v>203</v>
      </c>
      <c r="BW545" s="501">
        <v>2324</v>
      </c>
      <c r="BX545" s="502">
        <v>2490</v>
      </c>
      <c r="BY545" s="501">
        <v>2990</v>
      </c>
      <c r="BZ545" s="502">
        <v>3452</v>
      </c>
      <c r="CA545" s="502">
        <v>3852</v>
      </c>
      <c r="CB545" s="503">
        <v>4250</v>
      </c>
      <c r="CC545" s="3"/>
      <c r="CD545" s="895">
        <v>1703</v>
      </c>
      <c r="CE545" s="895">
        <v>2001</v>
      </c>
      <c r="CF545" s="895">
        <v>2425</v>
      </c>
      <c r="CG545" s="895">
        <v>3368</v>
      </c>
      <c r="CH545" s="89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204</v>
      </c>
      <c r="BW546" s="504">
        <v>1836</v>
      </c>
      <c r="BX546" s="505">
        <v>1968</v>
      </c>
      <c r="BY546" s="504">
        <v>2362</v>
      </c>
      <c r="BZ546" s="505">
        <v>2726</v>
      </c>
      <c r="CA546" s="505">
        <v>3042</v>
      </c>
      <c r="CB546" s="506">
        <v>3356</v>
      </c>
      <c r="CC546" s="3"/>
      <c r="CD546" s="895">
        <v>1386</v>
      </c>
      <c r="CE546" s="895">
        <v>1406</v>
      </c>
      <c r="CF546" s="895">
        <v>1851</v>
      </c>
      <c r="CG546" s="895">
        <v>2561</v>
      </c>
      <c r="CH546" s="89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319</v>
      </c>
      <c r="B547" s="2"/>
      <c r="C547" s="2" t="s">
        <v>459</v>
      </c>
      <c r="BB547" s="3"/>
      <c r="BC547" s="3"/>
      <c r="BD547" s="3"/>
      <c r="BE547" s="3"/>
      <c r="BF547" s="3"/>
      <c r="BG547" s="3"/>
      <c r="BH547" s="3"/>
      <c r="BI547" s="3"/>
      <c r="BJ547" s="3"/>
      <c r="BK547" s="3"/>
      <c r="BL547" s="3"/>
      <c r="BM547" s="3"/>
      <c r="BN547" s="3"/>
      <c r="BO547" s="3"/>
      <c r="BP547" s="3"/>
      <c r="BQ547" s="3"/>
      <c r="BR547" s="3"/>
      <c r="BS547" s="3"/>
      <c r="BT547" s="3"/>
      <c r="BU547" s="3"/>
      <c r="BV547" s="378" t="s">
        <v>205</v>
      </c>
      <c r="BW547" s="507">
        <v>1444</v>
      </c>
      <c r="BX547" s="508">
        <v>1546</v>
      </c>
      <c r="BY547" s="507">
        <v>1856</v>
      </c>
      <c r="BZ547" s="508">
        <v>2144</v>
      </c>
      <c r="CA547" s="508">
        <v>2392</v>
      </c>
      <c r="CB547" s="509">
        <v>2640</v>
      </c>
      <c r="CC547" s="3"/>
      <c r="CD547" s="895">
        <v>1003</v>
      </c>
      <c r="CE547" s="895">
        <v>1010</v>
      </c>
      <c r="CF547" s="895">
        <v>1288</v>
      </c>
      <c r="CG547" s="895">
        <v>1830</v>
      </c>
      <c r="CH547" s="89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2418</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694" t="s">
        <v>2420</v>
      </c>
      <c r="C551" s="1695"/>
      <c r="D551" s="1695"/>
      <c r="E551" s="1695"/>
      <c r="F551" s="1695"/>
      <c r="G551" s="1695"/>
      <c r="H551" s="1695"/>
      <c r="I551" s="1695"/>
      <c r="J551" s="1695"/>
      <c r="K551" s="1695"/>
      <c r="L551" s="1696"/>
      <c r="M551" s="1694" t="s">
        <v>2421</v>
      </c>
      <c r="N551" s="1695"/>
      <c r="O551" s="1695"/>
      <c r="P551" s="1696"/>
      <c r="Q551" s="1694" t="s">
        <v>2447</v>
      </c>
      <c r="R551" s="1695"/>
      <c r="S551" s="1696"/>
      <c r="T551" s="1694" t="s">
        <v>2448</v>
      </c>
      <c r="U551" s="1695"/>
      <c r="V551" s="1696"/>
      <c r="W551" s="1694" t="s">
        <v>460</v>
      </c>
      <c r="X551" s="1695"/>
      <c r="Y551" s="1696"/>
      <c r="Z551" s="1694" t="s">
        <v>2041</v>
      </c>
      <c r="AA551" s="1695"/>
      <c r="AB551" s="1695"/>
      <c r="AC551" s="1695"/>
      <c r="AD551" s="1696"/>
      <c r="AE551" s="1694" t="s">
        <v>1863</v>
      </c>
      <c r="AF551" s="1695"/>
      <c r="AG551" s="1695"/>
      <c r="AH551" s="1696"/>
      <c r="AI551" s="1694" t="s">
        <v>1864</v>
      </c>
      <c r="AJ551" s="1695"/>
      <c r="AK551" s="1695"/>
      <c r="AL551" s="1696"/>
      <c r="AM551" s="1694" t="s">
        <v>461</v>
      </c>
      <c r="AN551" s="1695"/>
      <c r="AO551" s="1695"/>
      <c r="AP551" s="1695"/>
      <c r="AQ551" s="1695"/>
      <c r="AR551" s="1695"/>
      <c r="AS551" s="1696"/>
      <c r="BB551" s="3"/>
      <c r="BC551" s="3"/>
      <c r="BD551" s="3"/>
      <c r="BE551" s="3"/>
      <c r="BF551" s="3"/>
      <c r="BG551" s="3"/>
      <c r="BH551" s="3" t="s">
        <v>588</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697"/>
      <c r="C552" s="1698"/>
      <c r="D552" s="1698"/>
      <c r="E552" s="1698"/>
      <c r="F552" s="1698"/>
      <c r="G552" s="1698"/>
      <c r="H552" s="1698"/>
      <c r="I552" s="1698"/>
      <c r="J552" s="1698"/>
      <c r="K552" s="1698"/>
      <c r="L552" s="1699"/>
      <c r="M552" s="1697"/>
      <c r="N552" s="1698"/>
      <c r="O552" s="1698"/>
      <c r="P552" s="1699"/>
      <c r="Q552" s="1697"/>
      <c r="R552" s="1698"/>
      <c r="S552" s="1699"/>
      <c r="T552" s="1697"/>
      <c r="U552" s="1698"/>
      <c r="V552" s="1699"/>
      <c r="W552" s="1697"/>
      <c r="X552" s="1698"/>
      <c r="Y552" s="1699"/>
      <c r="Z552" s="1697"/>
      <c r="AA552" s="1698"/>
      <c r="AB552" s="1698"/>
      <c r="AC552" s="1698"/>
      <c r="AD552" s="1699"/>
      <c r="AE552" s="1697"/>
      <c r="AF552" s="1698"/>
      <c r="AG552" s="1698"/>
      <c r="AH552" s="1699"/>
      <c r="AI552" s="1697"/>
      <c r="AJ552" s="1698"/>
      <c r="AK552" s="1698"/>
      <c r="AL552" s="1699"/>
      <c r="AM552" s="1697"/>
      <c r="AN552" s="1698"/>
      <c r="AO552" s="1698"/>
      <c r="AP552" s="1698"/>
      <c r="AQ552" s="1698"/>
      <c r="AR552" s="1698"/>
      <c r="AS552" s="1699"/>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700"/>
      <c r="C553" s="1701"/>
      <c r="D553" s="1701"/>
      <c r="E553" s="1701"/>
      <c r="F553" s="1701"/>
      <c r="G553" s="1701"/>
      <c r="H553" s="1701"/>
      <c r="I553" s="1701"/>
      <c r="J553" s="1701"/>
      <c r="K553" s="1701"/>
      <c r="L553" s="1702"/>
      <c r="M553" s="1700"/>
      <c r="N553" s="1701"/>
      <c r="O553" s="1701"/>
      <c r="P553" s="1702"/>
      <c r="Q553" s="1700"/>
      <c r="R553" s="1701"/>
      <c r="S553" s="1702"/>
      <c r="T553" s="1700"/>
      <c r="U553" s="1701"/>
      <c r="V553" s="1702"/>
      <c r="W553" s="1700"/>
      <c r="X553" s="1701"/>
      <c r="Y553" s="1702"/>
      <c r="Z553" s="1700"/>
      <c r="AA553" s="1701"/>
      <c r="AB553" s="1701"/>
      <c r="AC553" s="1701"/>
      <c r="AD553" s="1702"/>
      <c r="AE553" s="1700"/>
      <c r="AF553" s="1701"/>
      <c r="AG553" s="1701"/>
      <c r="AH553" s="1702"/>
      <c r="AI553" s="1700"/>
      <c r="AJ553" s="1701"/>
      <c r="AK553" s="1701"/>
      <c r="AL553" s="1702"/>
      <c r="AM553" s="1700"/>
      <c r="AN553" s="1701"/>
      <c r="AO553" s="1701"/>
      <c r="AP553" s="1701"/>
      <c r="AQ553" s="1701"/>
      <c r="AR553" s="1701"/>
      <c r="AS553" s="1702"/>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724" t="s">
        <v>2714</v>
      </c>
      <c r="D554" s="1725"/>
      <c r="E554" s="1725"/>
      <c r="F554" s="1725"/>
      <c r="G554" s="1725"/>
      <c r="H554" s="1725"/>
      <c r="I554" s="1725"/>
      <c r="J554" s="1725"/>
      <c r="K554" s="1725"/>
      <c r="L554" s="1726"/>
      <c r="M554" s="1724" t="s">
        <v>2437</v>
      </c>
      <c r="N554" s="1725"/>
      <c r="O554" s="1725"/>
      <c r="P554" s="1726"/>
      <c r="Q554" s="1688">
        <v>43</v>
      </c>
      <c r="R554" s="1688"/>
      <c r="S554" s="1689"/>
      <c r="T554" s="1687"/>
      <c r="U554" s="1688"/>
      <c r="V554" s="1689"/>
      <c r="W554" s="1707">
        <v>6.7659999999999998E-2</v>
      </c>
      <c r="X554" s="1708"/>
      <c r="Y554" s="1709"/>
      <c r="Z554" s="1715" t="s">
        <v>2761</v>
      </c>
      <c r="AA554" s="1715"/>
      <c r="AB554" s="1715"/>
      <c r="AC554" s="1715"/>
      <c r="AD554" s="1715"/>
      <c r="AE554" s="1741">
        <v>1</v>
      </c>
      <c r="AF554" s="1742"/>
      <c r="AG554" s="1742"/>
      <c r="AH554" s="1743"/>
      <c r="AI554" s="1721"/>
      <c r="AJ554" s="1722"/>
      <c r="AK554" s="1722"/>
      <c r="AL554" s="1723"/>
      <c r="AM554" s="1691">
        <v>53257010</v>
      </c>
      <c r="AN554" s="1692"/>
      <c r="AO554" s="1692"/>
      <c r="AP554" s="1692"/>
      <c r="AQ554" s="1692"/>
      <c r="AR554" s="1692"/>
      <c r="AS554" s="1693"/>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727" t="s">
        <v>2715</v>
      </c>
      <c r="D555" s="1728"/>
      <c r="E555" s="1728"/>
      <c r="F555" s="1728"/>
      <c r="G555" s="1728"/>
      <c r="H555" s="1728"/>
      <c r="I555" s="1728"/>
      <c r="J555" s="1728"/>
      <c r="K555" s="1728"/>
      <c r="L555" s="1729"/>
      <c r="M555" s="1724" t="s">
        <v>2436</v>
      </c>
      <c r="N555" s="1725"/>
      <c r="O555" s="1725"/>
      <c r="P555" s="1726"/>
      <c r="Q555" s="1687">
        <v>43</v>
      </c>
      <c r="R555" s="1688"/>
      <c r="S555" s="1689"/>
      <c r="T555" s="1687"/>
      <c r="U555" s="1688"/>
      <c r="V555" s="1689"/>
      <c r="W555" s="1707">
        <v>7.5660000000000005E-2</v>
      </c>
      <c r="X555" s="1708"/>
      <c r="Y555" s="1709"/>
      <c r="Z555" s="1715" t="s">
        <v>2761</v>
      </c>
      <c r="AA555" s="1715"/>
      <c r="AB555" s="1715"/>
      <c r="AC555" s="1715"/>
      <c r="AD555" s="1715"/>
      <c r="AE555" s="1741">
        <v>2</v>
      </c>
      <c r="AF555" s="1742"/>
      <c r="AG555" s="1742"/>
      <c r="AH555" s="1743"/>
      <c r="AI555" s="1721"/>
      <c r="AJ555" s="1722"/>
      <c r="AK555" s="1722"/>
      <c r="AL555" s="1723"/>
      <c r="AM555" s="1691">
        <v>33851102</v>
      </c>
      <c r="AN555" s="1692"/>
      <c r="AO555" s="1692"/>
      <c r="AP555" s="1692"/>
      <c r="AQ555" s="1692"/>
      <c r="AR555" s="1692"/>
      <c r="AS555" s="1693"/>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713" t="s">
        <v>2712</v>
      </c>
      <c r="D556" s="1713"/>
      <c r="E556" s="1713"/>
      <c r="F556" s="1713"/>
      <c r="G556" s="1713"/>
      <c r="H556" s="1713"/>
      <c r="I556" s="1713"/>
      <c r="J556" s="1713"/>
      <c r="K556" s="1713"/>
      <c r="L556" s="1713"/>
      <c r="M556" s="1714" t="s">
        <v>2433</v>
      </c>
      <c r="N556" s="1714"/>
      <c r="O556" s="1714"/>
      <c r="P556" s="1714"/>
      <c r="Q556" s="1687">
        <v>43</v>
      </c>
      <c r="R556" s="1688"/>
      <c r="S556" s="1689"/>
      <c r="T556" s="1687"/>
      <c r="U556" s="1688"/>
      <c r="V556" s="1689"/>
      <c r="W556" s="1707">
        <v>0.03</v>
      </c>
      <c r="X556" s="1708"/>
      <c r="Y556" s="1709"/>
      <c r="Z556" s="1715" t="s">
        <v>2762</v>
      </c>
      <c r="AA556" s="1715"/>
      <c r="AB556" s="1715"/>
      <c r="AC556" s="1715"/>
      <c r="AD556" s="1715"/>
      <c r="AE556" s="1741">
        <v>3</v>
      </c>
      <c r="AF556" s="1742"/>
      <c r="AG556" s="1742"/>
      <c r="AH556" s="1743"/>
      <c r="AI556" s="1721"/>
      <c r="AJ556" s="1722"/>
      <c r="AK556" s="1722"/>
      <c r="AL556" s="1723"/>
      <c r="AM556" s="1691">
        <v>1750000</v>
      </c>
      <c r="AN556" s="1692"/>
      <c r="AO556" s="1692"/>
      <c r="AP556" s="1692"/>
      <c r="AQ556" s="1692"/>
      <c r="AR556" s="1692"/>
      <c r="AS556" s="1693"/>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588</v>
      </c>
      <c r="C557" s="1713" t="s">
        <v>2713</v>
      </c>
      <c r="D557" s="1713"/>
      <c r="E557" s="1713"/>
      <c r="F557" s="1713"/>
      <c r="G557" s="1713"/>
      <c r="H557" s="1713"/>
      <c r="I557" s="1713"/>
      <c r="J557" s="1713"/>
      <c r="K557" s="1713"/>
      <c r="L557" s="1713"/>
      <c r="M557" s="1714" t="s">
        <v>2433</v>
      </c>
      <c r="N557" s="1714"/>
      <c r="O557" s="1714"/>
      <c r="P557" s="1714"/>
      <c r="Q557" s="1687">
        <v>43</v>
      </c>
      <c r="R557" s="1688"/>
      <c r="S557" s="1689"/>
      <c r="T557" s="1687"/>
      <c r="U557" s="1688"/>
      <c r="V557" s="1689"/>
      <c r="W557" s="1707">
        <v>0.03</v>
      </c>
      <c r="X557" s="1708"/>
      <c r="Y557" s="1709"/>
      <c r="Z557" s="1715" t="s">
        <v>2762</v>
      </c>
      <c r="AA557" s="1715"/>
      <c r="AB557" s="1715"/>
      <c r="AC557" s="1715"/>
      <c r="AD557" s="1715"/>
      <c r="AE557" s="1741">
        <v>4</v>
      </c>
      <c r="AF557" s="1742"/>
      <c r="AG557" s="1742"/>
      <c r="AH557" s="1743"/>
      <c r="AI557" s="1721"/>
      <c r="AJ557" s="1722"/>
      <c r="AK557" s="1722"/>
      <c r="AL557" s="1723"/>
      <c r="AM557" s="1691">
        <v>3805000</v>
      </c>
      <c r="AN557" s="1692"/>
      <c r="AO557" s="1692"/>
      <c r="AP557" s="1692"/>
      <c r="AQ557" s="1692"/>
      <c r="AR557" s="1692"/>
      <c r="AS557" s="1693"/>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771</v>
      </c>
      <c r="C558" s="1713" t="s">
        <v>2717</v>
      </c>
      <c r="D558" s="1713"/>
      <c r="E558" s="1713"/>
      <c r="F558" s="1713"/>
      <c r="G558" s="1713"/>
      <c r="H558" s="1713"/>
      <c r="I558" s="1713"/>
      <c r="J558" s="1713"/>
      <c r="K558" s="1713"/>
      <c r="L558" s="1713"/>
      <c r="M558" s="1714" t="s">
        <v>2423</v>
      </c>
      <c r="N558" s="1714"/>
      <c r="O558" s="1714"/>
      <c r="P558" s="1714"/>
      <c r="Q558" s="1687"/>
      <c r="R558" s="1688"/>
      <c r="S558" s="1689"/>
      <c r="T558" s="1687"/>
      <c r="U558" s="1688"/>
      <c r="V558" s="1689"/>
      <c r="W558" s="1707"/>
      <c r="X558" s="1708"/>
      <c r="Y558" s="1709"/>
      <c r="Z558" s="1715" t="s">
        <v>598</v>
      </c>
      <c r="AA558" s="1715"/>
      <c r="AB558" s="1715"/>
      <c r="AC558" s="1715"/>
      <c r="AD558" s="1715"/>
      <c r="AE558" s="1741"/>
      <c r="AF558" s="1742"/>
      <c r="AG558" s="1742"/>
      <c r="AH558" s="1743"/>
      <c r="AI558" s="1721"/>
      <c r="AJ558" s="1722"/>
      <c r="AK558" s="1722"/>
      <c r="AL558" s="1723"/>
      <c r="AM558" s="1691">
        <v>2509603.5</v>
      </c>
      <c r="AN558" s="1692"/>
      <c r="AO558" s="1692"/>
      <c r="AP558" s="1692"/>
      <c r="AQ558" s="1692"/>
      <c r="AR558" s="1692"/>
      <c r="AS558" s="1693"/>
      <c r="AT558" s="1192" t="str">
        <f t="shared" ref="AT558:AT565" si="0">IF(AND(NOT(C557=""),C558="",NOT(C559="")),"!","")</f>
        <v/>
      </c>
      <c r="AU558" s="1191"/>
      <c r="BB558" s="3"/>
      <c r="BC558" s="3"/>
      <c r="BD558" s="3"/>
      <c r="BE558" s="3"/>
      <c r="BF558" s="3"/>
      <c r="BG558" s="3"/>
      <c r="BH558" s="3" t="s">
        <v>771</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591</v>
      </c>
      <c r="C559" s="1713" t="s">
        <v>1849</v>
      </c>
      <c r="D559" s="1713"/>
      <c r="E559" s="1713"/>
      <c r="F559" s="1713"/>
      <c r="G559" s="1713"/>
      <c r="H559" s="1713"/>
      <c r="I559" s="1713"/>
      <c r="J559" s="1713"/>
      <c r="K559" s="1713"/>
      <c r="L559" s="1713"/>
      <c r="M559" s="1714" t="s">
        <v>2424</v>
      </c>
      <c r="N559" s="1714"/>
      <c r="O559" s="1714"/>
      <c r="P559" s="1714"/>
      <c r="Q559" s="1687"/>
      <c r="R559" s="1688"/>
      <c r="S559" s="1689"/>
      <c r="T559" s="1687"/>
      <c r="U559" s="1688"/>
      <c r="V559" s="1689"/>
      <c r="W559" s="1707"/>
      <c r="X559" s="1708"/>
      <c r="Y559" s="1709"/>
      <c r="Z559" s="1715" t="s">
        <v>598</v>
      </c>
      <c r="AA559" s="1715"/>
      <c r="AB559" s="1715"/>
      <c r="AC559" s="1715"/>
      <c r="AD559" s="1715"/>
      <c r="AE559" s="1741"/>
      <c r="AF559" s="1742"/>
      <c r="AG559" s="1742"/>
      <c r="AH559" s="1743"/>
      <c r="AI559" s="1721"/>
      <c r="AJ559" s="1722"/>
      <c r="AK559" s="1722"/>
      <c r="AL559" s="1723"/>
      <c r="AM559" s="1691">
        <v>10244374</v>
      </c>
      <c r="AN559" s="1692"/>
      <c r="AO559" s="1692"/>
      <c r="AP559" s="1692"/>
      <c r="AQ559" s="1692"/>
      <c r="AR559" s="1692"/>
      <c r="AS559" s="1693"/>
      <c r="AT559" s="1192" t="str">
        <f t="shared" si="0"/>
        <v/>
      </c>
      <c r="AU559" s="1191"/>
      <c r="BB559" s="3"/>
      <c r="BC559" s="3"/>
      <c r="BD559" s="3"/>
      <c r="BE559" s="3"/>
      <c r="BF559" s="3"/>
      <c r="BG559" s="3"/>
      <c r="BH559" s="3" t="s">
        <v>591</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462</v>
      </c>
      <c r="C560" s="1713" t="s">
        <v>2716</v>
      </c>
      <c r="D560" s="1713"/>
      <c r="E560" s="1713"/>
      <c r="F560" s="1713"/>
      <c r="G560" s="1713"/>
      <c r="H560" s="1713"/>
      <c r="I560" s="1713"/>
      <c r="J560" s="1713"/>
      <c r="K560" s="1713"/>
      <c r="L560" s="1713"/>
      <c r="M560" s="1714" t="s">
        <v>2428</v>
      </c>
      <c r="N560" s="1714"/>
      <c r="O560" s="1714"/>
      <c r="P560" s="1714"/>
      <c r="Q560" s="1687"/>
      <c r="R560" s="1688"/>
      <c r="S560" s="1689"/>
      <c r="T560" s="1687"/>
      <c r="U560" s="1688"/>
      <c r="V560" s="1689"/>
      <c r="W560" s="1707"/>
      <c r="X560" s="1708"/>
      <c r="Y560" s="1709"/>
      <c r="Z560" s="1715" t="s">
        <v>598</v>
      </c>
      <c r="AA560" s="1715"/>
      <c r="AB560" s="1715"/>
      <c r="AC560" s="1715"/>
      <c r="AD560" s="1715"/>
      <c r="AE560" s="1741"/>
      <c r="AF560" s="1742"/>
      <c r="AG560" s="1742"/>
      <c r="AH560" s="1743"/>
      <c r="AI560" s="1721"/>
      <c r="AJ560" s="1722"/>
      <c r="AK560" s="1722"/>
      <c r="AL560" s="1723"/>
      <c r="AM560" s="1691">
        <f>4946302-252250</f>
        <v>4694052</v>
      </c>
      <c r="AN560" s="1692"/>
      <c r="AO560" s="1692"/>
      <c r="AP560" s="1692"/>
      <c r="AQ560" s="1692"/>
      <c r="AR560" s="1692"/>
      <c r="AS560" s="1693"/>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463</v>
      </c>
      <c r="C561" s="1713"/>
      <c r="D561" s="1713"/>
      <c r="E561" s="1713"/>
      <c r="F561" s="1713"/>
      <c r="G561" s="1713"/>
      <c r="H561" s="1713"/>
      <c r="I561" s="1713"/>
      <c r="J561" s="1713"/>
      <c r="K561" s="1713"/>
      <c r="L561" s="1713"/>
      <c r="M561" s="1714" t="s">
        <v>1288</v>
      </c>
      <c r="N561" s="1714"/>
      <c r="O561" s="1714"/>
      <c r="P561" s="1714"/>
      <c r="Q561" s="1687"/>
      <c r="R561" s="1688"/>
      <c r="S561" s="1689"/>
      <c r="T561" s="1687"/>
      <c r="U561" s="1688"/>
      <c r="V561" s="1689"/>
      <c r="W561" s="1707"/>
      <c r="X561" s="1708"/>
      <c r="Y561" s="1709"/>
      <c r="Z561" s="1715" t="s">
        <v>1288</v>
      </c>
      <c r="AA561" s="1715"/>
      <c r="AB561" s="1715"/>
      <c r="AC561" s="1715"/>
      <c r="AD561" s="1715"/>
      <c r="AE561" s="1741"/>
      <c r="AF561" s="1742"/>
      <c r="AG561" s="1742"/>
      <c r="AH561" s="1743"/>
      <c r="AI561" s="1721"/>
      <c r="AJ561" s="1722"/>
      <c r="AK561" s="1722"/>
      <c r="AL561" s="1723"/>
      <c r="AM561" s="1691"/>
      <c r="AN561" s="1692"/>
      <c r="AO561" s="1692"/>
      <c r="AP561" s="1692"/>
      <c r="AQ561" s="1692"/>
      <c r="AR561" s="1692"/>
      <c r="AS561" s="1693"/>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468</v>
      </c>
      <c r="C562" s="1713"/>
      <c r="D562" s="1713"/>
      <c r="E562" s="1713"/>
      <c r="F562" s="1713"/>
      <c r="G562" s="1713"/>
      <c r="H562" s="1713"/>
      <c r="I562" s="1713"/>
      <c r="J562" s="1713"/>
      <c r="K562" s="1713"/>
      <c r="L562" s="1713"/>
      <c r="M562" s="1714" t="s">
        <v>1288</v>
      </c>
      <c r="N562" s="1714"/>
      <c r="O562" s="1714"/>
      <c r="P562" s="1714"/>
      <c r="Q562" s="1687"/>
      <c r="R562" s="1688"/>
      <c r="S562" s="1689"/>
      <c r="T562" s="1687"/>
      <c r="U562" s="1688"/>
      <c r="V562" s="1689"/>
      <c r="W562" s="1707"/>
      <c r="X562" s="1708"/>
      <c r="Y562" s="1709"/>
      <c r="Z562" s="1715" t="s">
        <v>1288</v>
      </c>
      <c r="AA562" s="1715"/>
      <c r="AB562" s="1715"/>
      <c r="AC562" s="1715"/>
      <c r="AD562" s="1715"/>
      <c r="AE562" s="1741"/>
      <c r="AF562" s="1742"/>
      <c r="AG562" s="1742"/>
      <c r="AH562" s="1743"/>
      <c r="AI562" s="1721"/>
      <c r="AJ562" s="1722"/>
      <c r="AK562" s="1722"/>
      <c r="AL562" s="1723"/>
      <c r="AM562" s="1691"/>
      <c r="AN562" s="1692"/>
      <c r="AO562" s="1692"/>
      <c r="AP562" s="1692"/>
      <c r="AQ562" s="1692"/>
      <c r="AR562" s="1692"/>
      <c r="AS562" s="1693"/>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653</v>
      </c>
      <c r="C563" s="1713"/>
      <c r="D563" s="1713"/>
      <c r="E563" s="1713"/>
      <c r="F563" s="1713"/>
      <c r="G563" s="1713"/>
      <c r="H563" s="1713"/>
      <c r="I563" s="1713"/>
      <c r="J563" s="1713"/>
      <c r="K563" s="1713"/>
      <c r="L563" s="1713"/>
      <c r="M563" s="1714" t="s">
        <v>1288</v>
      </c>
      <c r="N563" s="1714"/>
      <c r="O563" s="1714"/>
      <c r="P563" s="1714"/>
      <c r="Q563" s="1687"/>
      <c r="R563" s="1688"/>
      <c r="S563" s="1689"/>
      <c r="T563" s="1687"/>
      <c r="U563" s="1688"/>
      <c r="V563" s="1689"/>
      <c r="W563" s="1707"/>
      <c r="X563" s="1708"/>
      <c r="Y563" s="1709"/>
      <c r="Z563" s="1715" t="s">
        <v>1288</v>
      </c>
      <c r="AA563" s="1715"/>
      <c r="AB563" s="1715"/>
      <c r="AC563" s="1715"/>
      <c r="AD563" s="1715"/>
      <c r="AE563" s="1741"/>
      <c r="AF563" s="1742"/>
      <c r="AG563" s="1742"/>
      <c r="AH563" s="1743"/>
      <c r="AI563" s="1721"/>
      <c r="AJ563" s="1722"/>
      <c r="AK563" s="1722"/>
      <c r="AL563" s="1723"/>
      <c r="AM563" s="1691"/>
      <c r="AN563" s="1692"/>
      <c r="AO563" s="1692"/>
      <c r="AP563" s="1692"/>
      <c r="AQ563" s="1692"/>
      <c r="AR563" s="1692"/>
      <c r="AS563" s="1693"/>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362</v>
      </c>
      <c r="C564" s="1713"/>
      <c r="D564" s="1713"/>
      <c r="E564" s="1713"/>
      <c r="F564" s="1713"/>
      <c r="G564" s="1713"/>
      <c r="H564" s="1713"/>
      <c r="I564" s="1713"/>
      <c r="J564" s="1713"/>
      <c r="K564" s="1713"/>
      <c r="L564" s="1713"/>
      <c r="M564" s="1714" t="s">
        <v>1288</v>
      </c>
      <c r="N564" s="1714"/>
      <c r="O564" s="1714"/>
      <c r="P564" s="1714"/>
      <c r="Q564" s="1687"/>
      <c r="R564" s="1688"/>
      <c r="S564" s="1689"/>
      <c r="T564" s="1687"/>
      <c r="U564" s="1688"/>
      <c r="V564" s="1689"/>
      <c r="W564" s="1707"/>
      <c r="X564" s="1708"/>
      <c r="Y564" s="1709"/>
      <c r="Z564" s="1715" t="s">
        <v>1288</v>
      </c>
      <c r="AA564" s="1715"/>
      <c r="AB564" s="1715"/>
      <c r="AC564" s="1715"/>
      <c r="AD564" s="1715"/>
      <c r="AE564" s="1741"/>
      <c r="AF564" s="1742"/>
      <c r="AG564" s="1742"/>
      <c r="AH564" s="1743"/>
      <c r="AI564" s="1721"/>
      <c r="AJ564" s="1722"/>
      <c r="AK564" s="1722"/>
      <c r="AL564" s="1723"/>
      <c r="AM564" s="1691"/>
      <c r="AN564" s="1692"/>
      <c r="AO564" s="1692"/>
      <c r="AP564" s="1692"/>
      <c r="AQ564" s="1692"/>
      <c r="AR564" s="1692"/>
      <c r="AS564" s="1693"/>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363</v>
      </c>
      <c r="C565" s="1713"/>
      <c r="D565" s="1713"/>
      <c r="E565" s="1713"/>
      <c r="F565" s="1713"/>
      <c r="G565" s="1713"/>
      <c r="H565" s="1713"/>
      <c r="I565" s="1713"/>
      <c r="J565" s="1713"/>
      <c r="K565" s="1713"/>
      <c r="L565" s="1713"/>
      <c r="M565" s="1714" t="s">
        <v>1288</v>
      </c>
      <c r="N565" s="1714"/>
      <c r="O565" s="1714"/>
      <c r="P565" s="1714"/>
      <c r="Q565" s="1687"/>
      <c r="R565" s="1688"/>
      <c r="S565" s="1689"/>
      <c r="T565" s="1687"/>
      <c r="U565" s="1688"/>
      <c r="V565" s="1689"/>
      <c r="W565" s="1707"/>
      <c r="X565" s="1708"/>
      <c r="Y565" s="1709"/>
      <c r="Z565" s="1715" t="s">
        <v>1288</v>
      </c>
      <c r="AA565" s="1715"/>
      <c r="AB565" s="1715"/>
      <c r="AC565" s="1715"/>
      <c r="AD565" s="1715"/>
      <c r="AE565" s="1741"/>
      <c r="AF565" s="1742"/>
      <c r="AG565" s="1742"/>
      <c r="AH565" s="1743"/>
      <c r="AI565" s="1721"/>
      <c r="AJ565" s="1722"/>
      <c r="AK565" s="1722"/>
      <c r="AL565" s="1723"/>
      <c r="AM565" s="1691"/>
      <c r="AN565" s="1692"/>
      <c r="AO565" s="1692"/>
      <c r="AP565" s="1692"/>
      <c r="AQ565" s="1692"/>
      <c r="AR565" s="1692"/>
      <c r="AS565" s="1693"/>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639" t="s">
        <v>127</v>
      </c>
      <c r="C566" s="1640"/>
      <c r="D566" s="1640"/>
      <c r="E566" s="1640"/>
      <c r="F566" s="1640"/>
      <c r="G566" s="1640"/>
      <c r="H566" s="1640"/>
      <c r="I566" s="1640"/>
      <c r="J566" s="1640"/>
      <c r="K566" s="1640"/>
      <c r="L566" s="1640"/>
      <c r="M566" s="1640"/>
      <c r="N566" s="1640"/>
      <c r="O566" s="1640"/>
      <c r="P566" s="1640"/>
      <c r="Q566" s="1640"/>
      <c r="R566" s="1640"/>
      <c r="S566" s="1640"/>
      <c r="T566" s="1640"/>
      <c r="U566" s="1755"/>
      <c r="V566" s="1640"/>
      <c r="W566" s="1640"/>
      <c r="X566" s="1640"/>
      <c r="Y566" s="1640"/>
      <c r="Z566" s="1640"/>
      <c r="AA566" s="1640"/>
      <c r="AB566" s="1640"/>
      <c r="AC566" s="1640"/>
      <c r="AD566" s="1640"/>
      <c r="AE566" s="1640"/>
      <c r="AF566" s="1640"/>
      <c r="AG566" s="1640"/>
      <c r="AH566" s="1640"/>
      <c r="AI566" s="1640"/>
      <c r="AJ566" s="1640"/>
      <c r="AK566" s="1640"/>
      <c r="AL566" s="1641"/>
      <c r="AM566" s="1626">
        <f>SUM(AM554:AS565)</f>
        <v>110111141.5</v>
      </c>
      <c r="AN566" s="1627"/>
      <c r="AO566" s="1627"/>
      <c r="AP566" s="1627"/>
      <c r="AQ566" s="1627"/>
      <c r="AR566" s="1627"/>
      <c r="AS566" s="1628"/>
      <c r="BB566" s="3"/>
      <c r="BC566" s="3"/>
      <c r="BD566" s="3"/>
      <c r="BE566" s="3"/>
      <c r="BF566" s="3"/>
      <c r="BG566" s="3"/>
      <c r="BH566" s="3" t="s">
        <v>462</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463</v>
      </c>
      <c r="BI567" s="3">
        <f>AG673</f>
        <v>0</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470</v>
      </c>
      <c r="G568" s="1355" t="str">
        <f>C554</f>
        <v>Chase Const Loan Tax-Exempt</v>
      </c>
      <c r="H568" s="1355"/>
      <c r="I568" s="1355"/>
      <c r="J568" s="1355"/>
      <c r="K568" s="1355"/>
      <c r="L568" s="1355"/>
      <c r="M568" s="1355"/>
      <c r="N568" s="1355"/>
      <c r="O568" s="1355"/>
      <c r="P568" s="1355"/>
      <c r="Q568" s="1355"/>
      <c r="R568" s="1355"/>
      <c r="S568" s="8"/>
      <c r="T568" s="55" t="s">
        <v>113</v>
      </c>
      <c r="U568" t="s">
        <v>470</v>
      </c>
      <c r="Z568" s="1355" t="str">
        <f>C555</f>
        <v>Chase Const Loan Taxable</v>
      </c>
      <c r="AA568" s="1355"/>
      <c r="AB568" s="1355"/>
      <c r="AC568" s="1355"/>
      <c r="AD568" s="1355"/>
      <c r="AE568" s="1355"/>
      <c r="AF568" s="1355"/>
      <c r="AG568" s="1355"/>
      <c r="AH568" s="1355"/>
      <c r="AI568" s="1355"/>
      <c r="AJ568" s="1355"/>
      <c r="AK568" s="1355"/>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788" t="s">
        <v>2720</v>
      </c>
      <c r="H569" s="1788"/>
      <c r="I569" s="1788"/>
      <c r="J569" s="1788"/>
      <c r="K569" s="1788"/>
      <c r="L569" s="1788"/>
      <c r="M569" s="1788"/>
      <c r="N569" s="1788"/>
      <c r="O569" s="1788"/>
      <c r="P569" s="1788"/>
      <c r="Q569" s="1788"/>
      <c r="R569" s="1788"/>
      <c r="S569" s="8"/>
      <c r="T569" s="22"/>
      <c r="U569" t="s">
        <v>85</v>
      </c>
      <c r="Z569" s="1357" t="s">
        <v>2720</v>
      </c>
      <c r="AA569" s="1357"/>
      <c r="AB569" s="1357"/>
      <c r="AC569" s="1357"/>
      <c r="AD569" s="1357"/>
      <c r="AE569" s="1357"/>
      <c r="AF569" s="1357"/>
      <c r="AG569" s="1357"/>
      <c r="AH569" s="1357"/>
      <c r="AI569" s="1357"/>
      <c r="AJ569" s="1357"/>
      <c r="AK569" s="1357"/>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587</v>
      </c>
      <c r="G570" s="1788" t="s">
        <v>738</v>
      </c>
      <c r="H570" s="1788"/>
      <c r="I570" s="1788"/>
      <c r="J570" s="1788"/>
      <c r="K570" s="1788"/>
      <c r="L570" s="1788"/>
      <c r="M570" s="1788"/>
      <c r="N570" s="1788"/>
      <c r="O570" s="1788"/>
      <c r="P570" s="1788"/>
      <c r="Q570" s="1788"/>
      <c r="R570" s="1788"/>
      <c r="T570" s="22"/>
      <c r="U570" t="s">
        <v>587</v>
      </c>
      <c r="Z570" s="1371" t="s">
        <v>738</v>
      </c>
      <c r="AA570" s="1371"/>
      <c r="AB570" s="1371"/>
      <c r="AC570" s="1371"/>
      <c r="AD570" s="1371"/>
      <c r="AE570" s="1371"/>
      <c r="AF570" s="1371"/>
      <c r="AG570" s="1371"/>
      <c r="AH570" s="1371"/>
      <c r="AI570" s="1371"/>
      <c r="AJ570" s="1371"/>
      <c r="AK570" s="1371"/>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788" t="s">
        <v>2721</v>
      </c>
      <c r="H571" s="1788"/>
      <c r="I571" s="1788"/>
      <c r="J571" s="1788"/>
      <c r="K571" s="1788"/>
      <c r="L571" s="1788"/>
      <c r="M571" s="1788"/>
      <c r="N571" s="1788"/>
      <c r="O571" s="1788"/>
      <c r="P571" s="1788"/>
      <c r="Q571" s="1788"/>
      <c r="R571" s="1788"/>
      <c r="S571" s="8"/>
      <c r="T571" s="22"/>
      <c r="U571" t="s">
        <v>17</v>
      </c>
      <c r="Z571" s="1371" t="s">
        <v>2721</v>
      </c>
      <c r="AA571" s="1371"/>
      <c r="AB571" s="1371"/>
      <c r="AC571" s="1371"/>
      <c r="AD571" s="1371"/>
      <c r="AE571" s="1371"/>
      <c r="AF571" s="1371"/>
      <c r="AG571" s="1371"/>
      <c r="AH571" s="1371"/>
      <c r="AI571" s="1371"/>
      <c r="AJ571" s="1371"/>
      <c r="AK571" s="1371"/>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316</v>
      </c>
      <c r="G572" s="1789" t="s">
        <v>2722</v>
      </c>
      <c r="H572" s="1789"/>
      <c r="I572" s="1789"/>
      <c r="J572" s="1789"/>
      <c r="K572" s="1789"/>
      <c r="L572" s="1789"/>
      <c r="O572" s="33" t="s">
        <v>206</v>
      </c>
      <c r="P572" s="1455"/>
      <c r="Q572" s="1455"/>
      <c r="R572" s="1455"/>
      <c r="S572" s="10"/>
      <c r="T572" s="22"/>
      <c r="U572" t="s">
        <v>316</v>
      </c>
      <c r="Z572" s="1460" t="s">
        <v>2722</v>
      </c>
      <c r="AA572" s="1460"/>
      <c r="AB572" s="1460"/>
      <c r="AC572" s="1460"/>
      <c r="AD572" s="1460"/>
      <c r="AE572" s="1460"/>
      <c r="AH572" s="33" t="s">
        <v>206</v>
      </c>
      <c r="AI572" s="1455"/>
      <c r="AJ572" s="1455"/>
      <c r="AK572" s="1455"/>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356" t="s">
        <v>2723</v>
      </c>
      <c r="I573" s="1357"/>
      <c r="J573" s="1357"/>
      <c r="K573" s="1357"/>
      <c r="L573" s="1357"/>
      <c r="M573" s="1357"/>
      <c r="N573" s="1357"/>
      <c r="O573" s="1357"/>
      <c r="P573" s="1357"/>
      <c r="Q573" s="1357"/>
      <c r="R573" s="1357"/>
      <c r="S573" s="8"/>
      <c r="T573" s="22"/>
      <c r="U573" t="s">
        <v>18</v>
      </c>
      <c r="AA573" s="1356" t="s">
        <v>2724</v>
      </c>
      <c r="AB573" s="1357"/>
      <c r="AC573" s="1357"/>
      <c r="AD573" s="1357"/>
      <c r="AE573" s="1357"/>
      <c r="AF573" s="1357"/>
      <c r="AG573" s="1357"/>
      <c r="AH573" s="1357"/>
      <c r="AI573" s="1357"/>
      <c r="AJ573" s="1357"/>
      <c r="AK573" s="1357"/>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1289</v>
      </c>
      <c r="H574" s="8"/>
      <c r="I574" s="8"/>
      <c r="J574" s="8"/>
      <c r="K574" s="8"/>
      <c r="L574" s="8"/>
      <c r="M574" s="1766" t="s">
        <v>2772</v>
      </c>
      <c r="N574" s="1766"/>
      <c r="O574" s="1766"/>
      <c r="P574" s="1766"/>
      <c r="Q574" s="1766"/>
      <c r="R574" s="1766"/>
      <c r="S574" s="8"/>
      <c r="T574" s="22"/>
      <c r="U574" s="348" t="s">
        <v>1289</v>
      </c>
      <c r="AA574" s="8"/>
      <c r="AB574" s="8"/>
      <c r="AC574" s="8"/>
      <c r="AD574" s="8"/>
      <c r="AE574" s="8"/>
      <c r="AF574" s="1766" t="s">
        <v>2772</v>
      </c>
      <c r="AG574" s="1766"/>
      <c r="AH574" s="1766"/>
      <c r="AI574" s="1766"/>
      <c r="AJ574" s="1766"/>
      <c r="AK574" s="1766"/>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358" t="s">
        <v>552</v>
      </c>
      <c r="O575" s="1358"/>
      <c r="T575" s="22"/>
      <c r="U575" t="s">
        <v>20</v>
      </c>
      <c r="AG575" s="1358" t="s">
        <v>552</v>
      </c>
      <c r="AH575" s="1358"/>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470</v>
      </c>
      <c r="G577" s="1355" t="str">
        <f>C556</f>
        <v>City of Santa Cruz - AHTF</v>
      </c>
      <c r="H577" s="1355"/>
      <c r="I577" s="1355"/>
      <c r="J577" s="1355"/>
      <c r="K577" s="1355"/>
      <c r="L577" s="1355"/>
      <c r="M577" s="1355"/>
      <c r="N577" s="1355"/>
      <c r="O577" s="1355"/>
      <c r="P577" s="1355"/>
      <c r="Q577" s="1355"/>
      <c r="R577" s="1355"/>
      <c r="T577" s="55" t="s">
        <v>588</v>
      </c>
      <c r="U577" t="s">
        <v>470</v>
      </c>
      <c r="Z577" s="1355" t="str">
        <f>C557</f>
        <v>City of Santa Cruz - LHTF</v>
      </c>
      <c r="AA577" s="1355"/>
      <c r="AB577" s="1355"/>
      <c r="AC577" s="1355"/>
      <c r="AD577" s="1355"/>
      <c r="AE577" s="1355"/>
      <c r="AF577" s="1355"/>
      <c r="AG577" s="1355"/>
      <c r="AH577" s="1355"/>
      <c r="AI577" s="1355"/>
      <c r="AJ577" s="1355"/>
      <c r="AK577" s="1355"/>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357" t="s">
        <v>2692</v>
      </c>
      <c r="H578" s="1357"/>
      <c r="I578" s="1357"/>
      <c r="J578" s="1357"/>
      <c r="K578" s="1357"/>
      <c r="L578" s="1357"/>
      <c r="M578" s="1357"/>
      <c r="N578" s="1357"/>
      <c r="O578" s="1357"/>
      <c r="P578" s="1357"/>
      <c r="Q578" s="1357"/>
      <c r="R578" s="1357"/>
      <c r="T578" s="22"/>
      <c r="U578" t="s">
        <v>85</v>
      </c>
      <c r="Z578" s="1357" t="s">
        <v>2692</v>
      </c>
      <c r="AA578" s="1357"/>
      <c r="AB578" s="1357"/>
      <c r="AC578" s="1357"/>
      <c r="AD578" s="1357"/>
      <c r="AE578" s="1357"/>
      <c r="AF578" s="1357"/>
      <c r="AG578" s="1357"/>
      <c r="AH578" s="1357"/>
      <c r="AI578" s="1357"/>
      <c r="AJ578" s="1357"/>
      <c r="AK578" s="1357"/>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587</v>
      </c>
      <c r="G579" s="1371" t="s">
        <v>2727</v>
      </c>
      <c r="H579" s="1371"/>
      <c r="I579" s="1371"/>
      <c r="J579" s="1371"/>
      <c r="K579" s="1371"/>
      <c r="L579" s="1371"/>
      <c r="M579" s="1371"/>
      <c r="N579" s="1371"/>
      <c r="O579" s="1371"/>
      <c r="P579" s="1371"/>
      <c r="Q579" s="1371"/>
      <c r="R579" s="1371"/>
      <c r="T579" s="22"/>
      <c r="U579" t="s">
        <v>587</v>
      </c>
      <c r="Z579" s="1371" t="s">
        <v>2727</v>
      </c>
      <c r="AA579" s="1371"/>
      <c r="AB579" s="1371"/>
      <c r="AC579" s="1371"/>
      <c r="AD579" s="1371"/>
      <c r="AE579" s="1371"/>
      <c r="AF579" s="1371"/>
      <c r="AG579" s="1371"/>
      <c r="AH579" s="1371"/>
      <c r="AI579" s="1371"/>
      <c r="AJ579" s="1371"/>
      <c r="AK579" s="1371"/>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371" t="s">
        <v>2728</v>
      </c>
      <c r="H580" s="1371"/>
      <c r="I580" s="1371"/>
      <c r="J580" s="1371"/>
      <c r="K580" s="1371"/>
      <c r="L580" s="1371"/>
      <c r="M580" s="1371"/>
      <c r="N580" s="1371"/>
      <c r="O580" s="1371"/>
      <c r="P580" s="1371"/>
      <c r="Q580" s="1371"/>
      <c r="R580" s="1371"/>
      <c r="T580" s="22"/>
      <c r="U580" t="s">
        <v>17</v>
      </c>
      <c r="Z580" s="1371" t="s">
        <v>2728</v>
      </c>
      <c r="AA580" s="1371"/>
      <c r="AB580" s="1371"/>
      <c r="AC580" s="1371"/>
      <c r="AD580" s="1371"/>
      <c r="AE580" s="1371"/>
      <c r="AF580" s="1371"/>
      <c r="AG580" s="1371"/>
      <c r="AH580" s="1371"/>
      <c r="AI580" s="1371"/>
      <c r="AJ580" s="1371"/>
      <c r="AK580" s="1371"/>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316</v>
      </c>
      <c r="G581" s="1460" t="s">
        <v>2729</v>
      </c>
      <c r="H581" s="1460"/>
      <c r="I581" s="1460"/>
      <c r="J581" s="1460"/>
      <c r="K581" s="1460"/>
      <c r="L581" s="1460"/>
      <c r="O581" s="33" t="s">
        <v>206</v>
      </c>
      <c r="P581" s="1455"/>
      <c r="Q581" s="1455"/>
      <c r="R581" s="1455"/>
      <c r="T581" s="22"/>
      <c r="U581" t="s">
        <v>316</v>
      </c>
      <c r="Z581" s="1460" t="s">
        <v>2729</v>
      </c>
      <c r="AA581" s="1460"/>
      <c r="AB581" s="1460"/>
      <c r="AC581" s="1460"/>
      <c r="AD581" s="1460"/>
      <c r="AE581" s="1460"/>
      <c r="AH581" s="33" t="s">
        <v>206</v>
      </c>
      <c r="AI581" s="1455"/>
      <c r="AJ581" s="1455"/>
      <c r="AK581" s="1455"/>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357" t="s">
        <v>2730</v>
      </c>
      <c r="I582" s="1357"/>
      <c r="J582" s="1357"/>
      <c r="K582" s="1357"/>
      <c r="L582" s="1357"/>
      <c r="M582" s="1357"/>
      <c r="N582" s="1357"/>
      <c r="O582" s="1357"/>
      <c r="P582" s="1357"/>
      <c r="Q582" s="1357"/>
      <c r="R582" s="1357"/>
      <c r="T582" s="22"/>
      <c r="U582" t="s">
        <v>18</v>
      </c>
      <c r="AA582" s="1357" t="s">
        <v>2730</v>
      </c>
      <c r="AB582" s="1357"/>
      <c r="AC582" s="1357"/>
      <c r="AD582" s="1357"/>
      <c r="AE582" s="1357"/>
      <c r="AF582" s="1357"/>
      <c r="AG582" s="1357"/>
      <c r="AH582" s="1357"/>
      <c r="AI582" s="1357"/>
      <c r="AJ582" s="1357"/>
      <c r="AK582" s="1357"/>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358" t="s">
        <v>552</v>
      </c>
      <c r="O583" s="1358"/>
      <c r="T583" s="22"/>
      <c r="U583" t="s">
        <v>20</v>
      </c>
      <c r="AG583" s="1358" t="s">
        <v>552</v>
      </c>
      <c r="AH583" s="1358"/>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771</v>
      </c>
      <c r="B585" t="s">
        <v>470</v>
      </c>
      <c r="G585" s="1355" t="str">
        <f>C558</f>
        <v>Costs deferred to Perm</v>
      </c>
      <c r="H585" s="1355"/>
      <c r="I585" s="1355"/>
      <c r="J585" s="1355"/>
      <c r="K585" s="1355"/>
      <c r="L585" s="1355"/>
      <c r="M585" s="1355"/>
      <c r="N585" s="1355"/>
      <c r="O585" s="1355"/>
      <c r="P585" s="1355"/>
      <c r="Q585" s="1355"/>
      <c r="R585" s="1355"/>
      <c r="T585" s="55" t="s">
        <v>591</v>
      </c>
      <c r="U585" t="s">
        <v>470</v>
      </c>
      <c r="Z585" s="1355" t="str">
        <f>C559</f>
        <v>Deferred Developer Fee</v>
      </c>
      <c r="AA585" s="1355"/>
      <c r="AB585" s="1355"/>
      <c r="AC585" s="1355"/>
      <c r="AD585" s="1355"/>
      <c r="AE585" s="1355"/>
      <c r="AF585" s="1355"/>
      <c r="AG585" s="1355"/>
      <c r="AH585" s="1355"/>
      <c r="AI585" s="1355"/>
      <c r="AJ585" s="1355"/>
      <c r="AK585" s="1355"/>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357" t="s">
        <v>2639</v>
      </c>
      <c r="H586" s="1357"/>
      <c r="I586" s="1357"/>
      <c r="J586" s="1357"/>
      <c r="K586" s="1357"/>
      <c r="L586" s="1357"/>
      <c r="M586" s="1357"/>
      <c r="N586" s="1357"/>
      <c r="O586" s="1357"/>
      <c r="P586" s="1357"/>
      <c r="Q586" s="1357"/>
      <c r="R586" s="1357"/>
      <c r="T586" s="22"/>
      <c r="U586" t="s">
        <v>85</v>
      </c>
      <c r="Z586" s="1357" t="s">
        <v>2639</v>
      </c>
      <c r="AA586" s="1357"/>
      <c r="AB586" s="1357"/>
      <c r="AC586" s="1357"/>
      <c r="AD586" s="1357"/>
      <c r="AE586" s="1357"/>
      <c r="AF586" s="1357"/>
      <c r="AG586" s="1357"/>
      <c r="AH586" s="1357"/>
      <c r="AI586" s="1357"/>
      <c r="AJ586" s="1357"/>
      <c r="AK586" s="1357"/>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587</v>
      </c>
      <c r="G587" s="1357" t="s">
        <v>2672</v>
      </c>
      <c r="H587" s="1357"/>
      <c r="I587" s="1357"/>
      <c r="J587" s="1357"/>
      <c r="K587" s="1357"/>
      <c r="L587" s="1357"/>
      <c r="M587" s="1357"/>
      <c r="N587" s="1357"/>
      <c r="O587" s="1357"/>
      <c r="P587" s="1357"/>
      <c r="Q587" s="1357"/>
      <c r="R587" s="1357"/>
      <c r="T587" s="22"/>
      <c r="U587" t="s">
        <v>587</v>
      </c>
      <c r="Z587" s="1371" t="s">
        <v>2672</v>
      </c>
      <c r="AA587" s="1371"/>
      <c r="AB587" s="1371"/>
      <c r="AC587" s="1371"/>
      <c r="AD587" s="1371"/>
      <c r="AE587" s="1371"/>
      <c r="AF587" s="1371"/>
      <c r="AG587" s="1371"/>
      <c r="AH587" s="1371"/>
      <c r="AI587" s="1371"/>
      <c r="AJ587" s="1371"/>
      <c r="AK587" s="1371"/>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357" t="s">
        <v>2642</v>
      </c>
      <c r="H588" s="1357"/>
      <c r="I588" s="1357"/>
      <c r="J588" s="1357"/>
      <c r="K588" s="1357"/>
      <c r="L588" s="1357"/>
      <c r="M588" s="1357"/>
      <c r="N588" s="1357"/>
      <c r="O588" s="1357"/>
      <c r="P588" s="1357"/>
      <c r="Q588" s="1357"/>
      <c r="R588" s="1357"/>
      <c r="T588" s="22"/>
      <c r="U588" t="s">
        <v>17</v>
      </c>
      <c r="Z588" s="1371" t="s">
        <v>2642</v>
      </c>
      <c r="AA588" s="1371"/>
      <c r="AB588" s="1371"/>
      <c r="AC588" s="1371"/>
      <c r="AD588" s="1371"/>
      <c r="AE588" s="1371"/>
      <c r="AF588" s="1371"/>
      <c r="AG588" s="1371"/>
      <c r="AH588" s="1371"/>
      <c r="AI588" s="1371"/>
      <c r="AJ588" s="1371"/>
      <c r="AK588" s="1371"/>
    </row>
    <row r="589" spans="1:110" ht="12.95" customHeight="1">
      <c r="A589" s="22"/>
      <c r="B589" t="s">
        <v>316</v>
      </c>
      <c r="G589" s="1482" t="s">
        <v>2731</v>
      </c>
      <c r="H589" s="1460"/>
      <c r="I589" s="1460"/>
      <c r="J589" s="1460"/>
      <c r="K589" s="1460"/>
      <c r="L589" s="1460"/>
      <c r="O589" s="33" t="s">
        <v>206</v>
      </c>
      <c r="P589" s="1455"/>
      <c r="Q589" s="1455"/>
      <c r="R589" s="1455"/>
      <c r="T589" s="22"/>
      <c r="U589" t="s">
        <v>316</v>
      </c>
      <c r="Z589" s="1460" t="s">
        <v>2731</v>
      </c>
      <c r="AA589" s="1460"/>
      <c r="AB589" s="1460"/>
      <c r="AC589" s="1460"/>
      <c r="AD589" s="1460"/>
      <c r="AE589" s="1460"/>
      <c r="AH589" s="33" t="s">
        <v>206</v>
      </c>
      <c r="AI589" s="1455"/>
      <c r="AJ589" s="1455"/>
      <c r="AK589" s="1455"/>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356" t="s">
        <v>2732</v>
      </c>
      <c r="I590" s="1357"/>
      <c r="J590" s="1357"/>
      <c r="K590" s="1357"/>
      <c r="L590" s="1357"/>
      <c r="M590" s="1357"/>
      <c r="N590" s="1357"/>
      <c r="O590" s="1357"/>
      <c r="P590" s="1357"/>
      <c r="Q590" s="1357"/>
      <c r="R590" s="1357"/>
      <c r="T590" s="22"/>
      <c r="U590" t="s">
        <v>18</v>
      </c>
      <c r="AA590" s="1356" t="s">
        <v>2733</v>
      </c>
      <c r="AB590" s="1357"/>
      <c r="AC590" s="1357"/>
      <c r="AD590" s="1357"/>
      <c r="AE590" s="1357"/>
      <c r="AF590" s="1357"/>
      <c r="AG590" s="1357"/>
      <c r="AH590" s="1357"/>
      <c r="AI590" s="1357"/>
      <c r="AJ590" s="1357"/>
      <c r="AK590" s="1357"/>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358" t="s">
        <v>552</v>
      </c>
      <c r="O591" s="1358"/>
      <c r="T591" s="22"/>
      <c r="U591" t="s">
        <v>20</v>
      </c>
      <c r="AG591" s="1358" t="s">
        <v>552</v>
      </c>
      <c r="AH591" s="1358"/>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462</v>
      </c>
      <c r="B593" t="s">
        <v>470</v>
      </c>
      <c r="G593" s="1355" t="str">
        <f>C560</f>
        <v>LP Equity</v>
      </c>
      <c r="H593" s="1355"/>
      <c r="I593" s="1355"/>
      <c r="J593" s="1355"/>
      <c r="K593" s="1355"/>
      <c r="L593" s="1355"/>
      <c r="M593" s="1355"/>
      <c r="N593" s="1355"/>
      <c r="O593" s="1355"/>
      <c r="P593" s="1355"/>
      <c r="Q593" s="1355"/>
      <c r="R593" s="1355"/>
      <c r="T593" s="55" t="s">
        <v>463</v>
      </c>
      <c r="U593" t="s">
        <v>470</v>
      </c>
      <c r="Z593" s="1355">
        <f>C561</f>
        <v>0</v>
      </c>
      <c r="AA593" s="1355"/>
      <c r="AB593" s="1355"/>
      <c r="AC593" s="1355"/>
      <c r="AD593" s="1355"/>
      <c r="AE593" s="1355"/>
      <c r="AF593" s="1355"/>
      <c r="AG593" s="1355"/>
      <c r="AH593" s="1355"/>
      <c r="AI593" s="1355"/>
      <c r="AJ593" s="1355"/>
      <c r="AK593" s="1355"/>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356" t="s">
        <v>2687</v>
      </c>
      <c r="H594" s="1357"/>
      <c r="I594" s="1357"/>
      <c r="J594" s="1357"/>
      <c r="K594" s="1357"/>
      <c r="L594" s="1357"/>
      <c r="M594" s="1357"/>
      <c r="N594" s="1357"/>
      <c r="O594" s="1357"/>
      <c r="P594" s="1357"/>
      <c r="Q594" s="1357"/>
      <c r="R594" s="1357"/>
      <c r="S594"/>
      <c r="T594" s="22"/>
      <c r="U594" t="s">
        <v>85</v>
      </c>
      <c r="V594"/>
      <c r="W594"/>
      <c r="X594"/>
      <c r="Y594"/>
      <c r="Z594" s="1357"/>
      <c r="AA594" s="1357"/>
      <c r="AB594" s="1357"/>
      <c r="AC594" s="1357"/>
      <c r="AD594" s="1357"/>
      <c r="AE594" s="1357"/>
      <c r="AF594" s="1357"/>
      <c r="AG594" s="1357"/>
      <c r="AH594" s="1357"/>
      <c r="AI594" s="1357"/>
      <c r="AJ594" s="1357"/>
      <c r="AK594" s="1357"/>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587</v>
      </c>
      <c r="C595"/>
      <c r="D595"/>
      <c r="E595"/>
      <c r="F595"/>
      <c r="G595" s="1357"/>
      <c r="H595" s="1357"/>
      <c r="I595" s="1357"/>
      <c r="J595" s="1357"/>
      <c r="K595" s="1357"/>
      <c r="L595" s="1357"/>
      <c r="M595" s="1357"/>
      <c r="N595" s="1357"/>
      <c r="O595" s="1357"/>
      <c r="P595" s="1357"/>
      <c r="Q595" s="1357"/>
      <c r="R595" s="1357"/>
      <c r="S595"/>
      <c r="T595" s="22"/>
      <c r="U595" t="s">
        <v>587</v>
      </c>
      <c r="V595"/>
      <c r="W595"/>
      <c r="X595"/>
      <c r="Y595"/>
      <c r="Z595" s="1371"/>
      <c r="AA595" s="1371"/>
      <c r="AB595" s="1371"/>
      <c r="AC595" s="1371"/>
      <c r="AD595" s="1371"/>
      <c r="AE595" s="1371"/>
      <c r="AF595" s="1371"/>
      <c r="AG595" s="1371"/>
      <c r="AH595" s="1371"/>
      <c r="AI595" s="1371"/>
      <c r="AJ595" s="1371"/>
      <c r="AK595" s="1371"/>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360</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2032</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357"/>
      <c r="H596" s="1357"/>
      <c r="I596" s="1357"/>
      <c r="J596" s="1357"/>
      <c r="K596" s="1357"/>
      <c r="L596" s="1357"/>
      <c r="M596" s="1357"/>
      <c r="N596" s="1357"/>
      <c r="O596" s="1357"/>
      <c r="P596" s="1357"/>
      <c r="Q596" s="1357"/>
      <c r="R596" s="1357"/>
      <c r="S596"/>
      <c r="T596" s="22"/>
      <c r="U596" t="s">
        <v>17</v>
      </c>
      <c r="V596"/>
      <c r="W596"/>
      <c r="X596"/>
      <c r="Y596"/>
      <c r="Z596" s="1371"/>
      <c r="AA596" s="1371"/>
      <c r="AB596" s="1371"/>
      <c r="AC596" s="1371"/>
      <c r="AD596" s="1371"/>
      <c r="AE596" s="1371"/>
      <c r="AF596" s="1371"/>
      <c r="AG596" s="1371"/>
      <c r="AH596" s="1371"/>
      <c r="AI596" s="1371"/>
      <c r="AJ596" s="1371"/>
      <c r="AK596" s="1371"/>
      <c r="AL596"/>
      <c r="AM596"/>
      <c r="AN596"/>
      <c r="AO596"/>
      <c r="AP596"/>
      <c r="AQ596"/>
      <c r="AR596"/>
      <c r="AS596"/>
      <c r="AT596"/>
      <c r="AU596"/>
      <c r="AV596"/>
      <c r="AW596"/>
      <c r="AX596"/>
      <c r="AY596"/>
      <c r="BA596" s="4" t="s">
        <v>324</v>
      </c>
      <c r="BB596" s="3"/>
      <c r="BC596" s="3"/>
      <c r="BD596" s="3"/>
      <c r="BE596" s="121" t="s">
        <v>481</v>
      </c>
      <c r="BF596" s="122"/>
      <c r="BG596" s="1489"/>
      <c r="BH596" s="1491"/>
      <c r="BI596" s="121" t="s">
        <v>482</v>
      </c>
      <c r="BJ596" s="122"/>
      <c r="BK596" s="1489"/>
      <c r="BL596" s="1491"/>
      <c r="BM596" s="3"/>
      <c r="BN596" s="1409" t="s">
        <v>640</v>
      </c>
      <c r="BO596" s="1410"/>
      <c r="BP596" s="1410"/>
      <c r="BQ596" s="1410"/>
      <c r="BR596" s="1411"/>
      <c r="BS596" s="1506" t="s">
        <v>325</v>
      </c>
      <c r="BT596" s="1506"/>
      <c r="BU596" s="1506"/>
      <c r="BV596" s="1506"/>
      <c r="BW596" s="1506"/>
      <c r="BX596" s="1506" t="s">
        <v>163</v>
      </c>
      <c r="BY596" s="1506"/>
      <c r="BZ596" s="1506"/>
      <c r="CA596" s="1506"/>
      <c r="CB596" s="1506"/>
      <c r="CC596" s="1506" t="s">
        <v>164</v>
      </c>
      <c r="CD596" s="1506"/>
      <c r="CE596" s="1506"/>
      <c r="CF596" s="1506"/>
      <c r="CG596" s="1506"/>
      <c r="CH596" s="1506" t="s">
        <v>467</v>
      </c>
      <c r="CI596" s="1506"/>
      <c r="CJ596" s="1506"/>
      <c r="CK596" s="1506"/>
      <c r="CL596" s="1506"/>
      <c r="CM596" s="1506" t="s">
        <v>30</v>
      </c>
      <c r="CN596" s="1506"/>
      <c r="CO596" s="1506"/>
      <c r="CP596" s="1506"/>
      <c r="CQ596" s="1506"/>
      <c r="CR596" s="89"/>
      <c r="CS596" s="1506" t="s">
        <v>640</v>
      </c>
      <c r="CT596" s="1506"/>
      <c r="CU596" s="1506"/>
      <c r="CV596" s="1506"/>
      <c r="CW596" s="1506"/>
      <c r="CX596" s="1506" t="s">
        <v>325</v>
      </c>
      <c r="CY596" s="1506"/>
      <c r="CZ596" s="1506"/>
      <c r="DA596" s="1506"/>
      <c r="DB596" s="1506"/>
      <c r="DC596" s="1506" t="s">
        <v>163</v>
      </c>
      <c r="DD596" s="1506"/>
      <c r="DE596" s="1506"/>
      <c r="DF596" s="1506"/>
      <c r="DG596" s="1506"/>
      <c r="DH596" s="1506" t="s">
        <v>164</v>
      </c>
      <c r="DI596" s="1506"/>
      <c r="DJ596" s="1506"/>
      <c r="DK596" s="1506"/>
      <c r="DL596" s="1506"/>
      <c r="DM596" s="1506" t="s">
        <v>467</v>
      </c>
      <c r="DN596" s="1506"/>
      <c r="DO596" s="1506"/>
      <c r="DP596" s="1506"/>
      <c r="DQ596" s="1506"/>
      <c r="DR596" s="1506" t="s">
        <v>30</v>
      </c>
      <c r="DS596" s="1506"/>
      <c r="DT596" s="1506"/>
      <c r="DU596" s="1506"/>
      <c r="DV596" s="1506"/>
      <c r="DX596" s="1506" t="s">
        <v>640</v>
      </c>
      <c r="DY596" s="1506"/>
      <c r="DZ596" s="1506"/>
      <c r="EA596" s="1506"/>
      <c r="EB596" s="1506"/>
      <c r="EC596" s="1506" t="s">
        <v>325</v>
      </c>
      <c r="ED596" s="1506"/>
      <c r="EE596" s="1506"/>
      <c r="EF596" s="1506"/>
      <c r="EG596" s="1506"/>
      <c r="EH596" s="1506" t="s">
        <v>163</v>
      </c>
      <c r="EI596" s="1506"/>
      <c r="EJ596" s="1506"/>
      <c r="EK596" s="1506"/>
      <c r="EL596" s="1506"/>
      <c r="EM596" s="1506" t="s">
        <v>164</v>
      </c>
      <c r="EN596" s="1506"/>
      <c r="EO596" s="1506"/>
      <c r="EP596" s="1506"/>
      <c r="EQ596" s="1506"/>
      <c r="ER596" s="1506" t="s">
        <v>467</v>
      </c>
      <c r="ES596" s="1506"/>
      <c r="ET596" s="1506"/>
      <c r="EU596" s="1506"/>
      <c r="EV596" s="1506"/>
      <c r="EW596" s="1506" t="s">
        <v>30</v>
      </c>
      <c r="EX596" s="1506"/>
      <c r="EY596" s="1506"/>
      <c r="EZ596" s="1506"/>
      <c r="FA596" s="1506"/>
    </row>
    <row r="597" spans="1:157" s="4" customFormat="1" ht="12.95" customHeight="1">
      <c r="A597" s="22"/>
      <c r="B597" t="s">
        <v>316</v>
      </c>
      <c r="C597"/>
      <c r="D597"/>
      <c r="E597"/>
      <c r="F597"/>
      <c r="G597" s="1482"/>
      <c r="H597" s="1460"/>
      <c r="I597" s="1460"/>
      <c r="J597" s="1460"/>
      <c r="K597" s="1460"/>
      <c r="L597" s="1460"/>
      <c r="M597"/>
      <c r="N597"/>
      <c r="O597" s="33" t="s">
        <v>206</v>
      </c>
      <c r="P597" s="1455"/>
      <c r="Q597" s="1455"/>
      <c r="R597" s="1455"/>
      <c r="S597"/>
      <c r="T597" s="22"/>
      <c r="U597" t="s">
        <v>316</v>
      </c>
      <c r="V597"/>
      <c r="W597"/>
      <c r="X597"/>
      <c r="Y597"/>
      <c r="Z597" s="1460"/>
      <c r="AA597" s="1460"/>
      <c r="AB597" s="1460"/>
      <c r="AC597" s="1460"/>
      <c r="AD597" s="1460"/>
      <c r="AE597" s="1460"/>
      <c r="AF597"/>
      <c r="AG597"/>
      <c r="AH597" s="33" t="s">
        <v>206</v>
      </c>
      <c r="AI597" s="1455"/>
      <c r="AJ597" s="1455"/>
      <c r="AK597" s="1455"/>
      <c r="AL597"/>
      <c r="AM597"/>
      <c r="AN597"/>
      <c r="AO597"/>
      <c r="AP597"/>
      <c r="AQ597"/>
      <c r="AR597"/>
      <c r="AS597"/>
      <c r="AT597"/>
      <c r="AU597"/>
      <c r="AV597"/>
      <c r="AW597"/>
      <c r="AX597"/>
      <c r="AY597"/>
      <c r="BA597" s="4" t="s">
        <v>325</v>
      </c>
      <c r="BB597" s="3"/>
      <c r="BC597" s="3"/>
      <c r="BD597" s="3"/>
      <c r="BE597" s="1497">
        <f t="shared" ref="BE597:BE631" si="1">IF(AND(AC718&lt;=0.5,AC718&gt;=0.36),1,0)</f>
        <v>0</v>
      </c>
      <c r="BF597" s="1499"/>
      <c r="BG597" s="1489">
        <f t="shared" ref="BG597:BG631" si="2">IF(BE597=1,G718,0)</f>
        <v>0</v>
      </c>
      <c r="BH597" s="1491"/>
      <c r="BI597" s="1497">
        <f t="shared" ref="BI597:BI631" si="3">IF(AND(AC718&lt;=0.35,AC718&gt;0),1,0)</f>
        <v>1</v>
      </c>
      <c r="BJ597" s="1499"/>
      <c r="BK597" s="1489">
        <f t="shared" ref="BK597:BK631" si="4">IF(BI597=1,G718,0)</f>
        <v>1</v>
      </c>
      <c r="BL597" s="1491"/>
      <c r="BM597" s="3"/>
      <c r="BN597" s="1485">
        <f t="shared" ref="BN597:BN631" si="5">IF(B718="SRO/Studio",G718,0)</f>
        <v>1</v>
      </c>
      <c r="BO597" s="1486"/>
      <c r="BP597" s="1486"/>
      <c r="BQ597" s="1486"/>
      <c r="BR597" s="1487"/>
      <c r="BS597" s="1488">
        <f t="shared" ref="BS597:BS631" si="6">IF(B718="1 Bedroom",G718,0)</f>
        <v>0</v>
      </c>
      <c r="BT597" s="1488"/>
      <c r="BU597" s="1488"/>
      <c r="BV597" s="1488"/>
      <c r="BW597" s="1488"/>
      <c r="BX597" s="1488">
        <f t="shared" ref="BX597:BX631" si="7">IF(B718="2 Bedrooms",G718,0)</f>
        <v>0</v>
      </c>
      <c r="BY597" s="1488"/>
      <c r="BZ597" s="1488"/>
      <c r="CA597" s="1488"/>
      <c r="CB597" s="1488"/>
      <c r="CC597" s="1488">
        <f t="shared" ref="CC597:CC631" si="8">IF(B718="3 Bedrooms",G718,0)</f>
        <v>0</v>
      </c>
      <c r="CD597" s="1488"/>
      <c r="CE597" s="1488"/>
      <c r="CF597" s="1488"/>
      <c r="CG597" s="1488"/>
      <c r="CH597" s="1488">
        <f t="shared" ref="CH597:CH631" si="9">IF(B718="4 Bedrooms",G718,0)</f>
        <v>0</v>
      </c>
      <c r="CI597" s="1488"/>
      <c r="CJ597" s="1488"/>
      <c r="CK597" s="1488"/>
      <c r="CL597" s="1488"/>
      <c r="CM597" s="1488">
        <f t="shared" ref="CM597:CM631" si="10">IF(B718="5 Bedrooms",G718,0)</f>
        <v>0</v>
      </c>
      <c r="CN597" s="1488"/>
      <c r="CO597" s="1488"/>
      <c r="CP597" s="1488"/>
      <c r="CQ597" s="1488"/>
      <c r="CR597" s="6"/>
      <c r="CS597" s="1500">
        <f t="shared" ref="CS597:CS631" si="11">IF(AND(B718="SRO/Studio",AC718&lt;=0.3),G718,0)</f>
        <v>1</v>
      </c>
      <c r="CT597" s="1500"/>
      <c r="CU597" s="1500"/>
      <c r="CV597" s="1500"/>
      <c r="CW597" s="1500"/>
      <c r="CX597" s="1500">
        <f t="shared" ref="CX597:CX631" si="12">IF(AND(B718="1 Bedroom",AC718&lt;=0.3),G718,0)</f>
        <v>0</v>
      </c>
      <c r="CY597" s="1500"/>
      <c r="CZ597" s="1500"/>
      <c r="DA597" s="1500"/>
      <c r="DB597" s="1500"/>
      <c r="DC597" s="1500">
        <f t="shared" ref="DC597:DC631" si="13">IF(AND(B718="2 Bedrooms",AC718&lt;=0.3),G718,0)</f>
        <v>0</v>
      </c>
      <c r="DD597" s="1500"/>
      <c r="DE597" s="1500"/>
      <c r="DF597" s="1500"/>
      <c r="DG597" s="1500"/>
      <c r="DH597" s="1500">
        <f t="shared" ref="DH597:DH631" si="14">IF(AND(B718="3 Bedrooms",AC718&lt;=0.3),G718,0)</f>
        <v>0</v>
      </c>
      <c r="DI597" s="1500"/>
      <c r="DJ597" s="1500"/>
      <c r="DK597" s="1500"/>
      <c r="DL597" s="1500"/>
      <c r="DM597" s="1500">
        <f t="shared" ref="DM597:DM631" si="15">IF(AND(B718="4 Bedrooms",AC718&lt;=0.3),G718,0)</f>
        <v>0</v>
      </c>
      <c r="DN597" s="1500"/>
      <c r="DO597" s="1500"/>
      <c r="DP597" s="1500"/>
      <c r="DQ597" s="1500"/>
      <c r="DR597" s="1500">
        <f t="shared" ref="DR597:DR631" si="16">IF(AND(B718="5 Bedrooms",AC718&lt;=0.3),G718,0)</f>
        <v>0</v>
      </c>
      <c r="DS597" s="1500"/>
      <c r="DT597" s="1500"/>
      <c r="DU597" s="1500"/>
      <c r="DV597" s="1500"/>
      <c r="DX597" s="1497">
        <f t="shared" ref="DX597:DX631" si="17">IF(BN597&gt;0,O718,"")</f>
        <v>780</v>
      </c>
      <c r="DY597" s="1498"/>
      <c r="DZ597" s="1498"/>
      <c r="EA597" s="1498"/>
      <c r="EB597" s="1499"/>
      <c r="EC597" s="1497" t="str">
        <f t="shared" ref="EC597:EC631" si="18">IF(BS597&gt;0,O718,"")</f>
        <v/>
      </c>
      <c r="ED597" s="1498"/>
      <c r="EE597" s="1498"/>
      <c r="EF597" s="1498"/>
      <c r="EG597" s="1499"/>
      <c r="EH597" s="1497" t="str">
        <f t="shared" ref="EH597:EH631" si="19">IF(BX597&gt;0,O718,"")</f>
        <v/>
      </c>
      <c r="EI597" s="1498"/>
      <c r="EJ597" s="1498"/>
      <c r="EK597" s="1498"/>
      <c r="EL597" s="1499"/>
      <c r="EM597" s="1497" t="str">
        <f t="shared" ref="EM597:EM631" si="20">IF(CC597&gt;0,O718,"")</f>
        <v/>
      </c>
      <c r="EN597" s="1498"/>
      <c r="EO597" s="1498"/>
      <c r="EP597" s="1498"/>
      <c r="EQ597" s="1499"/>
      <c r="ER597" s="1497" t="str">
        <f t="shared" ref="ER597:ER631" si="21">IF(CH597&gt;0,O718,"")</f>
        <v/>
      </c>
      <c r="ES597" s="1498"/>
      <c r="ET597" s="1498"/>
      <c r="EU597" s="1498"/>
      <c r="EV597" s="1499"/>
      <c r="EW597" s="1497" t="str">
        <f t="shared" ref="EW597:EW631" si="22">IF(CM597&gt;0,O718,"")</f>
        <v/>
      </c>
      <c r="EX597" s="1498"/>
      <c r="EY597" s="1498"/>
      <c r="EZ597" s="1498"/>
      <c r="FA597" s="1499"/>
    </row>
    <row r="598" spans="1:157" s="4" customFormat="1" ht="12.95" customHeight="1">
      <c r="A598" s="22"/>
      <c r="B598" t="s">
        <v>18</v>
      </c>
      <c r="C598"/>
      <c r="D598"/>
      <c r="E598"/>
      <c r="F598"/>
      <c r="G598"/>
      <c r="H598" s="1357"/>
      <c r="I598" s="1357"/>
      <c r="J598" s="1357"/>
      <c r="K598" s="1357"/>
      <c r="L598" s="1357"/>
      <c r="M598" s="1357"/>
      <c r="N598" s="1357"/>
      <c r="O598" s="1357"/>
      <c r="P598" s="1357"/>
      <c r="Q598" s="1357"/>
      <c r="R598" s="1357"/>
      <c r="S598"/>
      <c r="T598" s="22"/>
      <c r="U598" t="s">
        <v>18</v>
      </c>
      <c r="V598"/>
      <c r="W598"/>
      <c r="X598"/>
      <c r="Y598"/>
      <c r="Z598"/>
      <c r="AA598" s="1357"/>
      <c r="AB598" s="1357"/>
      <c r="AC598" s="1357"/>
      <c r="AD598" s="1357"/>
      <c r="AE598" s="1357"/>
      <c r="AF598" s="1357"/>
      <c r="AG598" s="1357"/>
      <c r="AH598" s="1357"/>
      <c r="AI598" s="1357"/>
      <c r="AJ598" s="1357"/>
      <c r="AK598" s="1357"/>
      <c r="AL598"/>
      <c r="AM598"/>
      <c r="AN598"/>
      <c r="AO598"/>
      <c r="AP598"/>
      <c r="AQ598"/>
      <c r="AR598"/>
      <c r="AS598"/>
      <c r="AT598"/>
      <c r="AU598"/>
      <c r="AV598"/>
      <c r="AW598"/>
      <c r="AX598"/>
      <c r="AY598"/>
      <c r="BA598" s="4" t="s">
        <v>163</v>
      </c>
      <c r="BB598" s="3"/>
      <c r="BC598" s="3"/>
      <c r="BD598" s="3"/>
      <c r="BE598" s="1497">
        <f t="shared" si="1"/>
        <v>1</v>
      </c>
      <c r="BF598" s="1499"/>
      <c r="BG598" s="1489">
        <f t="shared" si="2"/>
        <v>1</v>
      </c>
      <c r="BH598" s="1491"/>
      <c r="BI598" s="1497">
        <f t="shared" si="3"/>
        <v>0</v>
      </c>
      <c r="BJ598" s="1499"/>
      <c r="BK598" s="1489">
        <f t="shared" si="4"/>
        <v>0</v>
      </c>
      <c r="BL598" s="1491"/>
      <c r="BM598" s="3"/>
      <c r="BN598" s="1485">
        <f t="shared" si="5"/>
        <v>1</v>
      </c>
      <c r="BO598" s="1486"/>
      <c r="BP598" s="1486"/>
      <c r="BQ598" s="1486"/>
      <c r="BR598" s="1487"/>
      <c r="BS598" s="1488">
        <f t="shared" si="6"/>
        <v>0</v>
      </c>
      <c r="BT598" s="1488"/>
      <c r="BU598" s="1488"/>
      <c r="BV598" s="1488"/>
      <c r="BW598" s="1488"/>
      <c r="BX598" s="1488">
        <f t="shared" si="7"/>
        <v>0</v>
      </c>
      <c r="BY598" s="1488"/>
      <c r="BZ598" s="1488"/>
      <c r="CA598" s="1488"/>
      <c r="CB598" s="1488"/>
      <c r="CC598" s="1488">
        <f t="shared" si="8"/>
        <v>0</v>
      </c>
      <c r="CD598" s="1488"/>
      <c r="CE598" s="1488"/>
      <c r="CF598" s="1488"/>
      <c r="CG598" s="1488"/>
      <c r="CH598" s="1488">
        <f t="shared" si="9"/>
        <v>0</v>
      </c>
      <c r="CI598" s="1488"/>
      <c r="CJ598" s="1488"/>
      <c r="CK598" s="1488"/>
      <c r="CL598" s="1488"/>
      <c r="CM598" s="1488">
        <f t="shared" si="10"/>
        <v>0</v>
      </c>
      <c r="CN598" s="1488"/>
      <c r="CO598" s="1488"/>
      <c r="CP598" s="1488"/>
      <c r="CQ598" s="1488"/>
      <c r="CR598" s="6"/>
      <c r="CS598" s="1500">
        <f t="shared" si="11"/>
        <v>0</v>
      </c>
      <c r="CT598" s="1500"/>
      <c r="CU598" s="1500"/>
      <c r="CV598" s="1500"/>
      <c r="CW598" s="1500"/>
      <c r="CX598" s="1500">
        <f t="shared" si="12"/>
        <v>0</v>
      </c>
      <c r="CY598" s="1500"/>
      <c r="CZ598" s="1500"/>
      <c r="DA598" s="1500"/>
      <c r="DB598" s="1500"/>
      <c r="DC598" s="1500">
        <f t="shared" si="13"/>
        <v>0</v>
      </c>
      <c r="DD598" s="1500"/>
      <c r="DE598" s="1500"/>
      <c r="DF598" s="1500"/>
      <c r="DG598" s="1500"/>
      <c r="DH598" s="1500">
        <f t="shared" si="14"/>
        <v>0</v>
      </c>
      <c r="DI598" s="1500"/>
      <c r="DJ598" s="1500"/>
      <c r="DK598" s="1500"/>
      <c r="DL598" s="1500"/>
      <c r="DM598" s="1500">
        <f t="shared" si="15"/>
        <v>0</v>
      </c>
      <c r="DN598" s="1500"/>
      <c r="DO598" s="1500"/>
      <c r="DP598" s="1500"/>
      <c r="DQ598" s="1500"/>
      <c r="DR598" s="1500">
        <f t="shared" si="16"/>
        <v>0</v>
      </c>
      <c r="DS598" s="1500"/>
      <c r="DT598" s="1500"/>
      <c r="DU598" s="1500"/>
      <c r="DV598" s="1500"/>
      <c r="DX598" s="1497">
        <f t="shared" si="17"/>
        <v>1069</v>
      </c>
      <c r="DY598" s="1498"/>
      <c r="DZ598" s="1498"/>
      <c r="EA598" s="1498"/>
      <c r="EB598" s="1499"/>
      <c r="EC598" s="1497" t="str">
        <f t="shared" si="18"/>
        <v/>
      </c>
      <c r="ED598" s="1498"/>
      <c r="EE598" s="1498"/>
      <c r="EF598" s="1498"/>
      <c r="EG598" s="1499"/>
      <c r="EH598" s="1497" t="str">
        <f t="shared" si="19"/>
        <v/>
      </c>
      <c r="EI598" s="1498"/>
      <c r="EJ598" s="1498"/>
      <c r="EK598" s="1498"/>
      <c r="EL598" s="1499"/>
      <c r="EM598" s="1497" t="str">
        <f t="shared" si="20"/>
        <v/>
      </c>
      <c r="EN598" s="1498"/>
      <c r="EO598" s="1498"/>
      <c r="EP598" s="1498"/>
      <c r="EQ598" s="1499"/>
      <c r="ER598" s="1497" t="str">
        <f t="shared" si="21"/>
        <v/>
      </c>
      <c r="ES598" s="1498"/>
      <c r="ET598" s="1498"/>
      <c r="EU598" s="1498"/>
      <c r="EV598" s="1499"/>
      <c r="EW598" s="1497" t="str">
        <f t="shared" si="22"/>
        <v/>
      </c>
      <c r="EX598" s="1498"/>
      <c r="EY598" s="1498"/>
      <c r="EZ598" s="1498"/>
      <c r="FA598" s="1499"/>
    </row>
    <row r="599" spans="1:157" ht="12.95" customHeight="1">
      <c r="A599" s="22"/>
      <c r="B599" t="s">
        <v>20</v>
      </c>
      <c r="N599" s="1358" t="s">
        <v>676</v>
      </c>
      <c r="O599" s="1358"/>
      <c r="T599" s="22"/>
      <c r="U599" t="s">
        <v>20</v>
      </c>
      <c r="AG599" s="1358" t="s">
        <v>676</v>
      </c>
      <c r="AH599" s="1358"/>
      <c r="BA599" s="4" t="s">
        <v>164</v>
      </c>
      <c r="BB599" s="3"/>
      <c r="BC599" s="3"/>
      <c r="BD599" s="3"/>
      <c r="BE599" s="1497">
        <f t="shared" si="1"/>
        <v>1</v>
      </c>
      <c r="BF599" s="1499"/>
      <c r="BG599" s="1489">
        <f t="shared" si="2"/>
        <v>4</v>
      </c>
      <c r="BH599" s="1491"/>
      <c r="BI599" s="1497">
        <f t="shared" si="3"/>
        <v>0</v>
      </c>
      <c r="BJ599" s="1499"/>
      <c r="BK599" s="1489">
        <f t="shared" si="4"/>
        <v>0</v>
      </c>
      <c r="BL599" s="1491"/>
      <c r="BM599" s="3"/>
      <c r="BN599" s="1485">
        <f t="shared" si="5"/>
        <v>4</v>
      </c>
      <c r="BO599" s="1486"/>
      <c r="BP599" s="1486"/>
      <c r="BQ599" s="1486"/>
      <c r="BR599" s="1487"/>
      <c r="BS599" s="1488">
        <f t="shared" si="6"/>
        <v>0</v>
      </c>
      <c r="BT599" s="1488"/>
      <c r="BU599" s="1488"/>
      <c r="BV599" s="1488"/>
      <c r="BW599" s="1488"/>
      <c r="BX599" s="1488">
        <f t="shared" si="7"/>
        <v>0</v>
      </c>
      <c r="BY599" s="1488"/>
      <c r="BZ599" s="1488"/>
      <c r="CA599" s="1488"/>
      <c r="CB599" s="1488"/>
      <c r="CC599" s="1488">
        <f t="shared" si="8"/>
        <v>0</v>
      </c>
      <c r="CD599" s="1488"/>
      <c r="CE599" s="1488"/>
      <c r="CF599" s="1488"/>
      <c r="CG599" s="1488"/>
      <c r="CH599" s="1488">
        <f t="shared" si="9"/>
        <v>0</v>
      </c>
      <c r="CI599" s="1488"/>
      <c r="CJ599" s="1488"/>
      <c r="CK599" s="1488"/>
      <c r="CL599" s="1488"/>
      <c r="CM599" s="1488">
        <f t="shared" si="10"/>
        <v>0</v>
      </c>
      <c r="CN599" s="1488"/>
      <c r="CO599" s="1488"/>
      <c r="CP599" s="1488"/>
      <c r="CQ599" s="1488"/>
      <c r="CR599" s="6"/>
      <c r="CS599" s="1500">
        <f t="shared" si="11"/>
        <v>0</v>
      </c>
      <c r="CT599" s="1500"/>
      <c r="CU599" s="1500"/>
      <c r="CV599" s="1500"/>
      <c r="CW599" s="1500"/>
      <c r="CX599" s="1500">
        <f t="shared" si="12"/>
        <v>0</v>
      </c>
      <c r="CY599" s="1500"/>
      <c r="CZ599" s="1500"/>
      <c r="DA599" s="1500"/>
      <c r="DB599" s="1500"/>
      <c r="DC599" s="1500">
        <f t="shared" si="13"/>
        <v>0</v>
      </c>
      <c r="DD599" s="1500"/>
      <c r="DE599" s="1500"/>
      <c r="DF599" s="1500"/>
      <c r="DG599" s="1500"/>
      <c r="DH599" s="1500">
        <f t="shared" si="14"/>
        <v>0</v>
      </c>
      <c r="DI599" s="1500"/>
      <c r="DJ599" s="1500"/>
      <c r="DK599" s="1500"/>
      <c r="DL599" s="1500"/>
      <c r="DM599" s="1500">
        <f t="shared" si="15"/>
        <v>0</v>
      </c>
      <c r="DN599" s="1500"/>
      <c r="DO599" s="1500"/>
      <c r="DP599" s="1500"/>
      <c r="DQ599" s="1500"/>
      <c r="DR599" s="1500">
        <f t="shared" si="16"/>
        <v>0</v>
      </c>
      <c r="DS599" s="1500"/>
      <c r="DT599" s="1500"/>
      <c r="DU599" s="1500"/>
      <c r="DV599" s="1500"/>
      <c r="DX599" s="1497">
        <f t="shared" si="17"/>
        <v>1357</v>
      </c>
      <c r="DY599" s="1498"/>
      <c r="DZ599" s="1498"/>
      <c r="EA599" s="1498"/>
      <c r="EB599" s="1499"/>
      <c r="EC599" s="1497" t="str">
        <f t="shared" si="18"/>
        <v/>
      </c>
      <c r="ED599" s="1498"/>
      <c r="EE599" s="1498"/>
      <c r="EF599" s="1498"/>
      <c r="EG599" s="1499"/>
      <c r="EH599" s="1497" t="str">
        <f t="shared" si="19"/>
        <v/>
      </c>
      <c r="EI599" s="1498"/>
      <c r="EJ599" s="1498"/>
      <c r="EK599" s="1498"/>
      <c r="EL599" s="1499"/>
      <c r="EM599" s="1497" t="str">
        <f t="shared" si="20"/>
        <v/>
      </c>
      <c r="EN599" s="1498"/>
      <c r="EO599" s="1498"/>
      <c r="EP599" s="1498"/>
      <c r="EQ599" s="1499"/>
      <c r="ER599" s="1497" t="str">
        <f t="shared" si="21"/>
        <v/>
      </c>
      <c r="ES599" s="1498"/>
      <c r="ET599" s="1498"/>
      <c r="EU599" s="1498"/>
      <c r="EV599" s="1499"/>
      <c r="EW599" s="1497" t="str">
        <f t="shared" si="22"/>
        <v/>
      </c>
      <c r="EX599" s="1498"/>
      <c r="EY599" s="1498"/>
      <c r="EZ599" s="1498"/>
      <c r="FA599" s="1499"/>
    </row>
    <row r="600" spans="1:157" ht="12.95" customHeight="1">
      <c r="A600" s="22"/>
      <c r="T600" s="22"/>
      <c r="BA600" s="4" t="s">
        <v>165</v>
      </c>
      <c r="BB600" s="3"/>
      <c r="BC600" s="3"/>
      <c r="BD600" s="3"/>
      <c r="BE600" s="1497">
        <f t="shared" si="1"/>
        <v>0</v>
      </c>
      <c r="BF600" s="1499"/>
      <c r="BG600" s="1489">
        <f t="shared" si="2"/>
        <v>0</v>
      </c>
      <c r="BH600" s="1491"/>
      <c r="BI600" s="1497">
        <f t="shared" si="3"/>
        <v>0</v>
      </c>
      <c r="BJ600" s="1499"/>
      <c r="BK600" s="1489">
        <f t="shared" si="4"/>
        <v>0</v>
      </c>
      <c r="BL600" s="1491"/>
      <c r="BM600" s="3"/>
      <c r="BN600" s="1485">
        <f t="shared" si="5"/>
        <v>5</v>
      </c>
      <c r="BO600" s="1486"/>
      <c r="BP600" s="1486"/>
      <c r="BQ600" s="1486"/>
      <c r="BR600" s="1487"/>
      <c r="BS600" s="1488">
        <f t="shared" si="6"/>
        <v>0</v>
      </c>
      <c r="BT600" s="1488"/>
      <c r="BU600" s="1488"/>
      <c r="BV600" s="1488"/>
      <c r="BW600" s="1488"/>
      <c r="BX600" s="1488">
        <f t="shared" si="7"/>
        <v>0</v>
      </c>
      <c r="BY600" s="1488"/>
      <c r="BZ600" s="1488"/>
      <c r="CA600" s="1488"/>
      <c r="CB600" s="1488"/>
      <c r="CC600" s="1488">
        <f t="shared" si="8"/>
        <v>0</v>
      </c>
      <c r="CD600" s="1488"/>
      <c r="CE600" s="1488"/>
      <c r="CF600" s="1488"/>
      <c r="CG600" s="1488"/>
      <c r="CH600" s="1488">
        <f t="shared" si="9"/>
        <v>0</v>
      </c>
      <c r="CI600" s="1488"/>
      <c r="CJ600" s="1488"/>
      <c r="CK600" s="1488"/>
      <c r="CL600" s="1488"/>
      <c r="CM600" s="1488">
        <f t="shared" si="10"/>
        <v>0</v>
      </c>
      <c r="CN600" s="1488"/>
      <c r="CO600" s="1488"/>
      <c r="CP600" s="1488"/>
      <c r="CQ600" s="1488"/>
      <c r="CR600" s="6"/>
      <c r="CS600" s="1500">
        <f t="shared" si="11"/>
        <v>0</v>
      </c>
      <c r="CT600" s="1500"/>
      <c r="CU600" s="1500"/>
      <c r="CV600" s="1500"/>
      <c r="CW600" s="1500"/>
      <c r="CX600" s="1500">
        <f t="shared" si="12"/>
        <v>0</v>
      </c>
      <c r="CY600" s="1500"/>
      <c r="CZ600" s="1500"/>
      <c r="DA600" s="1500"/>
      <c r="DB600" s="1500"/>
      <c r="DC600" s="1500">
        <f t="shared" si="13"/>
        <v>0</v>
      </c>
      <c r="DD600" s="1500"/>
      <c r="DE600" s="1500"/>
      <c r="DF600" s="1500"/>
      <c r="DG600" s="1500"/>
      <c r="DH600" s="1500">
        <f t="shared" si="14"/>
        <v>0</v>
      </c>
      <c r="DI600" s="1500"/>
      <c r="DJ600" s="1500"/>
      <c r="DK600" s="1500"/>
      <c r="DL600" s="1500"/>
      <c r="DM600" s="1500">
        <f t="shared" si="15"/>
        <v>0</v>
      </c>
      <c r="DN600" s="1500"/>
      <c r="DO600" s="1500"/>
      <c r="DP600" s="1500"/>
      <c r="DQ600" s="1500"/>
      <c r="DR600" s="1500">
        <f t="shared" si="16"/>
        <v>0</v>
      </c>
      <c r="DS600" s="1500"/>
      <c r="DT600" s="1500"/>
      <c r="DU600" s="1500"/>
      <c r="DV600" s="1500"/>
      <c r="DX600" s="1497">
        <f t="shared" si="17"/>
        <v>1645</v>
      </c>
      <c r="DY600" s="1498"/>
      <c r="DZ600" s="1498"/>
      <c r="EA600" s="1498"/>
      <c r="EB600" s="1499"/>
      <c r="EC600" s="1497" t="str">
        <f t="shared" si="18"/>
        <v/>
      </c>
      <c r="ED600" s="1498"/>
      <c r="EE600" s="1498"/>
      <c r="EF600" s="1498"/>
      <c r="EG600" s="1499"/>
      <c r="EH600" s="1497" t="str">
        <f t="shared" si="19"/>
        <v/>
      </c>
      <c r="EI600" s="1498"/>
      <c r="EJ600" s="1498"/>
      <c r="EK600" s="1498"/>
      <c r="EL600" s="1499"/>
      <c r="EM600" s="1497" t="str">
        <f t="shared" si="20"/>
        <v/>
      </c>
      <c r="EN600" s="1498"/>
      <c r="EO600" s="1498"/>
      <c r="EP600" s="1498"/>
      <c r="EQ600" s="1499"/>
      <c r="ER600" s="1497" t="str">
        <f t="shared" si="21"/>
        <v/>
      </c>
      <c r="ES600" s="1498"/>
      <c r="ET600" s="1498"/>
      <c r="EU600" s="1498"/>
      <c r="EV600" s="1499"/>
      <c r="EW600" s="1497" t="str">
        <f t="shared" si="22"/>
        <v/>
      </c>
      <c r="EX600" s="1498"/>
      <c r="EY600" s="1498"/>
      <c r="EZ600" s="1498"/>
      <c r="FA600" s="1499"/>
    </row>
    <row r="601" spans="1:157" ht="12.95" customHeight="1">
      <c r="A601" s="55" t="s">
        <v>468</v>
      </c>
      <c r="B601" t="s">
        <v>470</v>
      </c>
      <c r="G601" s="1355">
        <f>C562</f>
        <v>0</v>
      </c>
      <c r="H601" s="1355"/>
      <c r="I601" s="1355"/>
      <c r="J601" s="1355"/>
      <c r="K601" s="1355"/>
      <c r="L601" s="1355"/>
      <c r="M601" s="1355"/>
      <c r="N601" s="1355"/>
      <c r="O601" s="1355"/>
      <c r="P601" s="1355"/>
      <c r="Q601" s="1355"/>
      <c r="R601" s="1355"/>
      <c r="T601" s="55" t="s">
        <v>653</v>
      </c>
      <c r="U601" t="s">
        <v>470</v>
      </c>
      <c r="Z601" s="1355">
        <f>C563</f>
        <v>0</v>
      </c>
      <c r="AA601" s="1355"/>
      <c r="AB601" s="1355"/>
      <c r="AC601" s="1355"/>
      <c r="AD601" s="1355"/>
      <c r="AE601" s="1355"/>
      <c r="AF601" s="1355"/>
      <c r="AG601" s="1355"/>
      <c r="AH601" s="1355"/>
      <c r="AI601" s="1355"/>
      <c r="AJ601" s="1355"/>
      <c r="AK601" s="1355"/>
      <c r="BA601" s="4" t="s">
        <v>30</v>
      </c>
      <c r="BB601" s="3"/>
      <c r="BC601" s="3"/>
      <c r="BD601" s="3"/>
      <c r="BE601" s="1497">
        <f t="shared" si="1"/>
        <v>0</v>
      </c>
      <c r="BF601" s="1499"/>
      <c r="BG601" s="1489">
        <f t="shared" si="2"/>
        <v>0</v>
      </c>
      <c r="BH601" s="1491"/>
      <c r="BI601" s="1497">
        <f t="shared" si="3"/>
        <v>1</v>
      </c>
      <c r="BJ601" s="1499"/>
      <c r="BK601" s="1489">
        <f t="shared" si="4"/>
        <v>8</v>
      </c>
      <c r="BL601" s="1491"/>
      <c r="BM601" s="3"/>
      <c r="BN601" s="1485">
        <f t="shared" si="5"/>
        <v>0</v>
      </c>
      <c r="BO601" s="1486"/>
      <c r="BP601" s="1486"/>
      <c r="BQ601" s="1486"/>
      <c r="BR601" s="1487"/>
      <c r="BS601" s="1488">
        <f t="shared" si="6"/>
        <v>8</v>
      </c>
      <c r="BT601" s="1488"/>
      <c r="BU601" s="1488"/>
      <c r="BV601" s="1488"/>
      <c r="BW601" s="1488"/>
      <c r="BX601" s="1488">
        <f t="shared" si="7"/>
        <v>0</v>
      </c>
      <c r="BY601" s="1488"/>
      <c r="BZ601" s="1488"/>
      <c r="CA601" s="1488"/>
      <c r="CB601" s="1488"/>
      <c r="CC601" s="1488">
        <f t="shared" si="8"/>
        <v>0</v>
      </c>
      <c r="CD601" s="1488"/>
      <c r="CE601" s="1488"/>
      <c r="CF601" s="1488"/>
      <c r="CG601" s="1488"/>
      <c r="CH601" s="1488">
        <f t="shared" si="9"/>
        <v>0</v>
      </c>
      <c r="CI601" s="1488"/>
      <c r="CJ601" s="1488"/>
      <c r="CK601" s="1488"/>
      <c r="CL601" s="1488"/>
      <c r="CM601" s="1488">
        <f t="shared" si="10"/>
        <v>0</v>
      </c>
      <c r="CN601" s="1488"/>
      <c r="CO601" s="1488"/>
      <c r="CP601" s="1488"/>
      <c r="CQ601" s="1488"/>
      <c r="CR601" s="6"/>
      <c r="CS601" s="1500">
        <f t="shared" si="11"/>
        <v>0</v>
      </c>
      <c r="CT601" s="1500"/>
      <c r="CU601" s="1500"/>
      <c r="CV601" s="1500"/>
      <c r="CW601" s="1500"/>
      <c r="CX601" s="1500">
        <f t="shared" si="12"/>
        <v>8</v>
      </c>
      <c r="CY601" s="1500"/>
      <c r="CZ601" s="1500"/>
      <c r="DA601" s="1500"/>
      <c r="DB601" s="1500"/>
      <c r="DC601" s="1500">
        <f t="shared" si="13"/>
        <v>0</v>
      </c>
      <c r="DD601" s="1500"/>
      <c r="DE601" s="1500"/>
      <c r="DF601" s="1500"/>
      <c r="DG601" s="1500"/>
      <c r="DH601" s="1500">
        <f t="shared" si="14"/>
        <v>0</v>
      </c>
      <c r="DI601" s="1500"/>
      <c r="DJ601" s="1500"/>
      <c r="DK601" s="1500"/>
      <c r="DL601" s="1500"/>
      <c r="DM601" s="1500">
        <f t="shared" si="15"/>
        <v>0</v>
      </c>
      <c r="DN601" s="1500"/>
      <c r="DO601" s="1500"/>
      <c r="DP601" s="1500"/>
      <c r="DQ601" s="1500"/>
      <c r="DR601" s="1500">
        <f t="shared" si="16"/>
        <v>0</v>
      </c>
      <c r="DS601" s="1500"/>
      <c r="DT601" s="1500"/>
      <c r="DU601" s="1500"/>
      <c r="DV601" s="1500"/>
      <c r="DX601" s="1497" t="str">
        <f t="shared" si="17"/>
        <v/>
      </c>
      <c r="DY601" s="1498"/>
      <c r="DZ601" s="1498"/>
      <c r="EA601" s="1498"/>
      <c r="EB601" s="1499"/>
      <c r="EC601" s="1497">
        <f t="shared" si="18"/>
        <v>826</v>
      </c>
      <c r="ED601" s="1498"/>
      <c r="EE601" s="1498"/>
      <c r="EF601" s="1498"/>
      <c r="EG601" s="1499"/>
      <c r="EH601" s="1497" t="str">
        <f t="shared" si="19"/>
        <v/>
      </c>
      <c r="EI601" s="1498"/>
      <c r="EJ601" s="1498"/>
      <c r="EK601" s="1498"/>
      <c r="EL601" s="1499"/>
      <c r="EM601" s="1497" t="str">
        <f t="shared" si="20"/>
        <v/>
      </c>
      <c r="EN601" s="1498"/>
      <c r="EO601" s="1498"/>
      <c r="EP601" s="1498"/>
      <c r="EQ601" s="1499"/>
      <c r="ER601" s="1497" t="str">
        <f t="shared" si="21"/>
        <v/>
      </c>
      <c r="ES601" s="1498"/>
      <c r="ET601" s="1498"/>
      <c r="EU601" s="1498"/>
      <c r="EV601" s="1499"/>
      <c r="EW601" s="1497" t="str">
        <f t="shared" si="22"/>
        <v/>
      </c>
      <c r="EX601" s="1498"/>
      <c r="EY601" s="1498"/>
      <c r="EZ601" s="1498"/>
      <c r="FA601" s="1499"/>
    </row>
    <row r="602" spans="1:157" ht="12.95" customHeight="1">
      <c r="A602" s="22"/>
      <c r="B602" t="s">
        <v>85</v>
      </c>
      <c r="G602" s="1357"/>
      <c r="H602" s="1357"/>
      <c r="I602" s="1357"/>
      <c r="J602" s="1357"/>
      <c r="K602" s="1357"/>
      <c r="L602" s="1357"/>
      <c r="M602" s="1357"/>
      <c r="N602" s="1357"/>
      <c r="O602" s="1357"/>
      <c r="P602" s="1357"/>
      <c r="Q602" s="1357"/>
      <c r="R602" s="1357"/>
      <c r="T602" s="22"/>
      <c r="U602" t="s">
        <v>85</v>
      </c>
      <c r="Z602" s="1357"/>
      <c r="AA602" s="1357"/>
      <c r="AB602" s="1357"/>
      <c r="AC602" s="1357"/>
      <c r="AD602" s="1357"/>
      <c r="AE602" s="1357"/>
      <c r="AF602" s="1357"/>
      <c r="AG602" s="1357"/>
      <c r="AH602" s="1357"/>
      <c r="AI602" s="1357"/>
      <c r="AJ602" s="1357"/>
      <c r="AK602" s="1357"/>
      <c r="AZ602" s="3"/>
      <c r="BA602" s="3"/>
      <c r="BB602" s="3"/>
      <c r="BC602" s="3"/>
      <c r="BD602" s="3"/>
      <c r="BE602" s="1497">
        <f t="shared" si="1"/>
        <v>1</v>
      </c>
      <c r="BF602" s="1499"/>
      <c r="BG602" s="1489">
        <f t="shared" si="2"/>
        <v>3</v>
      </c>
      <c r="BH602" s="1491"/>
      <c r="BI602" s="1497">
        <f t="shared" si="3"/>
        <v>0</v>
      </c>
      <c r="BJ602" s="1499"/>
      <c r="BK602" s="1489">
        <f t="shared" si="4"/>
        <v>0</v>
      </c>
      <c r="BL602" s="1491"/>
      <c r="BM602" s="3"/>
      <c r="BN602" s="1485">
        <f t="shared" si="5"/>
        <v>0</v>
      </c>
      <c r="BO602" s="1486"/>
      <c r="BP602" s="1486"/>
      <c r="BQ602" s="1486"/>
      <c r="BR602" s="1487"/>
      <c r="BS602" s="1488">
        <f t="shared" si="6"/>
        <v>3</v>
      </c>
      <c r="BT602" s="1488"/>
      <c r="BU602" s="1488"/>
      <c r="BV602" s="1488"/>
      <c r="BW602" s="1488"/>
      <c r="BX602" s="1488">
        <f t="shared" si="7"/>
        <v>0</v>
      </c>
      <c r="BY602" s="1488"/>
      <c r="BZ602" s="1488"/>
      <c r="CA602" s="1488"/>
      <c r="CB602" s="1488"/>
      <c r="CC602" s="1488">
        <f t="shared" si="8"/>
        <v>0</v>
      </c>
      <c r="CD602" s="1488"/>
      <c r="CE602" s="1488"/>
      <c r="CF602" s="1488"/>
      <c r="CG602" s="1488"/>
      <c r="CH602" s="1488">
        <f t="shared" si="9"/>
        <v>0</v>
      </c>
      <c r="CI602" s="1488"/>
      <c r="CJ602" s="1488"/>
      <c r="CK602" s="1488"/>
      <c r="CL602" s="1488"/>
      <c r="CM602" s="1488">
        <f t="shared" si="10"/>
        <v>0</v>
      </c>
      <c r="CN602" s="1488"/>
      <c r="CO602" s="1488"/>
      <c r="CP602" s="1488"/>
      <c r="CQ602" s="1488"/>
      <c r="CR602" s="6"/>
      <c r="CS602" s="1500">
        <f t="shared" si="11"/>
        <v>0</v>
      </c>
      <c r="CT602" s="1500"/>
      <c r="CU602" s="1500"/>
      <c r="CV602" s="1500"/>
      <c r="CW602" s="1500"/>
      <c r="CX602" s="1500">
        <f t="shared" si="12"/>
        <v>0</v>
      </c>
      <c r="CY602" s="1500"/>
      <c r="CZ602" s="1500"/>
      <c r="DA602" s="1500"/>
      <c r="DB602" s="1500"/>
      <c r="DC602" s="1500">
        <f t="shared" si="13"/>
        <v>0</v>
      </c>
      <c r="DD602" s="1500"/>
      <c r="DE602" s="1500"/>
      <c r="DF602" s="1500"/>
      <c r="DG602" s="1500"/>
      <c r="DH602" s="1500">
        <f t="shared" si="14"/>
        <v>0</v>
      </c>
      <c r="DI602" s="1500"/>
      <c r="DJ602" s="1500"/>
      <c r="DK602" s="1500"/>
      <c r="DL602" s="1500"/>
      <c r="DM602" s="1500">
        <f t="shared" si="15"/>
        <v>0</v>
      </c>
      <c r="DN602" s="1500"/>
      <c r="DO602" s="1500"/>
      <c r="DP602" s="1500"/>
      <c r="DQ602" s="1500"/>
      <c r="DR602" s="1500">
        <f t="shared" si="16"/>
        <v>0</v>
      </c>
      <c r="DS602" s="1500"/>
      <c r="DT602" s="1500"/>
      <c r="DU602" s="1500"/>
      <c r="DV602" s="1500"/>
      <c r="DX602" s="1497" t="str">
        <f t="shared" si="17"/>
        <v/>
      </c>
      <c r="DY602" s="1498"/>
      <c r="DZ602" s="1498"/>
      <c r="EA602" s="1498"/>
      <c r="EB602" s="1499"/>
      <c r="EC602" s="1497">
        <f t="shared" si="18"/>
        <v>1135</v>
      </c>
      <c r="ED602" s="1498"/>
      <c r="EE602" s="1498"/>
      <c r="EF602" s="1498"/>
      <c r="EG602" s="1499"/>
      <c r="EH602" s="1497" t="str">
        <f t="shared" si="19"/>
        <v/>
      </c>
      <c r="EI602" s="1498"/>
      <c r="EJ602" s="1498"/>
      <c r="EK602" s="1498"/>
      <c r="EL602" s="1499"/>
      <c r="EM602" s="1497" t="str">
        <f t="shared" si="20"/>
        <v/>
      </c>
      <c r="EN602" s="1498"/>
      <c r="EO602" s="1498"/>
      <c r="EP602" s="1498"/>
      <c r="EQ602" s="1499"/>
      <c r="ER602" s="1497" t="str">
        <f t="shared" si="21"/>
        <v/>
      </c>
      <c r="ES602" s="1498"/>
      <c r="ET602" s="1498"/>
      <c r="EU602" s="1498"/>
      <c r="EV602" s="1499"/>
      <c r="EW602" s="1497" t="str">
        <f t="shared" si="22"/>
        <v/>
      </c>
      <c r="EX602" s="1498"/>
      <c r="EY602" s="1498"/>
      <c r="EZ602" s="1498"/>
      <c r="FA602" s="1499"/>
    </row>
    <row r="603" spans="1:157" ht="12.95" customHeight="1">
      <c r="A603" s="22"/>
      <c r="B603" t="s">
        <v>587</v>
      </c>
      <c r="G603" s="1357"/>
      <c r="H603" s="1357"/>
      <c r="I603" s="1357"/>
      <c r="J603" s="1357"/>
      <c r="K603" s="1357"/>
      <c r="L603" s="1357"/>
      <c r="M603" s="1357"/>
      <c r="N603" s="1357"/>
      <c r="O603" s="1357"/>
      <c r="P603" s="1357"/>
      <c r="Q603" s="1357"/>
      <c r="R603" s="1357"/>
      <c r="T603" s="22"/>
      <c r="U603" t="s">
        <v>587</v>
      </c>
      <c r="Z603" s="1371"/>
      <c r="AA603" s="1371"/>
      <c r="AB603" s="1371"/>
      <c r="AC603" s="1371"/>
      <c r="AD603" s="1371"/>
      <c r="AE603" s="1371"/>
      <c r="AF603" s="1371"/>
      <c r="AG603" s="1371"/>
      <c r="AH603" s="1371"/>
      <c r="AI603" s="1371"/>
      <c r="AJ603" s="1371"/>
      <c r="AK603" s="1371"/>
      <c r="AZ603" s="3"/>
      <c r="BA603" s="3"/>
      <c r="BB603" s="3"/>
      <c r="BC603" s="3"/>
      <c r="BD603" s="3"/>
      <c r="BE603" s="1497">
        <f t="shared" si="1"/>
        <v>1</v>
      </c>
      <c r="BF603" s="1499"/>
      <c r="BG603" s="1489">
        <f t="shared" si="2"/>
        <v>7</v>
      </c>
      <c r="BH603" s="1491"/>
      <c r="BI603" s="1497">
        <f t="shared" si="3"/>
        <v>0</v>
      </c>
      <c r="BJ603" s="1499"/>
      <c r="BK603" s="1489">
        <f t="shared" si="4"/>
        <v>0</v>
      </c>
      <c r="BL603" s="1491"/>
      <c r="BM603" s="3"/>
      <c r="BN603" s="1485">
        <f t="shared" si="5"/>
        <v>0</v>
      </c>
      <c r="BO603" s="1486"/>
      <c r="BP603" s="1486"/>
      <c r="BQ603" s="1486"/>
      <c r="BR603" s="1487"/>
      <c r="BS603" s="1488">
        <f t="shared" si="6"/>
        <v>7</v>
      </c>
      <c r="BT603" s="1488"/>
      <c r="BU603" s="1488"/>
      <c r="BV603" s="1488"/>
      <c r="BW603" s="1488"/>
      <c r="BX603" s="1488">
        <f t="shared" si="7"/>
        <v>0</v>
      </c>
      <c r="BY603" s="1488"/>
      <c r="BZ603" s="1488"/>
      <c r="CA603" s="1488"/>
      <c r="CB603" s="1488"/>
      <c r="CC603" s="1488">
        <f t="shared" si="8"/>
        <v>0</v>
      </c>
      <c r="CD603" s="1488"/>
      <c r="CE603" s="1488"/>
      <c r="CF603" s="1488"/>
      <c r="CG603" s="1488"/>
      <c r="CH603" s="1488">
        <f t="shared" si="9"/>
        <v>0</v>
      </c>
      <c r="CI603" s="1488"/>
      <c r="CJ603" s="1488"/>
      <c r="CK603" s="1488"/>
      <c r="CL603" s="1488"/>
      <c r="CM603" s="1488">
        <f t="shared" si="10"/>
        <v>0</v>
      </c>
      <c r="CN603" s="1488"/>
      <c r="CO603" s="1488"/>
      <c r="CP603" s="1488"/>
      <c r="CQ603" s="1488"/>
      <c r="CR603" s="6"/>
      <c r="CS603" s="1500">
        <f t="shared" si="11"/>
        <v>0</v>
      </c>
      <c r="CT603" s="1500"/>
      <c r="CU603" s="1500"/>
      <c r="CV603" s="1500"/>
      <c r="CW603" s="1500"/>
      <c r="CX603" s="1500">
        <f t="shared" si="12"/>
        <v>0</v>
      </c>
      <c r="CY603" s="1500"/>
      <c r="CZ603" s="1500"/>
      <c r="DA603" s="1500"/>
      <c r="DB603" s="1500"/>
      <c r="DC603" s="1500">
        <f t="shared" si="13"/>
        <v>0</v>
      </c>
      <c r="DD603" s="1500"/>
      <c r="DE603" s="1500"/>
      <c r="DF603" s="1500"/>
      <c r="DG603" s="1500"/>
      <c r="DH603" s="1500">
        <f t="shared" si="14"/>
        <v>0</v>
      </c>
      <c r="DI603" s="1500"/>
      <c r="DJ603" s="1500"/>
      <c r="DK603" s="1500"/>
      <c r="DL603" s="1500"/>
      <c r="DM603" s="1500">
        <f t="shared" si="15"/>
        <v>0</v>
      </c>
      <c r="DN603" s="1500"/>
      <c r="DO603" s="1500"/>
      <c r="DP603" s="1500"/>
      <c r="DQ603" s="1500"/>
      <c r="DR603" s="1500">
        <f t="shared" si="16"/>
        <v>0</v>
      </c>
      <c r="DS603" s="1500"/>
      <c r="DT603" s="1500"/>
      <c r="DU603" s="1500"/>
      <c r="DV603" s="1500"/>
      <c r="DX603" s="1497" t="str">
        <f t="shared" si="17"/>
        <v/>
      </c>
      <c r="DY603" s="1498"/>
      <c r="DZ603" s="1498"/>
      <c r="EA603" s="1498"/>
      <c r="EB603" s="1499"/>
      <c r="EC603" s="1497">
        <f t="shared" si="18"/>
        <v>1135</v>
      </c>
      <c r="ED603" s="1498"/>
      <c r="EE603" s="1498"/>
      <c r="EF603" s="1498"/>
      <c r="EG603" s="1499"/>
      <c r="EH603" s="1497" t="str">
        <f t="shared" si="19"/>
        <v/>
      </c>
      <c r="EI603" s="1498"/>
      <c r="EJ603" s="1498"/>
      <c r="EK603" s="1498"/>
      <c r="EL603" s="1499"/>
      <c r="EM603" s="1497" t="str">
        <f t="shared" si="20"/>
        <v/>
      </c>
      <c r="EN603" s="1498"/>
      <c r="EO603" s="1498"/>
      <c r="EP603" s="1498"/>
      <c r="EQ603" s="1499"/>
      <c r="ER603" s="1497" t="str">
        <f t="shared" si="21"/>
        <v/>
      </c>
      <c r="ES603" s="1498"/>
      <c r="ET603" s="1498"/>
      <c r="EU603" s="1498"/>
      <c r="EV603" s="1499"/>
      <c r="EW603" s="1497" t="str">
        <f t="shared" si="22"/>
        <v/>
      </c>
      <c r="EX603" s="1498"/>
      <c r="EY603" s="1498"/>
      <c r="EZ603" s="1498"/>
      <c r="FA603" s="1499"/>
    </row>
    <row r="604" spans="1:157" ht="12.95" customHeight="1">
      <c r="A604" s="22"/>
      <c r="B604" t="s">
        <v>17</v>
      </c>
      <c r="G604" s="1357"/>
      <c r="H604" s="1357"/>
      <c r="I604" s="1357"/>
      <c r="J604" s="1357"/>
      <c r="K604" s="1357"/>
      <c r="L604" s="1357"/>
      <c r="M604" s="1357"/>
      <c r="N604" s="1357"/>
      <c r="O604" s="1357"/>
      <c r="P604" s="1357"/>
      <c r="Q604" s="1357"/>
      <c r="R604" s="1357"/>
      <c r="T604" s="22"/>
      <c r="U604" t="s">
        <v>17</v>
      </c>
      <c r="Z604" s="1371"/>
      <c r="AA604" s="1371"/>
      <c r="AB604" s="1371"/>
      <c r="AC604" s="1371"/>
      <c r="AD604" s="1371"/>
      <c r="AE604" s="1371"/>
      <c r="AF604" s="1371"/>
      <c r="AG604" s="1371"/>
      <c r="AH604" s="1371"/>
      <c r="AI604" s="1371"/>
      <c r="AJ604" s="1371"/>
      <c r="AK604" s="1371"/>
      <c r="AZ604" s="3"/>
      <c r="BA604" s="3"/>
      <c r="BB604" s="3"/>
      <c r="BC604" s="3"/>
      <c r="BD604" s="3"/>
      <c r="BE604" s="1497">
        <f t="shared" si="1"/>
        <v>1</v>
      </c>
      <c r="BF604" s="1499"/>
      <c r="BG604" s="1489">
        <f t="shared" si="2"/>
        <v>16</v>
      </c>
      <c r="BH604" s="1491"/>
      <c r="BI604" s="1497">
        <f t="shared" si="3"/>
        <v>0</v>
      </c>
      <c r="BJ604" s="1499"/>
      <c r="BK604" s="1489">
        <f t="shared" si="4"/>
        <v>0</v>
      </c>
      <c r="BL604" s="1491"/>
      <c r="BM604" s="3"/>
      <c r="BN604" s="1485">
        <f t="shared" si="5"/>
        <v>0</v>
      </c>
      <c r="BO604" s="1486"/>
      <c r="BP604" s="1486"/>
      <c r="BQ604" s="1486"/>
      <c r="BR604" s="1487"/>
      <c r="BS604" s="1488">
        <f t="shared" si="6"/>
        <v>16</v>
      </c>
      <c r="BT604" s="1488"/>
      <c r="BU604" s="1488"/>
      <c r="BV604" s="1488"/>
      <c r="BW604" s="1488"/>
      <c r="BX604" s="1488">
        <f t="shared" si="7"/>
        <v>0</v>
      </c>
      <c r="BY604" s="1488"/>
      <c r="BZ604" s="1488"/>
      <c r="CA604" s="1488"/>
      <c r="CB604" s="1488"/>
      <c r="CC604" s="1488">
        <f t="shared" si="8"/>
        <v>0</v>
      </c>
      <c r="CD604" s="1488"/>
      <c r="CE604" s="1488"/>
      <c r="CF604" s="1488"/>
      <c r="CG604" s="1488"/>
      <c r="CH604" s="1488">
        <f t="shared" si="9"/>
        <v>0</v>
      </c>
      <c r="CI604" s="1488"/>
      <c r="CJ604" s="1488"/>
      <c r="CK604" s="1488"/>
      <c r="CL604" s="1488"/>
      <c r="CM604" s="1488">
        <f t="shared" si="10"/>
        <v>0</v>
      </c>
      <c r="CN604" s="1488"/>
      <c r="CO604" s="1488"/>
      <c r="CP604" s="1488"/>
      <c r="CQ604" s="1488"/>
      <c r="CR604" s="6"/>
      <c r="CS604" s="1500">
        <f t="shared" si="11"/>
        <v>0</v>
      </c>
      <c r="CT604" s="1500"/>
      <c r="CU604" s="1500"/>
      <c r="CV604" s="1500"/>
      <c r="CW604" s="1500"/>
      <c r="CX604" s="1500">
        <f t="shared" si="12"/>
        <v>0</v>
      </c>
      <c r="CY604" s="1500"/>
      <c r="CZ604" s="1500"/>
      <c r="DA604" s="1500"/>
      <c r="DB604" s="1500"/>
      <c r="DC604" s="1500">
        <f t="shared" si="13"/>
        <v>0</v>
      </c>
      <c r="DD604" s="1500"/>
      <c r="DE604" s="1500"/>
      <c r="DF604" s="1500"/>
      <c r="DG604" s="1500"/>
      <c r="DH604" s="1500">
        <f t="shared" si="14"/>
        <v>0</v>
      </c>
      <c r="DI604" s="1500"/>
      <c r="DJ604" s="1500"/>
      <c r="DK604" s="1500"/>
      <c r="DL604" s="1500"/>
      <c r="DM604" s="1500">
        <f t="shared" si="15"/>
        <v>0</v>
      </c>
      <c r="DN604" s="1500"/>
      <c r="DO604" s="1500"/>
      <c r="DP604" s="1500"/>
      <c r="DQ604" s="1500"/>
      <c r="DR604" s="1500">
        <f t="shared" si="16"/>
        <v>0</v>
      </c>
      <c r="DS604" s="1500"/>
      <c r="DT604" s="1500"/>
      <c r="DU604" s="1500"/>
      <c r="DV604" s="1500"/>
      <c r="DX604" s="1497" t="str">
        <f t="shared" si="17"/>
        <v/>
      </c>
      <c r="DY604" s="1498"/>
      <c r="DZ604" s="1498"/>
      <c r="EA604" s="1498"/>
      <c r="EB604" s="1499"/>
      <c r="EC604" s="1497">
        <f t="shared" si="18"/>
        <v>1444</v>
      </c>
      <c r="ED604" s="1498"/>
      <c r="EE604" s="1498"/>
      <c r="EF604" s="1498"/>
      <c r="EG604" s="1499"/>
      <c r="EH604" s="1497" t="str">
        <f t="shared" si="19"/>
        <v/>
      </c>
      <c r="EI604" s="1498"/>
      <c r="EJ604" s="1498"/>
      <c r="EK604" s="1498"/>
      <c r="EL604" s="1499"/>
      <c r="EM604" s="1497" t="str">
        <f t="shared" si="20"/>
        <v/>
      </c>
      <c r="EN604" s="1498"/>
      <c r="EO604" s="1498"/>
      <c r="EP604" s="1498"/>
      <c r="EQ604" s="1499"/>
      <c r="ER604" s="1497" t="str">
        <f t="shared" si="21"/>
        <v/>
      </c>
      <c r="ES604" s="1498"/>
      <c r="ET604" s="1498"/>
      <c r="EU604" s="1498"/>
      <c r="EV604" s="1499"/>
      <c r="EW604" s="1497" t="str">
        <f t="shared" si="22"/>
        <v/>
      </c>
      <c r="EX604" s="1498"/>
      <c r="EY604" s="1498"/>
      <c r="EZ604" s="1498"/>
      <c r="FA604" s="1499"/>
    </row>
    <row r="605" spans="1:157" s="4" customFormat="1" ht="12.95" customHeight="1">
      <c r="A605" s="22"/>
      <c r="B605" t="s">
        <v>316</v>
      </c>
      <c r="C605"/>
      <c r="D605"/>
      <c r="E605"/>
      <c r="F605"/>
      <c r="G605" s="1460"/>
      <c r="H605" s="1460"/>
      <c r="I605" s="1460"/>
      <c r="J605" s="1460"/>
      <c r="K605" s="1460"/>
      <c r="L605" s="1460"/>
      <c r="M605"/>
      <c r="N605"/>
      <c r="O605" s="33" t="s">
        <v>206</v>
      </c>
      <c r="P605" s="1455"/>
      <c r="Q605" s="1455"/>
      <c r="R605" s="1455"/>
      <c r="S605"/>
      <c r="T605" s="22"/>
      <c r="U605" t="s">
        <v>316</v>
      </c>
      <c r="V605"/>
      <c r="W605"/>
      <c r="X605"/>
      <c r="Y605"/>
      <c r="Z605" s="1460"/>
      <c r="AA605" s="1460"/>
      <c r="AB605" s="1460"/>
      <c r="AC605" s="1460"/>
      <c r="AD605" s="1460"/>
      <c r="AE605" s="1460"/>
      <c r="AF605"/>
      <c r="AG605"/>
      <c r="AH605" s="33" t="s">
        <v>206</v>
      </c>
      <c r="AI605" s="1455"/>
      <c r="AJ605" s="1455"/>
      <c r="AK605" s="1455"/>
      <c r="AL605"/>
      <c r="AM605"/>
      <c r="AN605"/>
      <c r="AO605"/>
      <c r="AP605"/>
      <c r="AQ605"/>
      <c r="AR605"/>
      <c r="AS605"/>
      <c r="AT605"/>
      <c r="AU605"/>
      <c r="AV605"/>
      <c r="AW605"/>
      <c r="AX605"/>
      <c r="AY605"/>
      <c r="AZ605" s="3"/>
      <c r="BA605" s="3"/>
      <c r="BB605" s="3"/>
      <c r="BC605" s="3"/>
      <c r="BD605" s="3"/>
      <c r="BE605" s="1497">
        <f t="shared" si="1"/>
        <v>0</v>
      </c>
      <c r="BF605" s="1499"/>
      <c r="BG605" s="1489">
        <f t="shared" si="2"/>
        <v>0</v>
      </c>
      <c r="BH605" s="1491"/>
      <c r="BI605" s="1497">
        <f t="shared" si="3"/>
        <v>0</v>
      </c>
      <c r="BJ605" s="1499"/>
      <c r="BK605" s="1489">
        <f t="shared" si="4"/>
        <v>0</v>
      </c>
      <c r="BL605" s="1491"/>
      <c r="BM605" s="3"/>
      <c r="BN605" s="1485">
        <f t="shared" si="5"/>
        <v>0</v>
      </c>
      <c r="BO605" s="1486"/>
      <c r="BP605" s="1486"/>
      <c r="BQ605" s="1486"/>
      <c r="BR605" s="1487"/>
      <c r="BS605" s="1488">
        <f t="shared" si="6"/>
        <v>16</v>
      </c>
      <c r="BT605" s="1488"/>
      <c r="BU605" s="1488"/>
      <c r="BV605" s="1488"/>
      <c r="BW605" s="1488"/>
      <c r="BX605" s="1488">
        <f t="shared" si="7"/>
        <v>0</v>
      </c>
      <c r="BY605" s="1488"/>
      <c r="BZ605" s="1488"/>
      <c r="CA605" s="1488"/>
      <c r="CB605" s="1488"/>
      <c r="CC605" s="1488">
        <f t="shared" si="8"/>
        <v>0</v>
      </c>
      <c r="CD605" s="1488"/>
      <c r="CE605" s="1488"/>
      <c r="CF605" s="1488"/>
      <c r="CG605" s="1488"/>
      <c r="CH605" s="1488">
        <f t="shared" si="9"/>
        <v>0</v>
      </c>
      <c r="CI605" s="1488"/>
      <c r="CJ605" s="1488"/>
      <c r="CK605" s="1488"/>
      <c r="CL605" s="1488"/>
      <c r="CM605" s="1488">
        <f t="shared" si="10"/>
        <v>0</v>
      </c>
      <c r="CN605" s="1488"/>
      <c r="CO605" s="1488"/>
      <c r="CP605" s="1488"/>
      <c r="CQ605" s="1488"/>
      <c r="CR605" s="6"/>
      <c r="CS605" s="1500">
        <f t="shared" si="11"/>
        <v>0</v>
      </c>
      <c r="CT605" s="1500"/>
      <c r="CU605" s="1500"/>
      <c r="CV605" s="1500"/>
      <c r="CW605" s="1500"/>
      <c r="CX605" s="1500">
        <f t="shared" si="12"/>
        <v>0</v>
      </c>
      <c r="CY605" s="1500"/>
      <c r="CZ605" s="1500"/>
      <c r="DA605" s="1500"/>
      <c r="DB605" s="1500"/>
      <c r="DC605" s="1500">
        <f t="shared" si="13"/>
        <v>0</v>
      </c>
      <c r="DD605" s="1500"/>
      <c r="DE605" s="1500"/>
      <c r="DF605" s="1500"/>
      <c r="DG605" s="1500"/>
      <c r="DH605" s="1500">
        <f t="shared" si="14"/>
        <v>0</v>
      </c>
      <c r="DI605" s="1500"/>
      <c r="DJ605" s="1500"/>
      <c r="DK605" s="1500"/>
      <c r="DL605" s="1500"/>
      <c r="DM605" s="1500">
        <f t="shared" si="15"/>
        <v>0</v>
      </c>
      <c r="DN605" s="1500"/>
      <c r="DO605" s="1500"/>
      <c r="DP605" s="1500"/>
      <c r="DQ605" s="1500"/>
      <c r="DR605" s="1500">
        <f t="shared" si="16"/>
        <v>0</v>
      </c>
      <c r="DS605" s="1500"/>
      <c r="DT605" s="1500"/>
      <c r="DU605" s="1500"/>
      <c r="DV605" s="1500"/>
      <c r="DX605" s="1497" t="str">
        <f t="shared" si="17"/>
        <v/>
      </c>
      <c r="DY605" s="1498"/>
      <c r="DZ605" s="1498"/>
      <c r="EA605" s="1498"/>
      <c r="EB605" s="1499"/>
      <c r="EC605" s="1497">
        <f t="shared" si="18"/>
        <v>1753</v>
      </c>
      <c r="ED605" s="1498"/>
      <c r="EE605" s="1498"/>
      <c r="EF605" s="1498"/>
      <c r="EG605" s="1499"/>
      <c r="EH605" s="1497" t="str">
        <f t="shared" si="19"/>
        <v/>
      </c>
      <c r="EI605" s="1498"/>
      <c r="EJ605" s="1498"/>
      <c r="EK605" s="1498"/>
      <c r="EL605" s="1499"/>
      <c r="EM605" s="1497" t="str">
        <f t="shared" si="20"/>
        <v/>
      </c>
      <c r="EN605" s="1498"/>
      <c r="EO605" s="1498"/>
      <c r="EP605" s="1498"/>
      <c r="EQ605" s="1499"/>
      <c r="ER605" s="1497" t="str">
        <f t="shared" si="21"/>
        <v/>
      </c>
      <c r="ES605" s="1498"/>
      <c r="ET605" s="1498"/>
      <c r="EU605" s="1498"/>
      <c r="EV605" s="1499"/>
      <c r="EW605" s="1497" t="str">
        <f t="shared" si="22"/>
        <v/>
      </c>
      <c r="EX605" s="1498"/>
      <c r="EY605" s="1498"/>
      <c r="EZ605" s="1498"/>
      <c r="FA605" s="1499"/>
    </row>
    <row r="606" spans="1:157" s="4" customFormat="1" ht="12.95" customHeight="1">
      <c r="A606" s="22"/>
      <c r="B606" t="s">
        <v>18</v>
      </c>
      <c r="C606"/>
      <c r="D606"/>
      <c r="E606"/>
      <c r="F606"/>
      <c r="G606"/>
      <c r="H606" s="1357"/>
      <c r="I606" s="1357"/>
      <c r="J606" s="1357"/>
      <c r="K606" s="1357"/>
      <c r="L606" s="1357"/>
      <c r="M606" s="1357"/>
      <c r="N606" s="1357"/>
      <c r="O606" s="1357"/>
      <c r="P606" s="1357"/>
      <c r="Q606" s="1357"/>
      <c r="R606" s="1357"/>
      <c r="S606"/>
      <c r="T606" s="22"/>
      <c r="U606" t="s">
        <v>18</v>
      </c>
      <c r="V606"/>
      <c r="W606"/>
      <c r="X606"/>
      <c r="Y606"/>
      <c r="Z606"/>
      <c r="AA606" s="1357"/>
      <c r="AB606" s="1357"/>
      <c r="AC606" s="1357"/>
      <c r="AD606" s="1357"/>
      <c r="AE606" s="1357"/>
      <c r="AF606" s="1357"/>
      <c r="AG606" s="1357"/>
      <c r="AH606" s="1357"/>
      <c r="AI606" s="1357"/>
      <c r="AJ606" s="1357"/>
      <c r="AK606" s="1357"/>
      <c r="AL606"/>
      <c r="AM606"/>
      <c r="AN606"/>
      <c r="AO606"/>
      <c r="AP606"/>
      <c r="AQ606"/>
      <c r="AR606"/>
      <c r="AS606"/>
      <c r="AT606"/>
      <c r="AU606"/>
      <c r="AV606"/>
      <c r="AW606"/>
      <c r="AX606"/>
      <c r="AY606"/>
      <c r="AZ606" s="3"/>
      <c r="BA606" s="3"/>
      <c r="BB606" s="3"/>
      <c r="BC606" s="3"/>
      <c r="BD606" s="3"/>
      <c r="BE606" s="1497">
        <f t="shared" si="1"/>
        <v>0</v>
      </c>
      <c r="BF606" s="1499"/>
      <c r="BG606" s="1489">
        <f t="shared" si="2"/>
        <v>0</v>
      </c>
      <c r="BH606" s="1491"/>
      <c r="BI606" s="1497">
        <f t="shared" si="3"/>
        <v>1</v>
      </c>
      <c r="BJ606" s="1499"/>
      <c r="BK606" s="1489">
        <f t="shared" si="4"/>
        <v>5</v>
      </c>
      <c r="BL606" s="1491"/>
      <c r="BM606" s="3"/>
      <c r="BN606" s="1485">
        <f t="shared" si="5"/>
        <v>0</v>
      </c>
      <c r="BO606" s="1486"/>
      <c r="BP606" s="1486"/>
      <c r="BQ606" s="1486"/>
      <c r="BR606" s="1487"/>
      <c r="BS606" s="1488">
        <f t="shared" si="6"/>
        <v>0</v>
      </c>
      <c r="BT606" s="1488"/>
      <c r="BU606" s="1488"/>
      <c r="BV606" s="1488"/>
      <c r="BW606" s="1488"/>
      <c r="BX606" s="1488">
        <f t="shared" si="7"/>
        <v>5</v>
      </c>
      <c r="BY606" s="1488"/>
      <c r="BZ606" s="1488"/>
      <c r="CA606" s="1488"/>
      <c r="CB606" s="1488"/>
      <c r="CC606" s="1488">
        <f t="shared" si="8"/>
        <v>0</v>
      </c>
      <c r="CD606" s="1488"/>
      <c r="CE606" s="1488"/>
      <c r="CF606" s="1488"/>
      <c r="CG606" s="1488"/>
      <c r="CH606" s="1488">
        <f t="shared" si="9"/>
        <v>0</v>
      </c>
      <c r="CI606" s="1488"/>
      <c r="CJ606" s="1488"/>
      <c r="CK606" s="1488"/>
      <c r="CL606" s="1488"/>
      <c r="CM606" s="1488">
        <f t="shared" si="10"/>
        <v>0</v>
      </c>
      <c r="CN606" s="1488"/>
      <c r="CO606" s="1488"/>
      <c r="CP606" s="1488"/>
      <c r="CQ606" s="1488"/>
      <c r="CR606" s="6"/>
      <c r="CS606" s="1500">
        <f t="shared" si="11"/>
        <v>0</v>
      </c>
      <c r="CT606" s="1500"/>
      <c r="CU606" s="1500"/>
      <c r="CV606" s="1500"/>
      <c r="CW606" s="1500"/>
      <c r="CX606" s="1500">
        <f t="shared" si="12"/>
        <v>0</v>
      </c>
      <c r="CY606" s="1500"/>
      <c r="CZ606" s="1500"/>
      <c r="DA606" s="1500"/>
      <c r="DB606" s="1500"/>
      <c r="DC606" s="1500">
        <f t="shared" si="13"/>
        <v>5</v>
      </c>
      <c r="DD606" s="1500"/>
      <c r="DE606" s="1500"/>
      <c r="DF606" s="1500"/>
      <c r="DG606" s="1500"/>
      <c r="DH606" s="1500">
        <f t="shared" si="14"/>
        <v>0</v>
      </c>
      <c r="DI606" s="1500"/>
      <c r="DJ606" s="1500"/>
      <c r="DK606" s="1500"/>
      <c r="DL606" s="1500"/>
      <c r="DM606" s="1500">
        <f t="shared" si="15"/>
        <v>0</v>
      </c>
      <c r="DN606" s="1500"/>
      <c r="DO606" s="1500"/>
      <c r="DP606" s="1500"/>
      <c r="DQ606" s="1500"/>
      <c r="DR606" s="1500">
        <f t="shared" si="16"/>
        <v>0</v>
      </c>
      <c r="DS606" s="1500"/>
      <c r="DT606" s="1500"/>
      <c r="DU606" s="1500"/>
      <c r="DV606" s="1500"/>
      <c r="DX606" s="1497" t="str">
        <f t="shared" si="17"/>
        <v/>
      </c>
      <c r="DY606" s="1498"/>
      <c r="DZ606" s="1498"/>
      <c r="EA606" s="1498"/>
      <c r="EB606" s="1499"/>
      <c r="EC606" s="1497" t="str">
        <f t="shared" si="18"/>
        <v/>
      </c>
      <c r="ED606" s="1498"/>
      <c r="EE606" s="1498"/>
      <c r="EF606" s="1498"/>
      <c r="EG606" s="1499"/>
      <c r="EH606" s="1497">
        <f t="shared" si="19"/>
        <v>975</v>
      </c>
      <c r="EI606" s="1498"/>
      <c r="EJ606" s="1498"/>
      <c r="EK606" s="1498"/>
      <c r="EL606" s="1499"/>
      <c r="EM606" s="1497" t="str">
        <f t="shared" si="20"/>
        <v/>
      </c>
      <c r="EN606" s="1498"/>
      <c r="EO606" s="1498"/>
      <c r="EP606" s="1498"/>
      <c r="EQ606" s="1499"/>
      <c r="ER606" s="1497" t="str">
        <f t="shared" si="21"/>
        <v/>
      </c>
      <c r="ES606" s="1498"/>
      <c r="ET606" s="1498"/>
      <c r="EU606" s="1498"/>
      <c r="EV606" s="1499"/>
      <c r="EW606" s="1497" t="str">
        <f t="shared" si="22"/>
        <v/>
      </c>
      <c r="EX606" s="1498"/>
      <c r="EY606" s="1498"/>
      <c r="EZ606" s="1498"/>
      <c r="FA606" s="1499"/>
    </row>
    <row r="607" spans="1:157" s="4" customFormat="1" ht="12.95" customHeight="1">
      <c r="A607" s="22"/>
      <c r="B607" t="s">
        <v>20</v>
      </c>
      <c r="C607"/>
      <c r="D607"/>
      <c r="E607"/>
      <c r="F607"/>
      <c r="G607"/>
      <c r="H607"/>
      <c r="I607"/>
      <c r="J607"/>
      <c r="K607"/>
      <c r="L607"/>
      <c r="M607"/>
      <c r="N607" s="1358" t="s">
        <v>676</v>
      </c>
      <c r="O607" s="1358"/>
      <c r="P607"/>
      <c r="Q607"/>
      <c r="R607"/>
      <c r="S607"/>
      <c r="T607" s="22"/>
      <c r="U607" t="s">
        <v>20</v>
      </c>
      <c r="V607"/>
      <c r="W607"/>
      <c r="X607"/>
      <c r="Y607"/>
      <c r="Z607"/>
      <c r="AA607"/>
      <c r="AB607"/>
      <c r="AC607"/>
      <c r="AD607"/>
      <c r="AE607"/>
      <c r="AF607"/>
      <c r="AG607" s="1358" t="s">
        <v>676</v>
      </c>
      <c r="AH607" s="1358"/>
      <c r="AI607"/>
      <c r="AJ607"/>
      <c r="AK607"/>
      <c r="AL607"/>
      <c r="AM607"/>
      <c r="AN607"/>
      <c r="AO607"/>
      <c r="AP607"/>
      <c r="AQ607"/>
      <c r="AR607"/>
      <c r="AS607"/>
      <c r="AT607"/>
      <c r="AU607"/>
      <c r="AV607"/>
      <c r="AW607"/>
      <c r="AX607"/>
      <c r="AY607"/>
      <c r="AZ607" s="3"/>
      <c r="BA607" s="3"/>
      <c r="BB607" s="3"/>
      <c r="BC607" s="3"/>
      <c r="BD607" s="3"/>
      <c r="BE607" s="1497">
        <f t="shared" si="1"/>
        <v>1</v>
      </c>
      <c r="BF607" s="1499"/>
      <c r="BG607" s="1489">
        <f t="shared" si="2"/>
        <v>1</v>
      </c>
      <c r="BH607" s="1491"/>
      <c r="BI607" s="1497">
        <f t="shared" si="3"/>
        <v>0</v>
      </c>
      <c r="BJ607" s="1499"/>
      <c r="BK607" s="1489">
        <f t="shared" si="4"/>
        <v>0</v>
      </c>
      <c r="BL607" s="1491"/>
      <c r="BM607" s="3"/>
      <c r="BN607" s="1485">
        <f t="shared" si="5"/>
        <v>0</v>
      </c>
      <c r="BO607" s="1486"/>
      <c r="BP607" s="1486"/>
      <c r="BQ607" s="1486"/>
      <c r="BR607" s="1487"/>
      <c r="BS607" s="1488">
        <f t="shared" si="6"/>
        <v>0</v>
      </c>
      <c r="BT607" s="1488"/>
      <c r="BU607" s="1488"/>
      <c r="BV607" s="1488"/>
      <c r="BW607" s="1488"/>
      <c r="BX607" s="1488">
        <f t="shared" si="7"/>
        <v>1</v>
      </c>
      <c r="BY607" s="1488"/>
      <c r="BZ607" s="1488"/>
      <c r="CA607" s="1488"/>
      <c r="CB607" s="1488"/>
      <c r="CC607" s="1488">
        <f t="shared" si="8"/>
        <v>0</v>
      </c>
      <c r="CD607" s="1488"/>
      <c r="CE607" s="1488"/>
      <c r="CF607" s="1488"/>
      <c r="CG607" s="1488"/>
      <c r="CH607" s="1488">
        <f t="shared" si="9"/>
        <v>0</v>
      </c>
      <c r="CI607" s="1488"/>
      <c r="CJ607" s="1488"/>
      <c r="CK607" s="1488"/>
      <c r="CL607" s="1488"/>
      <c r="CM607" s="1488">
        <f t="shared" si="10"/>
        <v>0</v>
      </c>
      <c r="CN607" s="1488"/>
      <c r="CO607" s="1488"/>
      <c r="CP607" s="1488"/>
      <c r="CQ607" s="1488"/>
      <c r="CR607" s="6"/>
      <c r="CS607" s="1500">
        <f t="shared" si="11"/>
        <v>0</v>
      </c>
      <c r="CT607" s="1500"/>
      <c r="CU607" s="1500"/>
      <c r="CV607" s="1500"/>
      <c r="CW607" s="1500"/>
      <c r="CX607" s="1500">
        <f t="shared" si="12"/>
        <v>0</v>
      </c>
      <c r="CY607" s="1500"/>
      <c r="CZ607" s="1500"/>
      <c r="DA607" s="1500"/>
      <c r="DB607" s="1500"/>
      <c r="DC607" s="1500">
        <f t="shared" si="13"/>
        <v>0</v>
      </c>
      <c r="DD607" s="1500"/>
      <c r="DE607" s="1500"/>
      <c r="DF607" s="1500"/>
      <c r="DG607" s="1500"/>
      <c r="DH607" s="1500">
        <f t="shared" si="14"/>
        <v>0</v>
      </c>
      <c r="DI607" s="1500"/>
      <c r="DJ607" s="1500"/>
      <c r="DK607" s="1500"/>
      <c r="DL607" s="1500"/>
      <c r="DM607" s="1500">
        <f t="shared" si="15"/>
        <v>0</v>
      </c>
      <c r="DN607" s="1500"/>
      <c r="DO607" s="1500"/>
      <c r="DP607" s="1500"/>
      <c r="DQ607" s="1500"/>
      <c r="DR607" s="1500">
        <f t="shared" si="16"/>
        <v>0</v>
      </c>
      <c r="DS607" s="1500"/>
      <c r="DT607" s="1500"/>
      <c r="DU607" s="1500"/>
      <c r="DV607" s="1500"/>
      <c r="DX607" s="1497" t="str">
        <f t="shared" si="17"/>
        <v/>
      </c>
      <c r="DY607" s="1498"/>
      <c r="DZ607" s="1498"/>
      <c r="EA607" s="1498"/>
      <c r="EB607" s="1499"/>
      <c r="EC607" s="1497" t="str">
        <f t="shared" si="18"/>
        <v/>
      </c>
      <c r="ED607" s="1498"/>
      <c r="EE607" s="1498"/>
      <c r="EF607" s="1498"/>
      <c r="EG607" s="1499"/>
      <c r="EH607" s="1497">
        <f t="shared" si="19"/>
        <v>1346</v>
      </c>
      <c r="EI607" s="1498"/>
      <c r="EJ607" s="1498"/>
      <c r="EK607" s="1498"/>
      <c r="EL607" s="1499"/>
      <c r="EM607" s="1497" t="str">
        <f t="shared" si="20"/>
        <v/>
      </c>
      <c r="EN607" s="1498"/>
      <c r="EO607" s="1498"/>
      <c r="EP607" s="1498"/>
      <c r="EQ607" s="1499"/>
      <c r="ER607" s="1497" t="str">
        <f t="shared" si="21"/>
        <v/>
      </c>
      <c r="ES607" s="1498"/>
      <c r="ET607" s="1498"/>
      <c r="EU607" s="1498"/>
      <c r="EV607" s="1499"/>
      <c r="EW607" s="1497" t="str">
        <f t="shared" si="22"/>
        <v/>
      </c>
      <c r="EX607" s="1498"/>
      <c r="EY607" s="1498"/>
      <c r="EZ607" s="1498"/>
      <c r="FA607" s="1499"/>
    </row>
    <row r="608" spans="1:157" ht="12.95" customHeight="1">
      <c r="A608" s="22"/>
      <c r="T608" s="22"/>
      <c r="AZ608" s="3"/>
      <c r="BA608" s="3"/>
      <c r="BB608" s="3"/>
      <c r="BC608" s="3"/>
      <c r="BD608" s="3"/>
      <c r="BE608" s="1497">
        <f t="shared" si="1"/>
        <v>1</v>
      </c>
      <c r="BF608" s="1499"/>
      <c r="BG608" s="1489">
        <f t="shared" si="2"/>
        <v>3</v>
      </c>
      <c r="BH608" s="1491"/>
      <c r="BI608" s="1497">
        <f t="shared" si="3"/>
        <v>0</v>
      </c>
      <c r="BJ608" s="1499"/>
      <c r="BK608" s="1489">
        <f t="shared" si="4"/>
        <v>0</v>
      </c>
      <c r="BL608" s="1491"/>
      <c r="BM608" s="3"/>
      <c r="BN608" s="1485">
        <f t="shared" si="5"/>
        <v>0</v>
      </c>
      <c r="BO608" s="1486"/>
      <c r="BP608" s="1486"/>
      <c r="BQ608" s="1486"/>
      <c r="BR608" s="1487"/>
      <c r="BS608" s="1488">
        <f t="shared" si="6"/>
        <v>0</v>
      </c>
      <c r="BT608" s="1488"/>
      <c r="BU608" s="1488"/>
      <c r="BV608" s="1488"/>
      <c r="BW608" s="1488"/>
      <c r="BX608" s="1488">
        <f t="shared" si="7"/>
        <v>3</v>
      </c>
      <c r="BY608" s="1488"/>
      <c r="BZ608" s="1488"/>
      <c r="CA608" s="1488"/>
      <c r="CB608" s="1488"/>
      <c r="CC608" s="1488">
        <f t="shared" si="8"/>
        <v>0</v>
      </c>
      <c r="CD608" s="1488"/>
      <c r="CE608" s="1488"/>
      <c r="CF608" s="1488"/>
      <c r="CG608" s="1488"/>
      <c r="CH608" s="1488">
        <f t="shared" si="9"/>
        <v>0</v>
      </c>
      <c r="CI608" s="1488"/>
      <c r="CJ608" s="1488"/>
      <c r="CK608" s="1488"/>
      <c r="CL608" s="1488"/>
      <c r="CM608" s="1488">
        <f t="shared" si="10"/>
        <v>0</v>
      </c>
      <c r="CN608" s="1488"/>
      <c r="CO608" s="1488"/>
      <c r="CP608" s="1488"/>
      <c r="CQ608" s="1488"/>
      <c r="CR608" s="6"/>
      <c r="CS608" s="1500">
        <f t="shared" si="11"/>
        <v>0</v>
      </c>
      <c r="CT608" s="1500"/>
      <c r="CU608" s="1500"/>
      <c r="CV608" s="1500"/>
      <c r="CW608" s="1500"/>
      <c r="CX608" s="1500">
        <f t="shared" si="12"/>
        <v>0</v>
      </c>
      <c r="CY608" s="1500"/>
      <c r="CZ608" s="1500"/>
      <c r="DA608" s="1500"/>
      <c r="DB608" s="1500"/>
      <c r="DC608" s="1500">
        <f t="shared" si="13"/>
        <v>0</v>
      </c>
      <c r="DD608" s="1500"/>
      <c r="DE608" s="1500"/>
      <c r="DF608" s="1500"/>
      <c r="DG608" s="1500"/>
      <c r="DH608" s="1500">
        <f t="shared" si="14"/>
        <v>0</v>
      </c>
      <c r="DI608" s="1500"/>
      <c r="DJ608" s="1500"/>
      <c r="DK608" s="1500"/>
      <c r="DL608" s="1500"/>
      <c r="DM608" s="1500">
        <f t="shared" si="15"/>
        <v>0</v>
      </c>
      <c r="DN608" s="1500"/>
      <c r="DO608" s="1500"/>
      <c r="DP608" s="1500"/>
      <c r="DQ608" s="1500"/>
      <c r="DR608" s="1500">
        <f t="shared" si="16"/>
        <v>0</v>
      </c>
      <c r="DS608" s="1500"/>
      <c r="DT608" s="1500"/>
      <c r="DU608" s="1500"/>
      <c r="DV608" s="1500"/>
      <c r="DX608" s="1497" t="str">
        <f t="shared" si="17"/>
        <v/>
      </c>
      <c r="DY608" s="1498"/>
      <c r="DZ608" s="1498"/>
      <c r="EA608" s="1498"/>
      <c r="EB608" s="1499"/>
      <c r="EC608" s="1497" t="str">
        <f t="shared" si="18"/>
        <v/>
      </c>
      <c r="ED608" s="1498"/>
      <c r="EE608" s="1498"/>
      <c r="EF608" s="1498"/>
      <c r="EG608" s="1499"/>
      <c r="EH608" s="1497">
        <f t="shared" si="19"/>
        <v>1346</v>
      </c>
      <c r="EI608" s="1498"/>
      <c r="EJ608" s="1498"/>
      <c r="EK608" s="1498"/>
      <c r="EL608" s="1499"/>
      <c r="EM608" s="1497" t="str">
        <f t="shared" si="20"/>
        <v/>
      </c>
      <c r="EN608" s="1498"/>
      <c r="EO608" s="1498"/>
      <c r="EP608" s="1498"/>
      <c r="EQ608" s="1499"/>
      <c r="ER608" s="1497" t="str">
        <f t="shared" si="21"/>
        <v/>
      </c>
      <c r="ES608" s="1498"/>
      <c r="ET608" s="1498"/>
      <c r="EU608" s="1498"/>
      <c r="EV608" s="1499"/>
      <c r="EW608" s="1497" t="str">
        <f t="shared" si="22"/>
        <v/>
      </c>
      <c r="EX608" s="1498"/>
      <c r="EY608" s="1498"/>
      <c r="EZ608" s="1498"/>
      <c r="FA608" s="1499"/>
    </row>
    <row r="609" spans="1:157" ht="12.95" customHeight="1">
      <c r="A609" s="55" t="s">
        <v>362</v>
      </c>
      <c r="B609" t="s">
        <v>470</v>
      </c>
      <c r="G609" s="1355">
        <f>C564</f>
        <v>0</v>
      </c>
      <c r="H609" s="1355"/>
      <c r="I609" s="1355"/>
      <c r="J609" s="1355"/>
      <c r="K609" s="1355"/>
      <c r="L609" s="1355"/>
      <c r="M609" s="1355"/>
      <c r="N609" s="1355"/>
      <c r="O609" s="1355"/>
      <c r="P609" s="1355"/>
      <c r="Q609" s="1355"/>
      <c r="R609" s="1355"/>
      <c r="T609" s="55" t="s">
        <v>363</v>
      </c>
      <c r="U609" t="s">
        <v>470</v>
      </c>
      <c r="Z609" s="1355">
        <f>C565</f>
        <v>0</v>
      </c>
      <c r="AA609" s="1355"/>
      <c r="AB609" s="1355"/>
      <c r="AC609" s="1355"/>
      <c r="AD609" s="1355"/>
      <c r="AE609" s="1355"/>
      <c r="AF609" s="1355"/>
      <c r="AG609" s="1355"/>
      <c r="AH609" s="1355"/>
      <c r="AI609" s="1355"/>
      <c r="AJ609" s="1355"/>
      <c r="AK609" s="1355"/>
      <c r="AZ609" s="3"/>
      <c r="BA609" s="3"/>
      <c r="BB609" s="3"/>
      <c r="BC609" s="3"/>
      <c r="BD609" s="3"/>
      <c r="BE609" s="1497">
        <f t="shared" si="1"/>
        <v>1</v>
      </c>
      <c r="BF609" s="1499"/>
      <c r="BG609" s="1489">
        <f t="shared" si="2"/>
        <v>10</v>
      </c>
      <c r="BH609" s="1491"/>
      <c r="BI609" s="1497">
        <f t="shared" si="3"/>
        <v>0</v>
      </c>
      <c r="BJ609" s="1499"/>
      <c r="BK609" s="1489">
        <f t="shared" si="4"/>
        <v>0</v>
      </c>
      <c r="BL609" s="1491"/>
      <c r="BM609" s="3"/>
      <c r="BN609" s="1485">
        <f t="shared" si="5"/>
        <v>0</v>
      </c>
      <c r="BO609" s="1486"/>
      <c r="BP609" s="1486"/>
      <c r="BQ609" s="1486"/>
      <c r="BR609" s="1487"/>
      <c r="BS609" s="1488">
        <f t="shared" si="6"/>
        <v>0</v>
      </c>
      <c r="BT609" s="1488"/>
      <c r="BU609" s="1488"/>
      <c r="BV609" s="1488"/>
      <c r="BW609" s="1488"/>
      <c r="BX609" s="1488">
        <f t="shared" si="7"/>
        <v>10</v>
      </c>
      <c r="BY609" s="1488"/>
      <c r="BZ609" s="1488"/>
      <c r="CA609" s="1488"/>
      <c r="CB609" s="1488"/>
      <c r="CC609" s="1488">
        <f t="shared" si="8"/>
        <v>0</v>
      </c>
      <c r="CD609" s="1488"/>
      <c r="CE609" s="1488"/>
      <c r="CF609" s="1488"/>
      <c r="CG609" s="1488"/>
      <c r="CH609" s="1488">
        <f t="shared" si="9"/>
        <v>0</v>
      </c>
      <c r="CI609" s="1488"/>
      <c r="CJ609" s="1488"/>
      <c r="CK609" s="1488"/>
      <c r="CL609" s="1488"/>
      <c r="CM609" s="1488">
        <f t="shared" si="10"/>
        <v>0</v>
      </c>
      <c r="CN609" s="1488"/>
      <c r="CO609" s="1488"/>
      <c r="CP609" s="1488"/>
      <c r="CQ609" s="1488"/>
      <c r="CR609" s="6"/>
      <c r="CS609" s="1500">
        <f t="shared" si="11"/>
        <v>0</v>
      </c>
      <c r="CT609" s="1500"/>
      <c r="CU609" s="1500"/>
      <c r="CV609" s="1500"/>
      <c r="CW609" s="1500"/>
      <c r="CX609" s="1500">
        <f t="shared" si="12"/>
        <v>0</v>
      </c>
      <c r="CY609" s="1500"/>
      <c r="CZ609" s="1500"/>
      <c r="DA609" s="1500"/>
      <c r="DB609" s="1500"/>
      <c r="DC609" s="1500">
        <f t="shared" si="13"/>
        <v>0</v>
      </c>
      <c r="DD609" s="1500"/>
      <c r="DE609" s="1500"/>
      <c r="DF609" s="1500"/>
      <c r="DG609" s="1500"/>
      <c r="DH609" s="1500">
        <f t="shared" si="14"/>
        <v>0</v>
      </c>
      <c r="DI609" s="1500"/>
      <c r="DJ609" s="1500"/>
      <c r="DK609" s="1500"/>
      <c r="DL609" s="1500"/>
      <c r="DM609" s="1500">
        <f t="shared" si="15"/>
        <v>0</v>
      </c>
      <c r="DN609" s="1500"/>
      <c r="DO609" s="1500"/>
      <c r="DP609" s="1500"/>
      <c r="DQ609" s="1500"/>
      <c r="DR609" s="1500">
        <f t="shared" si="16"/>
        <v>0</v>
      </c>
      <c r="DS609" s="1500"/>
      <c r="DT609" s="1500"/>
      <c r="DU609" s="1500"/>
      <c r="DV609" s="1500"/>
      <c r="DX609" s="1497" t="str">
        <f t="shared" si="17"/>
        <v/>
      </c>
      <c r="DY609" s="1498"/>
      <c r="DZ609" s="1498"/>
      <c r="EA609" s="1498"/>
      <c r="EB609" s="1499"/>
      <c r="EC609" s="1497" t="str">
        <f t="shared" si="18"/>
        <v/>
      </c>
      <c r="ED609" s="1498"/>
      <c r="EE609" s="1498"/>
      <c r="EF609" s="1498"/>
      <c r="EG609" s="1499"/>
      <c r="EH609" s="1497">
        <f t="shared" si="19"/>
        <v>1716</v>
      </c>
      <c r="EI609" s="1498"/>
      <c r="EJ609" s="1498"/>
      <c r="EK609" s="1498"/>
      <c r="EL609" s="1499"/>
      <c r="EM609" s="1497" t="str">
        <f t="shared" si="20"/>
        <v/>
      </c>
      <c r="EN609" s="1498"/>
      <c r="EO609" s="1498"/>
      <c r="EP609" s="1498"/>
      <c r="EQ609" s="1499"/>
      <c r="ER609" s="1497" t="str">
        <f t="shared" si="21"/>
        <v/>
      </c>
      <c r="ES609" s="1498"/>
      <c r="ET609" s="1498"/>
      <c r="EU609" s="1498"/>
      <c r="EV609" s="1499"/>
      <c r="EW609" s="1497" t="str">
        <f t="shared" si="22"/>
        <v/>
      </c>
      <c r="EX609" s="1498"/>
      <c r="EY609" s="1498"/>
      <c r="EZ609" s="1498"/>
      <c r="FA609" s="1499"/>
    </row>
    <row r="610" spans="1:157" ht="12.95" customHeight="1">
      <c r="B610" t="s">
        <v>85</v>
      </c>
      <c r="G610" s="1357"/>
      <c r="H610" s="1357"/>
      <c r="I610" s="1357"/>
      <c r="J610" s="1357"/>
      <c r="K610" s="1357"/>
      <c r="L610" s="1357"/>
      <c r="M610" s="1357"/>
      <c r="N610" s="1357"/>
      <c r="O610" s="1357"/>
      <c r="P610" s="1357"/>
      <c r="Q610" s="1357"/>
      <c r="R610" s="1357"/>
      <c r="U610" t="s">
        <v>85</v>
      </c>
      <c r="Z610" s="1357"/>
      <c r="AA610" s="1357"/>
      <c r="AB610" s="1357"/>
      <c r="AC610" s="1357"/>
      <c r="AD610" s="1357"/>
      <c r="AE610" s="1357"/>
      <c r="AF610" s="1357"/>
      <c r="AG610" s="1357"/>
      <c r="AH610" s="1357"/>
      <c r="AI610" s="1357"/>
      <c r="AJ610" s="1357"/>
      <c r="AK610" s="1357"/>
      <c r="AZ610" s="3"/>
      <c r="BA610" s="3"/>
      <c r="BB610" s="3"/>
      <c r="BC610" s="3"/>
      <c r="BD610" s="3"/>
      <c r="BE610" s="1497">
        <f t="shared" si="1"/>
        <v>0</v>
      </c>
      <c r="BF610" s="1499"/>
      <c r="BG610" s="1489">
        <f t="shared" si="2"/>
        <v>0</v>
      </c>
      <c r="BH610" s="1491"/>
      <c r="BI610" s="1497">
        <f t="shared" si="3"/>
        <v>0</v>
      </c>
      <c r="BJ610" s="1499"/>
      <c r="BK610" s="1489">
        <f t="shared" si="4"/>
        <v>0</v>
      </c>
      <c r="BL610" s="1491"/>
      <c r="BM610" s="3"/>
      <c r="BN610" s="1485">
        <f t="shared" si="5"/>
        <v>0</v>
      </c>
      <c r="BO610" s="1486"/>
      <c r="BP610" s="1486"/>
      <c r="BQ610" s="1486"/>
      <c r="BR610" s="1487"/>
      <c r="BS610" s="1488">
        <f t="shared" si="6"/>
        <v>0</v>
      </c>
      <c r="BT610" s="1488"/>
      <c r="BU610" s="1488"/>
      <c r="BV610" s="1488"/>
      <c r="BW610" s="1488"/>
      <c r="BX610" s="1488">
        <f t="shared" si="7"/>
        <v>12</v>
      </c>
      <c r="BY610" s="1488"/>
      <c r="BZ610" s="1488"/>
      <c r="CA610" s="1488"/>
      <c r="CB610" s="1488"/>
      <c r="CC610" s="1488">
        <f t="shared" si="8"/>
        <v>0</v>
      </c>
      <c r="CD610" s="1488"/>
      <c r="CE610" s="1488"/>
      <c r="CF610" s="1488"/>
      <c r="CG610" s="1488"/>
      <c r="CH610" s="1488">
        <f t="shared" si="9"/>
        <v>0</v>
      </c>
      <c r="CI610" s="1488"/>
      <c r="CJ610" s="1488"/>
      <c r="CK610" s="1488"/>
      <c r="CL610" s="1488"/>
      <c r="CM610" s="1488">
        <f t="shared" si="10"/>
        <v>0</v>
      </c>
      <c r="CN610" s="1488"/>
      <c r="CO610" s="1488"/>
      <c r="CP610" s="1488"/>
      <c r="CQ610" s="1488"/>
      <c r="CR610" s="6"/>
      <c r="CS610" s="1500">
        <f t="shared" si="11"/>
        <v>0</v>
      </c>
      <c r="CT610" s="1500"/>
      <c r="CU610" s="1500"/>
      <c r="CV610" s="1500"/>
      <c r="CW610" s="1500"/>
      <c r="CX610" s="1500">
        <f t="shared" si="12"/>
        <v>0</v>
      </c>
      <c r="CY610" s="1500"/>
      <c r="CZ610" s="1500"/>
      <c r="DA610" s="1500"/>
      <c r="DB610" s="1500"/>
      <c r="DC610" s="1500">
        <f t="shared" si="13"/>
        <v>0</v>
      </c>
      <c r="DD610" s="1500"/>
      <c r="DE610" s="1500"/>
      <c r="DF610" s="1500"/>
      <c r="DG610" s="1500"/>
      <c r="DH610" s="1500">
        <f t="shared" si="14"/>
        <v>0</v>
      </c>
      <c r="DI610" s="1500"/>
      <c r="DJ610" s="1500"/>
      <c r="DK610" s="1500"/>
      <c r="DL610" s="1500"/>
      <c r="DM610" s="1500">
        <f t="shared" si="15"/>
        <v>0</v>
      </c>
      <c r="DN610" s="1500"/>
      <c r="DO610" s="1500"/>
      <c r="DP610" s="1500"/>
      <c r="DQ610" s="1500"/>
      <c r="DR610" s="1500">
        <f t="shared" si="16"/>
        <v>0</v>
      </c>
      <c r="DS610" s="1500"/>
      <c r="DT610" s="1500"/>
      <c r="DU610" s="1500"/>
      <c r="DV610" s="1500"/>
      <c r="DX610" s="1497" t="str">
        <f t="shared" si="17"/>
        <v/>
      </c>
      <c r="DY610" s="1498"/>
      <c r="DZ610" s="1498"/>
      <c r="EA610" s="1498"/>
      <c r="EB610" s="1499"/>
      <c r="EC610" s="1497" t="str">
        <f t="shared" si="18"/>
        <v/>
      </c>
      <c r="ED610" s="1498"/>
      <c r="EE610" s="1498"/>
      <c r="EF610" s="1498"/>
      <c r="EG610" s="1499"/>
      <c r="EH610" s="1497">
        <f t="shared" si="19"/>
        <v>2087</v>
      </c>
      <c r="EI610" s="1498"/>
      <c r="EJ610" s="1498"/>
      <c r="EK610" s="1498"/>
      <c r="EL610" s="1499"/>
      <c r="EM610" s="1497" t="str">
        <f t="shared" si="20"/>
        <v/>
      </c>
      <c r="EN610" s="1498"/>
      <c r="EO610" s="1498"/>
      <c r="EP610" s="1498"/>
      <c r="EQ610" s="1499"/>
      <c r="ER610" s="1497" t="str">
        <f t="shared" si="21"/>
        <v/>
      </c>
      <c r="ES610" s="1498"/>
      <c r="ET610" s="1498"/>
      <c r="EU610" s="1498"/>
      <c r="EV610" s="1499"/>
      <c r="EW610" s="1497" t="str">
        <f t="shared" si="22"/>
        <v/>
      </c>
      <c r="EX610" s="1498"/>
      <c r="EY610" s="1498"/>
      <c r="EZ610" s="1498"/>
      <c r="FA610" s="1499"/>
    </row>
    <row r="611" spans="1:157" ht="12.95" customHeight="1">
      <c r="B611" t="s">
        <v>587</v>
      </c>
      <c r="G611" s="1357"/>
      <c r="H611" s="1357"/>
      <c r="I611" s="1357"/>
      <c r="J611" s="1357"/>
      <c r="K611" s="1357"/>
      <c r="L611" s="1357"/>
      <c r="M611" s="1357"/>
      <c r="N611" s="1357"/>
      <c r="O611" s="1357"/>
      <c r="P611" s="1357"/>
      <c r="Q611" s="1357"/>
      <c r="R611" s="1357"/>
      <c r="U611" t="s">
        <v>587</v>
      </c>
      <c r="Z611" s="1371"/>
      <c r="AA611" s="1371"/>
      <c r="AB611" s="1371"/>
      <c r="AC611" s="1371"/>
      <c r="AD611" s="1371"/>
      <c r="AE611" s="1371"/>
      <c r="AF611" s="1371"/>
      <c r="AG611" s="1371"/>
      <c r="AH611" s="1371"/>
      <c r="AI611" s="1371"/>
      <c r="AJ611" s="1371"/>
      <c r="AK611" s="1371"/>
      <c r="AZ611" s="3"/>
      <c r="BA611" s="3"/>
      <c r="BB611" s="3"/>
      <c r="BC611" s="3"/>
      <c r="BD611" s="3"/>
      <c r="BE611" s="1497">
        <f t="shared" si="1"/>
        <v>0</v>
      </c>
      <c r="BF611" s="1499"/>
      <c r="BG611" s="1489">
        <f t="shared" si="2"/>
        <v>0</v>
      </c>
      <c r="BH611" s="1491"/>
      <c r="BI611" s="1497">
        <f t="shared" si="3"/>
        <v>1</v>
      </c>
      <c r="BJ611" s="1499"/>
      <c r="BK611" s="1489">
        <f t="shared" si="4"/>
        <v>5</v>
      </c>
      <c r="BL611" s="1491"/>
      <c r="BM611" s="3"/>
      <c r="BN611" s="1485">
        <f t="shared" si="5"/>
        <v>0</v>
      </c>
      <c r="BO611" s="1486"/>
      <c r="BP611" s="1486"/>
      <c r="BQ611" s="1486"/>
      <c r="BR611" s="1487"/>
      <c r="BS611" s="1488">
        <f t="shared" si="6"/>
        <v>0</v>
      </c>
      <c r="BT611" s="1488"/>
      <c r="BU611" s="1488"/>
      <c r="BV611" s="1488"/>
      <c r="BW611" s="1488"/>
      <c r="BX611" s="1488">
        <f t="shared" si="7"/>
        <v>0</v>
      </c>
      <c r="BY611" s="1488"/>
      <c r="BZ611" s="1488"/>
      <c r="CA611" s="1488"/>
      <c r="CB611" s="1488"/>
      <c r="CC611" s="1488">
        <f t="shared" si="8"/>
        <v>5</v>
      </c>
      <c r="CD611" s="1488"/>
      <c r="CE611" s="1488"/>
      <c r="CF611" s="1488"/>
      <c r="CG611" s="1488"/>
      <c r="CH611" s="1488">
        <f t="shared" si="9"/>
        <v>0</v>
      </c>
      <c r="CI611" s="1488"/>
      <c r="CJ611" s="1488"/>
      <c r="CK611" s="1488"/>
      <c r="CL611" s="1488"/>
      <c r="CM611" s="1488">
        <f t="shared" si="10"/>
        <v>0</v>
      </c>
      <c r="CN611" s="1488"/>
      <c r="CO611" s="1488"/>
      <c r="CP611" s="1488"/>
      <c r="CQ611" s="1488"/>
      <c r="CR611" s="6"/>
      <c r="CS611" s="1500">
        <f t="shared" si="11"/>
        <v>0</v>
      </c>
      <c r="CT611" s="1500"/>
      <c r="CU611" s="1500"/>
      <c r="CV611" s="1500"/>
      <c r="CW611" s="1500"/>
      <c r="CX611" s="1500">
        <f t="shared" si="12"/>
        <v>0</v>
      </c>
      <c r="CY611" s="1500"/>
      <c r="CZ611" s="1500"/>
      <c r="DA611" s="1500"/>
      <c r="DB611" s="1500"/>
      <c r="DC611" s="1500">
        <f t="shared" si="13"/>
        <v>0</v>
      </c>
      <c r="DD611" s="1500"/>
      <c r="DE611" s="1500"/>
      <c r="DF611" s="1500"/>
      <c r="DG611" s="1500"/>
      <c r="DH611" s="1500">
        <f t="shared" si="14"/>
        <v>5</v>
      </c>
      <c r="DI611" s="1500"/>
      <c r="DJ611" s="1500"/>
      <c r="DK611" s="1500"/>
      <c r="DL611" s="1500"/>
      <c r="DM611" s="1500">
        <f t="shared" si="15"/>
        <v>0</v>
      </c>
      <c r="DN611" s="1500"/>
      <c r="DO611" s="1500"/>
      <c r="DP611" s="1500"/>
      <c r="DQ611" s="1500"/>
      <c r="DR611" s="1500">
        <f t="shared" si="16"/>
        <v>0</v>
      </c>
      <c r="DS611" s="1500"/>
      <c r="DT611" s="1500"/>
      <c r="DU611" s="1500"/>
      <c r="DV611" s="1500"/>
      <c r="DX611" s="1497" t="str">
        <f t="shared" si="17"/>
        <v/>
      </c>
      <c r="DY611" s="1498"/>
      <c r="DZ611" s="1498"/>
      <c r="EA611" s="1498"/>
      <c r="EB611" s="1499"/>
      <c r="EC611" s="1497" t="str">
        <f t="shared" si="18"/>
        <v/>
      </c>
      <c r="ED611" s="1498"/>
      <c r="EE611" s="1498"/>
      <c r="EF611" s="1498"/>
      <c r="EG611" s="1499"/>
      <c r="EH611" s="1497" t="str">
        <f t="shared" si="19"/>
        <v/>
      </c>
      <c r="EI611" s="1498"/>
      <c r="EJ611" s="1498"/>
      <c r="EK611" s="1498"/>
      <c r="EL611" s="1499"/>
      <c r="EM611" s="1497">
        <f t="shared" si="20"/>
        <v>1107</v>
      </c>
      <c r="EN611" s="1498"/>
      <c r="EO611" s="1498"/>
      <c r="EP611" s="1498"/>
      <c r="EQ611" s="1499"/>
      <c r="ER611" s="1497" t="str">
        <f t="shared" si="21"/>
        <v/>
      </c>
      <c r="ES611" s="1498"/>
      <c r="ET611" s="1498"/>
      <c r="EU611" s="1498"/>
      <c r="EV611" s="1499"/>
      <c r="EW611" s="1497" t="str">
        <f t="shared" si="22"/>
        <v/>
      </c>
      <c r="EX611" s="1498"/>
      <c r="EY611" s="1498"/>
      <c r="EZ611" s="1498"/>
      <c r="FA611" s="1499"/>
    </row>
    <row r="612" spans="1:157" ht="12.95" customHeight="1">
      <c r="B612" t="s">
        <v>17</v>
      </c>
      <c r="G612" s="1357"/>
      <c r="H612" s="1357"/>
      <c r="I612" s="1357"/>
      <c r="J612" s="1357"/>
      <c r="K612" s="1357"/>
      <c r="L612" s="1357"/>
      <c r="M612" s="1357"/>
      <c r="N612" s="1357"/>
      <c r="O612" s="1357"/>
      <c r="P612" s="1357"/>
      <c r="Q612" s="1357"/>
      <c r="R612" s="1357"/>
      <c r="U612" t="s">
        <v>17</v>
      </c>
      <c r="Z612" s="1371"/>
      <c r="AA612" s="1371"/>
      <c r="AB612" s="1371"/>
      <c r="AC612" s="1371"/>
      <c r="AD612" s="1371"/>
      <c r="AE612" s="1371"/>
      <c r="AF612" s="1371"/>
      <c r="AG612" s="1371"/>
      <c r="AH612" s="1371"/>
      <c r="AI612" s="1371"/>
      <c r="AJ612" s="1371"/>
      <c r="AK612" s="1371"/>
      <c r="AZ612" s="3"/>
      <c r="BA612" s="3"/>
      <c r="BB612" s="3"/>
      <c r="BC612" s="3"/>
      <c r="BD612" s="3"/>
      <c r="BE612" s="1497">
        <f t="shared" si="1"/>
        <v>1</v>
      </c>
      <c r="BF612" s="1499"/>
      <c r="BG612" s="1489">
        <f t="shared" si="2"/>
        <v>1</v>
      </c>
      <c r="BH612" s="1491"/>
      <c r="BI612" s="1497">
        <f t="shared" si="3"/>
        <v>0</v>
      </c>
      <c r="BJ612" s="1499"/>
      <c r="BK612" s="1489">
        <f t="shared" si="4"/>
        <v>0</v>
      </c>
      <c r="BL612" s="1491"/>
      <c r="BM612" s="3"/>
      <c r="BN612" s="1485">
        <f t="shared" si="5"/>
        <v>0</v>
      </c>
      <c r="BO612" s="1486"/>
      <c r="BP612" s="1486"/>
      <c r="BQ612" s="1486"/>
      <c r="BR612" s="1487"/>
      <c r="BS612" s="1488">
        <f t="shared" si="6"/>
        <v>0</v>
      </c>
      <c r="BT612" s="1488"/>
      <c r="BU612" s="1488"/>
      <c r="BV612" s="1488"/>
      <c r="BW612" s="1488"/>
      <c r="BX612" s="1488">
        <f t="shared" si="7"/>
        <v>0</v>
      </c>
      <c r="BY612" s="1488"/>
      <c r="BZ612" s="1488"/>
      <c r="CA612" s="1488"/>
      <c r="CB612" s="1488"/>
      <c r="CC612" s="1488">
        <f t="shared" si="8"/>
        <v>1</v>
      </c>
      <c r="CD612" s="1488"/>
      <c r="CE612" s="1488"/>
      <c r="CF612" s="1488"/>
      <c r="CG612" s="1488"/>
      <c r="CH612" s="1488">
        <f t="shared" si="9"/>
        <v>0</v>
      </c>
      <c r="CI612" s="1488"/>
      <c r="CJ612" s="1488"/>
      <c r="CK612" s="1488"/>
      <c r="CL612" s="1488"/>
      <c r="CM612" s="1488">
        <f t="shared" si="10"/>
        <v>0</v>
      </c>
      <c r="CN612" s="1488"/>
      <c r="CO612" s="1488"/>
      <c r="CP612" s="1488"/>
      <c r="CQ612" s="1488"/>
      <c r="CR612" s="6"/>
      <c r="CS612" s="1500">
        <f t="shared" si="11"/>
        <v>0</v>
      </c>
      <c r="CT612" s="1500"/>
      <c r="CU612" s="1500"/>
      <c r="CV612" s="1500"/>
      <c r="CW612" s="1500"/>
      <c r="CX612" s="1500">
        <f t="shared" si="12"/>
        <v>0</v>
      </c>
      <c r="CY612" s="1500"/>
      <c r="CZ612" s="1500"/>
      <c r="DA612" s="1500"/>
      <c r="DB612" s="1500"/>
      <c r="DC612" s="1500">
        <f t="shared" si="13"/>
        <v>0</v>
      </c>
      <c r="DD612" s="1500"/>
      <c r="DE612" s="1500"/>
      <c r="DF612" s="1500"/>
      <c r="DG612" s="1500"/>
      <c r="DH612" s="1500">
        <f t="shared" si="14"/>
        <v>0</v>
      </c>
      <c r="DI612" s="1500"/>
      <c r="DJ612" s="1500"/>
      <c r="DK612" s="1500"/>
      <c r="DL612" s="1500"/>
      <c r="DM612" s="1500">
        <f t="shared" si="15"/>
        <v>0</v>
      </c>
      <c r="DN612" s="1500"/>
      <c r="DO612" s="1500"/>
      <c r="DP612" s="1500"/>
      <c r="DQ612" s="1500"/>
      <c r="DR612" s="1500">
        <f t="shared" si="16"/>
        <v>0</v>
      </c>
      <c r="DS612" s="1500"/>
      <c r="DT612" s="1500"/>
      <c r="DU612" s="1500"/>
      <c r="DV612" s="1500"/>
      <c r="DX612" s="1497" t="str">
        <f t="shared" si="17"/>
        <v/>
      </c>
      <c r="DY612" s="1498"/>
      <c r="DZ612" s="1498"/>
      <c r="EA612" s="1498"/>
      <c r="EB612" s="1499"/>
      <c r="EC612" s="1497" t="str">
        <f t="shared" si="18"/>
        <v/>
      </c>
      <c r="ED612" s="1498"/>
      <c r="EE612" s="1498"/>
      <c r="EF612" s="1498"/>
      <c r="EG612" s="1499"/>
      <c r="EH612" s="1497" t="str">
        <f t="shared" si="19"/>
        <v/>
      </c>
      <c r="EI612" s="1498"/>
      <c r="EJ612" s="1498"/>
      <c r="EK612" s="1498"/>
      <c r="EL612" s="1499"/>
      <c r="EM612" s="1497">
        <f t="shared" si="20"/>
        <v>1536</v>
      </c>
      <c r="EN612" s="1498"/>
      <c r="EO612" s="1498"/>
      <c r="EP612" s="1498"/>
      <c r="EQ612" s="1499"/>
      <c r="ER612" s="1497" t="str">
        <f t="shared" si="21"/>
        <v/>
      </c>
      <c r="ES612" s="1498"/>
      <c r="ET612" s="1498"/>
      <c r="EU612" s="1498"/>
      <c r="EV612" s="1499"/>
      <c r="EW612" s="1497" t="str">
        <f t="shared" si="22"/>
        <v/>
      </c>
      <c r="EX612" s="1498"/>
      <c r="EY612" s="1498"/>
      <c r="EZ612" s="1498"/>
      <c r="FA612" s="1499"/>
    </row>
    <row r="613" spans="1:157" ht="12.95" customHeight="1">
      <c r="B613" t="s">
        <v>316</v>
      </c>
      <c r="G613" s="1460"/>
      <c r="H613" s="1460"/>
      <c r="I613" s="1460"/>
      <c r="J613" s="1460"/>
      <c r="K613" s="1460"/>
      <c r="L613" s="1460"/>
      <c r="O613" s="33" t="s">
        <v>206</v>
      </c>
      <c r="P613" s="1455"/>
      <c r="Q613" s="1455"/>
      <c r="R613" s="1455"/>
      <c r="U613" t="s">
        <v>316</v>
      </c>
      <c r="Z613" s="1460"/>
      <c r="AA613" s="1460"/>
      <c r="AB613" s="1460"/>
      <c r="AC613" s="1460"/>
      <c r="AD613" s="1460"/>
      <c r="AE613" s="1460"/>
      <c r="AH613" s="33" t="s">
        <v>206</v>
      </c>
      <c r="AI613" s="1455"/>
      <c r="AJ613" s="1455"/>
      <c r="AK613" s="1455"/>
      <c r="AZ613" s="3"/>
      <c r="BA613" s="3"/>
      <c r="BB613" s="3"/>
      <c r="BC613" s="3"/>
      <c r="BD613" s="3"/>
      <c r="BE613" s="1497">
        <f t="shared" si="1"/>
        <v>1</v>
      </c>
      <c r="BF613" s="1499"/>
      <c r="BG613" s="1489">
        <f t="shared" si="2"/>
        <v>3</v>
      </c>
      <c r="BH613" s="1491"/>
      <c r="BI613" s="1497">
        <f t="shared" si="3"/>
        <v>0</v>
      </c>
      <c r="BJ613" s="1499"/>
      <c r="BK613" s="1489">
        <f t="shared" si="4"/>
        <v>0</v>
      </c>
      <c r="BL613" s="1491"/>
      <c r="BM613" s="3"/>
      <c r="BN613" s="1485">
        <f t="shared" si="5"/>
        <v>0</v>
      </c>
      <c r="BO613" s="1486"/>
      <c r="BP613" s="1486"/>
      <c r="BQ613" s="1486"/>
      <c r="BR613" s="1487"/>
      <c r="BS613" s="1488">
        <f t="shared" si="6"/>
        <v>0</v>
      </c>
      <c r="BT613" s="1488"/>
      <c r="BU613" s="1488"/>
      <c r="BV613" s="1488"/>
      <c r="BW613" s="1488"/>
      <c r="BX613" s="1488">
        <f t="shared" si="7"/>
        <v>0</v>
      </c>
      <c r="BY613" s="1488"/>
      <c r="BZ613" s="1488"/>
      <c r="CA613" s="1488"/>
      <c r="CB613" s="1488"/>
      <c r="CC613" s="1488">
        <f t="shared" si="8"/>
        <v>3</v>
      </c>
      <c r="CD613" s="1488"/>
      <c r="CE613" s="1488"/>
      <c r="CF613" s="1488"/>
      <c r="CG613" s="1488"/>
      <c r="CH613" s="1488">
        <f t="shared" si="9"/>
        <v>0</v>
      </c>
      <c r="CI613" s="1488"/>
      <c r="CJ613" s="1488"/>
      <c r="CK613" s="1488"/>
      <c r="CL613" s="1488"/>
      <c r="CM613" s="1488">
        <f t="shared" si="10"/>
        <v>0</v>
      </c>
      <c r="CN613" s="1488"/>
      <c r="CO613" s="1488"/>
      <c r="CP613" s="1488"/>
      <c r="CQ613" s="1488"/>
      <c r="CR613" s="6"/>
      <c r="CS613" s="1500">
        <f t="shared" si="11"/>
        <v>0</v>
      </c>
      <c r="CT613" s="1500"/>
      <c r="CU613" s="1500"/>
      <c r="CV613" s="1500"/>
      <c r="CW613" s="1500"/>
      <c r="CX613" s="1500">
        <f t="shared" si="12"/>
        <v>0</v>
      </c>
      <c r="CY613" s="1500"/>
      <c r="CZ613" s="1500"/>
      <c r="DA613" s="1500"/>
      <c r="DB613" s="1500"/>
      <c r="DC613" s="1500">
        <f t="shared" si="13"/>
        <v>0</v>
      </c>
      <c r="DD613" s="1500"/>
      <c r="DE613" s="1500"/>
      <c r="DF613" s="1500"/>
      <c r="DG613" s="1500"/>
      <c r="DH613" s="1500">
        <f t="shared" si="14"/>
        <v>0</v>
      </c>
      <c r="DI613" s="1500"/>
      <c r="DJ613" s="1500"/>
      <c r="DK613" s="1500"/>
      <c r="DL613" s="1500"/>
      <c r="DM613" s="1500">
        <f t="shared" si="15"/>
        <v>0</v>
      </c>
      <c r="DN613" s="1500"/>
      <c r="DO613" s="1500"/>
      <c r="DP613" s="1500"/>
      <c r="DQ613" s="1500"/>
      <c r="DR613" s="1500">
        <f t="shared" si="16"/>
        <v>0</v>
      </c>
      <c r="DS613" s="1500"/>
      <c r="DT613" s="1500"/>
      <c r="DU613" s="1500"/>
      <c r="DV613" s="1500"/>
      <c r="DX613" s="1497" t="str">
        <f t="shared" si="17"/>
        <v/>
      </c>
      <c r="DY613" s="1498"/>
      <c r="DZ613" s="1498"/>
      <c r="EA613" s="1498"/>
      <c r="EB613" s="1499"/>
      <c r="EC613" s="1497" t="str">
        <f t="shared" si="18"/>
        <v/>
      </c>
      <c r="ED613" s="1498"/>
      <c r="EE613" s="1498"/>
      <c r="EF613" s="1498"/>
      <c r="EG613" s="1499"/>
      <c r="EH613" s="1497" t="str">
        <f t="shared" si="19"/>
        <v/>
      </c>
      <c r="EI613" s="1498"/>
      <c r="EJ613" s="1498"/>
      <c r="EK613" s="1498"/>
      <c r="EL613" s="1499"/>
      <c r="EM613" s="1497">
        <f t="shared" si="20"/>
        <v>1536</v>
      </c>
      <c r="EN613" s="1498"/>
      <c r="EO613" s="1498"/>
      <c r="EP613" s="1498"/>
      <c r="EQ613" s="1499"/>
      <c r="ER613" s="1497" t="str">
        <f t="shared" si="21"/>
        <v/>
      </c>
      <c r="ES613" s="1498"/>
      <c r="ET613" s="1498"/>
      <c r="EU613" s="1498"/>
      <c r="EV613" s="1499"/>
      <c r="EW613" s="1497" t="str">
        <f t="shared" si="22"/>
        <v/>
      </c>
      <c r="EX613" s="1498"/>
      <c r="EY613" s="1498"/>
      <c r="EZ613" s="1498"/>
      <c r="FA613" s="1499"/>
    </row>
    <row r="614" spans="1:157" ht="12.95" customHeight="1">
      <c r="B614" t="s">
        <v>18</v>
      </c>
      <c r="H614" s="1357"/>
      <c r="I614" s="1357"/>
      <c r="J614" s="1357"/>
      <c r="K614" s="1357"/>
      <c r="L614" s="1357"/>
      <c r="M614" s="1357"/>
      <c r="N614" s="1357"/>
      <c r="O614" s="1357"/>
      <c r="P614" s="1357"/>
      <c r="Q614" s="1357"/>
      <c r="R614" s="1357"/>
      <c r="U614" t="s">
        <v>18</v>
      </c>
      <c r="AA614" s="1357"/>
      <c r="AB614" s="1357"/>
      <c r="AC614" s="1357"/>
      <c r="AD614" s="1357"/>
      <c r="AE614" s="1357"/>
      <c r="AF614" s="1357"/>
      <c r="AG614" s="1357"/>
      <c r="AH614" s="1357"/>
      <c r="AI614" s="1357"/>
      <c r="AJ614" s="1357"/>
      <c r="AK614" s="1357"/>
      <c r="AU614" s="934"/>
      <c r="AV614" s="934"/>
      <c r="AW614" s="934"/>
      <c r="AX614" s="934"/>
      <c r="AY614" s="934"/>
      <c r="AZ614" s="3"/>
      <c r="BA614" s="3"/>
      <c r="BB614" s="3"/>
      <c r="BC614" s="3"/>
      <c r="BD614" s="3"/>
      <c r="BE614" s="1497">
        <f t="shared" si="1"/>
        <v>1</v>
      </c>
      <c r="BF614" s="1499"/>
      <c r="BG614" s="1489">
        <f t="shared" si="2"/>
        <v>10</v>
      </c>
      <c r="BH614" s="1491"/>
      <c r="BI614" s="1497">
        <f t="shared" si="3"/>
        <v>0</v>
      </c>
      <c r="BJ614" s="1499"/>
      <c r="BK614" s="1489">
        <f t="shared" si="4"/>
        <v>0</v>
      </c>
      <c r="BL614" s="1491"/>
      <c r="BM614" s="3"/>
      <c r="BN614" s="1485">
        <f t="shared" si="5"/>
        <v>0</v>
      </c>
      <c r="BO614" s="1486"/>
      <c r="BP614" s="1486"/>
      <c r="BQ614" s="1486"/>
      <c r="BR614" s="1487"/>
      <c r="BS614" s="1488">
        <f t="shared" si="6"/>
        <v>0</v>
      </c>
      <c r="BT614" s="1488"/>
      <c r="BU614" s="1488"/>
      <c r="BV614" s="1488"/>
      <c r="BW614" s="1488"/>
      <c r="BX614" s="1488">
        <f t="shared" si="7"/>
        <v>0</v>
      </c>
      <c r="BY614" s="1488"/>
      <c r="BZ614" s="1488"/>
      <c r="CA614" s="1488"/>
      <c r="CB614" s="1488"/>
      <c r="CC614" s="1488">
        <f t="shared" si="8"/>
        <v>10</v>
      </c>
      <c r="CD614" s="1488"/>
      <c r="CE614" s="1488"/>
      <c r="CF614" s="1488"/>
      <c r="CG614" s="1488"/>
      <c r="CH614" s="1488">
        <f t="shared" si="9"/>
        <v>0</v>
      </c>
      <c r="CI614" s="1488"/>
      <c r="CJ614" s="1488"/>
      <c r="CK614" s="1488"/>
      <c r="CL614" s="1488"/>
      <c r="CM614" s="1488">
        <f t="shared" si="10"/>
        <v>0</v>
      </c>
      <c r="CN614" s="1488"/>
      <c r="CO614" s="1488"/>
      <c r="CP614" s="1488"/>
      <c r="CQ614" s="1488"/>
      <c r="CR614" s="6"/>
      <c r="CS614" s="1500">
        <f t="shared" si="11"/>
        <v>0</v>
      </c>
      <c r="CT614" s="1500"/>
      <c r="CU614" s="1500"/>
      <c r="CV614" s="1500"/>
      <c r="CW614" s="1500"/>
      <c r="CX614" s="1500">
        <f t="shared" si="12"/>
        <v>0</v>
      </c>
      <c r="CY614" s="1500"/>
      <c r="CZ614" s="1500"/>
      <c r="DA614" s="1500"/>
      <c r="DB614" s="1500"/>
      <c r="DC614" s="1500">
        <f t="shared" si="13"/>
        <v>0</v>
      </c>
      <c r="DD614" s="1500"/>
      <c r="DE614" s="1500"/>
      <c r="DF614" s="1500"/>
      <c r="DG614" s="1500"/>
      <c r="DH614" s="1500">
        <f t="shared" si="14"/>
        <v>0</v>
      </c>
      <c r="DI614" s="1500"/>
      <c r="DJ614" s="1500"/>
      <c r="DK614" s="1500"/>
      <c r="DL614" s="1500"/>
      <c r="DM614" s="1500">
        <f t="shared" si="15"/>
        <v>0</v>
      </c>
      <c r="DN614" s="1500"/>
      <c r="DO614" s="1500"/>
      <c r="DP614" s="1500"/>
      <c r="DQ614" s="1500"/>
      <c r="DR614" s="1500">
        <f t="shared" si="16"/>
        <v>0</v>
      </c>
      <c r="DS614" s="1500"/>
      <c r="DT614" s="1500"/>
      <c r="DU614" s="1500"/>
      <c r="DV614" s="1500"/>
      <c r="DX614" s="1497" t="str">
        <f t="shared" si="17"/>
        <v/>
      </c>
      <c r="DY614" s="1498"/>
      <c r="DZ614" s="1498"/>
      <c r="EA614" s="1498"/>
      <c r="EB614" s="1499"/>
      <c r="EC614" s="1497" t="str">
        <f t="shared" si="18"/>
        <v/>
      </c>
      <c r="ED614" s="1498"/>
      <c r="EE614" s="1498"/>
      <c r="EF614" s="1498"/>
      <c r="EG614" s="1499"/>
      <c r="EH614" s="1497" t="str">
        <f t="shared" si="19"/>
        <v/>
      </c>
      <c r="EI614" s="1498"/>
      <c r="EJ614" s="1498"/>
      <c r="EK614" s="1498"/>
      <c r="EL614" s="1499"/>
      <c r="EM614" s="1497">
        <f t="shared" si="20"/>
        <v>1964</v>
      </c>
      <c r="EN614" s="1498"/>
      <c r="EO614" s="1498"/>
      <c r="EP614" s="1498"/>
      <c r="EQ614" s="1499"/>
      <c r="ER614" s="1497" t="str">
        <f t="shared" si="21"/>
        <v/>
      </c>
      <c r="ES614" s="1498"/>
      <c r="ET614" s="1498"/>
      <c r="EU614" s="1498"/>
      <c r="EV614" s="1499"/>
      <c r="EW614" s="1497" t="str">
        <f t="shared" si="22"/>
        <v/>
      </c>
      <c r="EX614" s="1498"/>
      <c r="EY614" s="1498"/>
      <c r="EZ614" s="1498"/>
      <c r="FA614" s="1499"/>
    </row>
    <row r="615" spans="1:157" ht="12.95" customHeight="1">
      <c r="B615" t="s">
        <v>20</v>
      </c>
      <c r="N615" s="1358" t="s">
        <v>676</v>
      </c>
      <c r="O615" s="1358"/>
      <c r="U615" t="s">
        <v>20</v>
      </c>
      <c r="AG615" s="1358" t="s">
        <v>676</v>
      </c>
      <c r="AH615" s="1358"/>
      <c r="AU615" s="934"/>
      <c r="AV615" s="934"/>
      <c r="AW615" s="934"/>
      <c r="AX615" s="934"/>
      <c r="AY615" s="934"/>
      <c r="AZ615" s="3"/>
      <c r="BA615" s="3"/>
      <c r="BB615" s="3"/>
      <c r="BC615" s="3"/>
      <c r="BD615" s="3"/>
      <c r="BE615" s="1497">
        <f t="shared" si="1"/>
        <v>0</v>
      </c>
      <c r="BF615" s="1499"/>
      <c r="BG615" s="1489">
        <f t="shared" si="2"/>
        <v>0</v>
      </c>
      <c r="BH615" s="1491"/>
      <c r="BI615" s="1497">
        <f t="shared" si="3"/>
        <v>0</v>
      </c>
      <c r="BJ615" s="1499"/>
      <c r="BK615" s="1489">
        <f t="shared" si="4"/>
        <v>0</v>
      </c>
      <c r="BL615" s="1491"/>
      <c r="BM615" s="3"/>
      <c r="BN615" s="1485">
        <f t="shared" si="5"/>
        <v>0</v>
      </c>
      <c r="BO615" s="1486"/>
      <c r="BP615" s="1486"/>
      <c r="BQ615" s="1486"/>
      <c r="BR615" s="1487"/>
      <c r="BS615" s="1488">
        <f t="shared" si="6"/>
        <v>0</v>
      </c>
      <c r="BT615" s="1488"/>
      <c r="BU615" s="1488"/>
      <c r="BV615" s="1488"/>
      <c r="BW615" s="1488"/>
      <c r="BX615" s="1488">
        <f t="shared" si="7"/>
        <v>0</v>
      </c>
      <c r="BY615" s="1488"/>
      <c r="BZ615" s="1488"/>
      <c r="CA615" s="1488"/>
      <c r="CB615" s="1488"/>
      <c r="CC615" s="1488">
        <f t="shared" si="8"/>
        <v>12</v>
      </c>
      <c r="CD615" s="1488"/>
      <c r="CE615" s="1488"/>
      <c r="CF615" s="1488"/>
      <c r="CG615" s="1488"/>
      <c r="CH615" s="1488">
        <f t="shared" si="9"/>
        <v>0</v>
      </c>
      <c r="CI615" s="1488"/>
      <c r="CJ615" s="1488"/>
      <c r="CK615" s="1488"/>
      <c r="CL615" s="1488"/>
      <c r="CM615" s="1488">
        <f t="shared" si="10"/>
        <v>0</v>
      </c>
      <c r="CN615" s="1488"/>
      <c r="CO615" s="1488"/>
      <c r="CP615" s="1488"/>
      <c r="CQ615" s="1488"/>
      <c r="CR615" s="6"/>
      <c r="CS615" s="1500">
        <f t="shared" si="11"/>
        <v>0</v>
      </c>
      <c r="CT615" s="1500"/>
      <c r="CU615" s="1500"/>
      <c r="CV615" s="1500"/>
      <c r="CW615" s="1500"/>
      <c r="CX615" s="1500">
        <f t="shared" si="12"/>
        <v>0</v>
      </c>
      <c r="CY615" s="1500"/>
      <c r="CZ615" s="1500"/>
      <c r="DA615" s="1500"/>
      <c r="DB615" s="1500"/>
      <c r="DC615" s="1500">
        <f t="shared" si="13"/>
        <v>0</v>
      </c>
      <c r="DD615" s="1500"/>
      <c r="DE615" s="1500"/>
      <c r="DF615" s="1500"/>
      <c r="DG615" s="1500"/>
      <c r="DH615" s="1500">
        <f t="shared" si="14"/>
        <v>0</v>
      </c>
      <c r="DI615" s="1500"/>
      <c r="DJ615" s="1500"/>
      <c r="DK615" s="1500"/>
      <c r="DL615" s="1500"/>
      <c r="DM615" s="1500">
        <f t="shared" si="15"/>
        <v>0</v>
      </c>
      <c r="DN615" s="1500"/>
      <c r="DO615" s="1500"/>
      <c r="DP615" s="1500"/>
      <c r="DQ615" s="1500"/>
      <c r="DR615" s="1500">
        <f t="shared" si="16"/>
        <v>0</v>
      </c>
      <c r="DS615" s="1500"/>
      <c r="DT615" s="1500"/>
      <c r="DU615" s="1500"/>
      <c r="DV615" s="1500"/>
      <c r="DX615" s="1497" t="str">
        <f t="shared" si="17"/>
        <v/>
      </c>
      <c r="DY615" s="1498"/>
      <c r="DZ615" s="1498"/>
      <c r="EA615" s="1498"/>
      <c r="EB615" s="1499"/>
      <c r="EC615" s="1497" t="str">
        <f t="shared" si="18"/>
        <v/>
      </c>
      <c r="ED615" s="1498"/>
      <c r="EE615" s="1498"/>
      <c r="EF615" s="1498"/>
      <c r="EG615" s="1499"/>
      <c r="EH615" s="1497" t="str">
        <f t="shared" si="19"/>
        <v/>
      </c>
      <c r="EI615" s="1498"/>
      <c r="EJ615" s="1498"/>
      <c r="EK615" s="1498"/>
      <c r="EL615" s="1499"/>
      <c r="EM615" s="1497">
        <f t="shared" si="20"/>
        <v>2392</v>
      </c>
      <c r="EN615" s="1498"/>
      <c r="EO615" s="1498"/>
      <c r="EP615" s="1498"/>
      <c r="EQ615" s="1499"/>
      <c r="ER615" s="1497" t="str">
        <f t="shared" si="21"/>
        <v/>
      </c>
      <c r="ES615" s="1498"/>
      <c r="ET615" s="1498"/>
      <c r="EU615" s="1498"/>
      <c r="EV615" s="1499"/>
      <c r="EW615" s="1497" t="str">
        <f t="shared" si="22"/>
        <v/>
      </c>
      <c r="EX615" s="1498"/>
      <c r="EY615" s="1498"/>
      <c r="EZ615" s="1498"/>
      <c r="FA615" s="1499"/>
    </row>
    <row r="616" spans="1:157" ht="12.95" customHeight="1">
      <c r="AZ616" s="3"/>
      <c r="BA616" s="3"/>
      <c r="BB616" s="3"/>
      <c r="BC616" s="3"/>
      <c r="BD616" s="3"/>
      <c r="BE616" s="1497">
        <f t="shared" si="1"/>
        <v>0</v>
      </c>
      <c r="BF616" s="1499"/>
      <c r="BG616" s="1489">
        <f t="shared" si="2"/>
        <v>0</v>
      </c>
      <c r="BH616" s="1491"/>
      <c r="BI616" s="1497">
        <f t="shared" si="3"/>
        <v>0</v>
      </c>
      <c r="BJ616" s="1499"/>
      <c r="BK616" s="1489">
        <f t="shared" si="4"/>
        <v>0</v>
      </c>
      <c r="BL616" s="1491"/>
      <c r="BM616" s="3"/>
      <c r="BN616" s="1485">
        <f t="shared" si="5"/>
        <v>0</v>
      </c>
      <c r="BO616" s="1486"/>
      <c r="BP616" s="1486"/>
      <c r="BQ616" s="1486"/>
      <c r="BR616" s="1487"/>
      <c r="BS616" s="1488">
        <f t="shared" si="6"/>
        <v>0</v>
      </c>
      <c r="BT616" s="1488"/>
      <c r="BU616" s="1488"/>
      <c r="BV616" s="1488"/>
      <c r="BW616" s="1488"/>
      <c r="BX616" s="1488">
        <f t="shared" si="7"/>
        <v>0</v>
      </c>
      <c r="BY616" s="1488"/>
      <c r="BZ616" s="1488"/>
      <c r="CA616" s="1488"/>
      <c r="CB616" s="1488"/>
      <c r="CC616" s="1488">
        <f t="shared" si="8"/>
        <v>0</v>
      </c>
      <c r="CD616" s="1488"/>
      <c r="CE616" s="1488"/>
      <c r="CF616" s="1488"/>
      <c r="CG616" s="1488"/>
      <c r="CH616" s="1488">
        <f t="shared" si="9"/>
        <v>0</v>
      </c>
      <c r="CI616" s="1488"/>
      <c r="CJ616" s="1488"/>
      <c r="CK616" s="1488"/>
      <c r="CL616" s="1488"/>
      <c r="CM616" s="1488">
        <f t="shared" si="10"/>
        <v>0</v>
      </c>
      <c r="CN616" s="1488"/>
      <c r="CO616" s="1488"/>
      <c r="CP616" s="1488"/>
      <c r="CQ616" s="1488"/>
      <c r="CR616" s="6"/>
      <c r="CS616" s="1500">
        <f t="shared" si="11"/>
        <v>0</v>
      </c>
      <c r="CT616" s="1500"/>
      <c r="CU616" s="1500"/>
      <c r="CV616" s="1500"/>
      <c r="CW616" s="1500"/>
      <c r="CX616" s="1500">
        <f t="shared" si="12"/>
        <v>0</v>
      </c>
      <c r="CY616" s="1500"/>
      <c r="CZ616" s="1500"/>
      <c r="DA616" s="1500"/>
      <c r="DB616" s="1500"/>
      <c r="DC616" s="1500">
        <f t="shared" si="13"/>
        <v>0</v>
      </c>
      <c r="DD616" s="1500"/>
      <c r="DE616" s="1500"/>
      <c r="DF616" s="1500"/>
      <c r="DG616" s="1500"/>
      <c r="DH616" s="1500">
        <f t="shared" si="14"/>
        <v>0</v>
      </c>
      <c r="DI616" s="1500"/>
      <c r="DJ616" s="1500"/>
      <c r="DK616" s="1500"/>
      <c r="DL616" s="1500"/>
      <c r="DM616" s="1500">
        <f t="shared" si="15"/>
        <v>0</v>
      </c>
      <c r="DN616" s="1500"/>
      <c r="DO616" s="1500"/>
      <c r="DP616" s="1500"/>
      <c r="DQ616" s="1500"/>
      <c r="DR616" s="1500">
        <f t="shared" si="16"/>
        <v>0</v>
      </c>
      <c r="DS616" s="1500"/>
      <c r="DT616" s="1500"/>
      <c r="DU616" s="1500"/>
      <c r="DV616" s="1500"/>
      <c r="DX616" s="1497" t="str">
        <f t="shared" si="17"/>
        <v/>
      </c>
      <c r="DY616" s="1498"/>
      <c r="DZ616" s="1498"/>
      <c r="EA616" s="1498"/>
      <c r="EB616" s="1499"/>
      <c r="EC616" s="1497" t="str">
        <f t="shared" si="18"/>
        <v/>
      </c>
      <c r="ED616" s="1498"/>
      <c r="EE616" s="1498"/>
      <c r="EF616" s="1498"/>
      <c r="EG616" s="1499"/>
      <c r="EH616" s="1497" t="str">
        <f t="shared" si="19"/>
        <v/>
      </c>
      <c r="EI616" s="1498"/>
      <c r="EJ616" s="1498"/>
      <c r="EK616" s="1498"/>
      <c r="EL616" s="1499"/>
      <c r="EM616" s="1497" t="str">
        <f t="shared" si="20"/>
        <v/>
      </c>
      <c r="EN616" s="1498"/>
      <c r="EO616" s="1498"/>
      <c r="EP616" s="1498"/>
      <c r="EQ616" s="1499"/>
      <c r="ER616" s="1497" t="str">
        <f t="shared" si="21"/>
        <v/>
      </c>
      <c r="ES616" s="1498"/>
      <c r="ET616" s="1498"/>
      <c r="EU616" s="1498"/>
      <c r="EV616" s="1499"/>
      <c r="EW616" s="1497" t="str">
        <f t="shared" si="22"/>
        <v/>
      </c>
      <c r="EX616" s="1498"/>
      <c r="EY616" s="1498"/>
      <c r="EZ616" s="1498"/>
      <c r="FA616" s="1499"/>
    </row>
    <row r="617" spans="1:157" ht="12.95" customHeight="1">
      <c r="A617" s="1266" t="s">
        <v>551</v>
      </c>
      <c r="B617" s="1266"/>
      <c r="C617" s="1266"/>
      <c r="D617" s="1266"/>
      <c r="E617" s="1266"/>
      <c r="F617" s="1266"/>
      <c r="G617" s="1266"/>
      <c r="H617" s="1266"/>
      <c r="I617" s="1266"/>
      <c r="J617" s="1266"/>
      <c r="K617" s="1266"/>
      <c r="L617" s="1266"/>
      <c r="M617" s="1266"/>
      <c r="N617" s="1266"/>
      <c r="O617" s="1266"/>
      <c r="P617" s="1266"/>
      <c r="Q617" s="1266"/>
      <c r="R617" s="1266"/>
      <c r="S617" s="1266"/>
      <c r="T617" s="1266"/>
      <c r="U617" s="1266"/>
      <c r="V617" s="1266"/>
      <c r="W617" s="1266"/>
      <c r="X617" s="1266"/>
      <c r="Y617" s="1266"/>
      <c r="Z617" s="1266"/>
      <c r="AA617" s="1266"/>
      <c r="AB617" s="1266"/>
      <c r="AC617" s="1266"/>
      <c r="AD617" s="1266"/>
      <c r="AE617" s="1266"/>
      <c r="AF617" s="1266"/>
      <c r="AG617" s="1266"/>
      <c r="AH617" s="1266"/>
      <c r="AI617" s="1266"/>
      <c r="AJ617" s="1266"/>
      <c r="AK617" s="1266"/>
      <c r="AL617" s="1266"/>
      <c r="AM617" s="1266"/>
      <c r="AN617" s="1266"/>
      <c r="AO617" s="1266"/>
      <c r="AP617" s="1266"/>
      <c r="AQ617" s="1266"/>
      <c r="AR617" s="1266"/>
      <c r="AS617" s="1266"/>
      <c r="AT617" s="1266"/>
      <c r="AZ617" s="3"/>
      <c r="BA617" s="3"/>
      <c r="BB617" s="3"/>
      <c r="BC617" s="3"/>
      <c r="BD617" s="3"/>
      <c r="BE617" s="1497">
        <f t="shared" si="1"/>
        <v>0</v>
      </c>
      <c r="BF617" s="1499"/>
      <c r="BG617" s="1489">
        <f t="shared" si="2"/>
        <v>0</v>
      </c>
      <c r="BH617" s="1491"/>
      <c r="BI617" s="1497">
        <f t="shared" si="3"/>
        <v>0</v>
      </c>
      <c r="BJ617" s="1499"/>
      <c r="BK617" s="1489">
        <f t="shared" si="4"/>
        <v>0</v>
      </c>
      <c r="BL617" s="1491"/>
      <c r="BM617" s="3"/>
      <c r="BN617" s="1485">
        <f t="shared" si="5"/>
        <v>0</v>
      </c>
      <c r="BO617" s="1486"/>
      <c r="BP617" s="1486"/>
      <c r="BQ617" s="1486"/>
      <c r="BR617" s="1487"/>
      <c r="BS617" s="1488">
        <f t="shared" si="6"/>
        <v>0</v>
      </c>
      <c r="BT617" s="1488"/>
      <c r="BU617" s="1488"/>
      <c r="BV617" s="1488"/>
      <c r="BW617" s="1488"/>
      <c r="BX617" s="1488">
        <f t="shared" si="7"/>
        <v>0</v>
      </c>
      <c r="BY617" s="1488"/>
      <c r="BZ617" s="1488"/>
      <c r="CA617" s="1488"/>
      <c r="CB617" s="1488"/>
      <c r="CC617" s="1488">
        <f t="shared" si="8"/>
        <v>0</v>
      </c>
      <c r="CD617" s="1488"/>
      <c r="CE617" s="1488"/>
      <c r="CF617" s="1488"/>
      <c r="CG617" s="1488"/>
      <c r="CH617" s="1488">
        <f t="shared" si="9"/>
        <v>0</v>
      </c>
      <c r="CI617" s="1488"/>
      <c r="CJ617" s="1488"/>
      <c r="CK617" s="1488"/>
      <c r="CL617" s="1488"/>
      <c r="CM617" s="1488">
        <f t="shared" si="10"/>
        <v>0</v>
      </c>
      <c r="CN617" s="1488"/>
      <c r="CO617" s="1488"/>
      <c r="CP617" s="1488"/>
      <c r="CQ617" s="1488"/>
      <c r="CR617" s="6"/>
      <c r="CS617" s="1500">
        <f t="shared" si="11"/>
        <v>0</v>
      </c>
      <c r="CT617" s="1500"/>
      <c r="CU617" s="1500"/>
      <c r="CV617" s="1500"/>
      <c r="CW617" s="1500"/>
      <c r="CX617" s="1500">
        <f t="shared" si="12"/>
        <v>0</v>
      </c>
      <c r="CY617" s="1500"/>
      <c r="CZ617" s="1500"/>
      <c r="DA617" s="1500"/>
      <c r="DB617" s="1500"/>
      <c r="DC617" s="1500">
        <f t="shared" si="13"/>
        <v>0</v>
      </c>
      <c r="DD617" s="1500"/>
      <c r="DE617" s="1500"/>
      <c r="DF617" s="1500"/>
      <c r="DG617" s="1500"/>
      <c r="DH617" s="1500">
        <f t="shared" si="14"/>
        <v>0</v>
      </c>
      <c r="DI617" s="1500"/>
      <c r="DJ617" s="1500"/>
      <c r="DK617" s="1500"/>
      <c r="DL617" s="1500"/>
      <c r="DM617" s="1500">
        <f t="shared" si="15"/>
        <v>0</v>
      </c>
      <c r="DN617" s="1500"/>
      <c r="DO617" s="1500"/>
      <c r="DP617" s="1500"/>
      <c r="DQ617" s="1500"/>
      <c r="DR617" s="1500">
        <f t="shared" si="16"/>
        <v>0</v>
      </c>
      <c r="DS617" s="1500"/>
      <c r="DT617" s="1500"/>
      <c r="DU617" s="1500"/>
      <c r="DV617" s="1500"/>
      <c r="DX617" s="1497" t="str">
        <f t="shared" si="17"/>
        <v/>
      </c>
      <c r="DY617" s="1498"/>
      <c r="DZ617" s="1498"/>
      <c r="EA617" s="1498"/>
      <c r="EB617" s="1499"/>
      <c r="EC617" s="1497" t="str">
        <f t="shared" si="18"/>
        <v/>
      </c>
      <c r="ED617" s="1498"/>
      <c r="EE617" s="1498"/>
      <c r="EF617" s="1498"/>
      <c r="EG617" s="1499"/>
      <c r="EH617" s="1497" t="str">
        <f t="shared" si="19"/>
        <v/>
      </c>
      <c r="EI617" s="1498"/>
      <c r="EJ617" s="1498"/>
      <c r="EK617" s="1498"/>
      <c r="EL617" s="1499"/>
      <c r="EM617" s="1497" t="str">
        <f t="shared" si="20"/>
        <v/>
      </c>
      <c r="EN617" s="1498"/>
      <c r="EO617" s="1498"/>
      <c r="EP617" s="1498"/>
      <c r="EQ617" s="1499"/>
      <c r="ER617" s="1497" t="str">
        <f t="shared" si="21"/>
        <v/>
      </c>
      <c r="ES617" s="1498"/>
      <c r="ET617" s="1498"/>
      <c r="EU617" s="1498"/>
      <c r="EV617" s="1499"/>
      <c r="EW617" s="1497" t="str">
        <f t="shared" si="22"/>
        <v/>
      </c>
      <c r="EX617" s="1498"/>
      <c r="EY617" s="1498"/>
      <c r="EZ617" s="1498"/>
      <c r="FA617" s="1499"/>
    </row>
    <row r="618" spans="1:157" ht="12.95" customHeight="1">
      <c r="A618" s="1266"/>
      <c r="B618" s="1266"/>
      <c r="C618" s="1266"/>
      <c r="D618" s="1266"/>
      <c r="E618" s="1266"/>
      <c r="F618" s="1266"/>
      <c r="G618" s="1266"/>
      <c r="H618" s="1266"/>
      <c r="I618" s="1266"/>
      <c r="J618" s="1266"/>
      <c r="K618" s="1266"/>
      <c r="L618" s="1266"/>
      <c r="M618" s="1266"/>
      <c r="N618" s="1266"/>
      <c r="O618" s="1266"/>
      <c r="P618" s="1266"/>
      <c r="Q618" s="1266"/>
      <c r="R618" s="1266"/>
      <c r="S618" s="1266"/>
      <c r="T618" s="1266"/>
      <c r="U618" s="1266"/>
      <c r="V618" s="1266"/>
      <c r="W618" s="1266"/>
      <c r="X618" s="1266"/>
      <c r="Y618" s="1266"/>
      <c r="Z618" s="1266"/>
      <c r="AA618" s="1266"/>
      <c r="AB618" s="1266"/>
      <c r="AC618" s="1266"/>
      <c r="AD618" s="1266"/>
      <c r="AE618" s="1266"/>
      <c r="AF618" s="1266"/>
      <c r="AG618" s="1266"/>
      <c r="AH618" s="1266"/>
      <c r="AI618" s="1266"/>
      <c r="AJ618" s="1266"/>
      <c r="AK618" s="1266"/>
      <c r="AL618" s="1266"/>
      <c r="AM618" s="1266"/>
      <c r="AN618" s="1266"/>
      <c r="AO618" s="1266"/>
      <c r="AP618" s="1266"/>
      <c r="AQ618" s="1266"/>
      <c r="AR618" s="1266"/>
      <c r="AS618" s="1266"/>
      <c r="AT618" s="1266"/>
      <c r="AZ618" s="3"/>
      <c r="BA618" s="3"/>
      <c r="BB618" s="3"/>
      <c r="BC618" s="3"/>
      <c r="BD618" s="3"/>
      <c r="BE618" s="1497">
        <f t="shared" si="1"/>
        <v>0</v>
      </c>
      <c r="BF618" s="1499"/>
      <c r="BG618" s="1489">
        <f t="shared" si="2"/>
        <v>0</v>
      </c>
      <c r="BH618" s="1491"/>
      <c r="BI618" s="1497">
        <f t="shared" si="3"/>
        <v>0</v>
      </c>
      <c r="BJ618" s="1499"/>
      <c r="BK618" s="1489">
        <f t="shared" si="4"/>
        <v>0</v>
      </c>
      <c r="BL618" s="1491"/>
      <c r="BM618" s="3"/>
      <c r="BN618" s="1485">
        <f t="shared" si="5"/>
        <v>0</v>
      </c>
      <c r="BO618" s="1486"/>
      <c r="BP618" s="1486"/>
      <c r="BQ618" s="1486"/>
      <c r="BR618" s="1487"/>
      <c r="BS618" s="1488">
        <f t="shared" si="6"/>
        <v>0</v>
      </c>
      <c r="BT618" s="1488"/>
      <c r="BU618" s="1488"/>
      <c r="BV618" s="1488"/>
      <c r="BW618" s="1488"/>
      <c r="BX618" s="1488">
        <f t="shared" si="7"/>
        <v>0</v>
      </c>
      <c r="BY618" s="1488"/>
      <c r="BZ618" s="1488"/>
      <c r="CA618" s="1488"/>
      <c r="CB618" s="1488"/>
      <c r="CC618" s="1488">
        <f t="shared" si="8"/>
        <v>0</v>
      </c>
      <c r="CD618" s="1488"/>
      <c r="CE618" s="1488"/>
      <c r="CF618" s="1488"/>
      <c r="CG618" s="1488"/>
      <c r="CH618" s="1488">
        <f t="shared" si="9"/>
        <v>0</v>
      </c>
      <c r="CI618" s="1488"/>
      <c r="CJ618" s="1488"/>
      <c r="CK618" s="1488"/>
      <c r="CL618" s="1488"/>
      <c r="CM618" s="1488">
        <f t="shared" si="10"/>
        <v>0</v>
      </c>
      <c r="CN618" s="1488"/>
      <c r="CO618" s="1488"/>
      <c r="CP618" s="1488"/>
      <c r="CQ618" s="1488"/>
      <c r="CR618" s="6"/>
      <c r="CS618" s="1500">
        <f t="shared" si="11"/>
        <v>0</v>
      </c>
      <c r="CT618" s="1500"/>
      <c r="CU618" s="1500"/>
      <c r="CV618" s="1500"/>
      <c r="CW618" s="1500"/>
      <c r="CX618" s="1500">
        <f t="shared" si="12"/>
        <v>0</v>
      </c>
      <c r="CY618" s="1500"/>
      <c r="CZ618" s="1500"/>
      <c r="DA618" s="1500"/>
      <c r="DB618" s="1500"/>
      <c r="DC618" s="1500">
        <f t="shared" si="13"/>
        <v>0</v>
      </c>
      <c r="DD618" s="1500"/>
      <c r="DE618" s="1500"/>
      <c r="DF618" s="1500"/>
      <c r="DG618" s="1500"/>
      <c r="DH618" s="1500">
        <f t="shared" si="14"/>
        <v>0</v>
      </c>
      <c r="DI618" s="1500"/>
      <c r="DJ618" s="1500"/>
      <c r="DK618" s="1500"/>
      <c r="DL618" s="1500"/>
      <c r="DM618" s="1500">
        <f t="shared" si="15"/>
        <v>0</v>
      </c>
      <c r="DN618" s="1500"/>
      <c r="DO618" s="1500"/>
      <c r="DP618" s="1500"/>
      <c r="DQ618" s="1500"/>
      <c r="DR618" s="1500">
        <f t="shared" si="16"/>
        <v>0</v>
      </c>
      <c r="DS618" s="1500"/>
      <c r="DT618" s="1500"/>
      <c r="DU618" s="1500"/>
      <c r="DV618" s="1500"/>
      <c r="DX618" s="1497" t="str">
        <f t="shared" si="17"/>
        <v/>
      </c>
      <c r="DY618" s="1498"/>
      <c r="DZ618" s="1498"/>
      <c r="EA618" s="1498"/>
      <c r="EB618" s="1499"/>
      <c r="EC618" s="1497" t="str">
        <f t="shared" si="18"/>
        <v/>
      </c>
      <c r="ED618" s="1498"/>
      <c r="EE618" s="1498"/>
      <c r="EF618" s="1498"/>
      <c r="EG618" s="1499"/>
      <c r="EH618" s="1497" t="str">
        <f t="shared" si="19"/>
        <v/>
      </c>
      <c r="EI618" s="1498"/>
      <c r="EJ618" s="1498"/>
      <c r="EK618" s="1498"/>
      <c r="EL618" s="1499"/>
      <c r="EM618" s="1497" t="str">
        <f t="shared" si="20"/>
        <v/>
      </c>
      <c r="EN618" s="1498"/>
      <c r="EO618" s="1498"/>
      <c r="EP618" s="1498"/>
      <c r="EQ618" s="1499"/>
      <c r="ER618" s="1497" t="str">
        <f t="shared" si="21"/>
        <v/>
      </c>
      <c r="ES618" s="1498"/>
      <c r="ET618" s="1498"/>
      <c r="EU618" s="1498"/>
      <c r="EV618" s="1499"/>
      <c r="EW618" s="1497" t="str">
        <f t="shared" si="22"/>
        <v/>
      </c>
      <c r="EX618" s="1498"/>
      <c r="EY618" s="1498"/>
      <c r="EZ618" s="1498"/>
      <c r="FA618" s="1499"/>
    </row>
    <row r="619" spans="1:157" ht="12.95" customHeight="1">
      <c r="AZ619" s="3"/>
      <c r="BA619" s="3"/>
      <c r="BB619" s="3"/>
      <c r="BC619" s="3"/>
      <c r="BD619" s="3"/>
      <c r="BE619" s="1497">
        <f t="shared" si="1"/>
        <v>0</v>
      </c>
      <c r="BF619" s="1499"/>
      <c r="BG619" s="1489">
        <f t="shared" si="2"/>
        <v>0</v>
      </c>
      <c r="BH619" s="1491"/>
      <c r="BI619" s="1497">
        <f t="shared" si="3"/>
        <v>0</v>
      </c>
      <c r="BJ619" s="1499"/>
      <c r="BK619" s="1489">
        <f t="shared" si="4"/>
        <v>0</v>
      </c>
      <c r="BL619" s="1491"/>
      <c r="BM619" s="3"/>
      <c r="BN619" s="1485">
        <f t="shared" si="5"/>
        <v>0</v>
      </c>
      <c r="BO619" s="1486"/>
      <c r="BP619" s="1486"/>
      <c r="BQ619" s="1486"/>
      <c r="BR619" s="1487"/>
      <c r="BS619" s="1488">
        <f t="shared" si="6"/>
        <v>0</v>
      </c>
      <c r="BT619" s="1488"/>
      <c r="BU619" s="1488"/>
      <c r="BV619" s="1488"/>
      <c r="BW619" s="1488"/>
      <c r="BX619" s="1488">
        <f t="shared" si="7"/>
        <v>0</v>
      </c>
      <c r="BY619" s="1488"/>
      <c r="BZ619" s="1488"/>
      <c r="CA619" s="1488"/>
      <c r="CB619" s="1488"/>
      <c r="CC619" s="1488">
        <f t="shared" si="8"/>
        <v>0</v>
      </c>
      <c r="CD619" s="1488"/>
      <c r="CE619" s="1488"/>
      <c r="CF619" s="1488"/>
      <c r="CG619" s="1488"/>
      <c r="CH619" s="1488">
        <f t="shared" si="9"/>
        <v>0</v>
      </c>
      <c r="CI619" s="1488"/>
      <c r="CJ619" s="1488"/>
      <c r="CK619" s="1488"/>
      <c r="CL619" s="1488"/>
      <c r="CM619" s="1488">
        <f t="shared" si="10"/>
        <v>0</v>
      </c>
      <c r="CN619" s="1488"/>
      <c r="CO619" s="1488"/>
      <c r="CP619" s="1488"/>
      <c r="CQ619" s="1488"/>
      <c r="CR619" s="6"/>
      <c r="CS619" s="1500">
        <f t="shared" si="11"/>
        <v>0</v>
      </c>
      <c r="CT619" s="1500"/>
      <c r="CU619" s="1500"/>
      <c r="CV619" s="1500"/>
      <c r="CW619" s="1500"/>
      <c r="CX619" s="1500">
        <f t="shared" si="12"/>
        <v>0</v>
      </c>
      <c r="CY619" s="1500"/>
      <c r="CZ619" s="1500"/>
      <c r="DA619" s="1500"/>
      <c r="DB619" s="1500"/>
      <c r="DC619" s="1500">
        <f t="shared" si="13"/>
        <v>0</v>
      </c>
      <c r="DD619" s="1500"/>
      <c r="DE619" s="1500"/>
      <c r="DF619" s="1500"/>
      <c r="DG619" s="1500"/>
      <c r="DH619" s="1500">
        <f t="shared" si="14"/>
        <v>0</v>
      </c>
      <c r="DI619" s="1500"/>
      <c r="DJ619" s="1500"/>
      <c r="DK619" s="1500"/>
      <c r="DL619" s="1500"/>
      <c r="DM619" s="1500">
        <f t="shared" si="15"/>
        <v>0</v>
      </c>
      <c r="DN619" s="1500"/>
      <c r="DO619" s="1500"/>
      <c r="DP619" s="1500"/>
      <c r="DQ619" s="1500"/>
      <c r="DR619" s="1500">
        <f t="shared" si="16"/>
        <v>0</v>
      </c>
      <c r="DS619" s="1500"/>
      <c r="DT619" s="1500"/>
      <c r="DU619" s="1500"/>
      <c r="DV619" s="1500"/>
      <c r="DX619" s="1497" t="str">
        <f t="shared" si="17"/>
        <v/>
      </c>
      <c r="DY619" s="1498"/>
      <c r="DZ619" s="1498"/>
      <c r="EA619" s="1498"/>
      <c r="EB619" s="1499"/>
      <c r="EC619" s="1497" t="str">
        <f t="shared" si="18"/>
        <v/>
      </c>
      <c r="ED619" s="1498"/>
      <c r="EE619" s="1498"/>
      <c r="EF619" s="1498"/>
      <c r="EG619" s="1499"/>
      <c r="EH619" s="1497" t="str">
        <f t="shared" si="19"/>
        <v/>
      </c>
      <c r="EI619" s="1498"/>
      <c r="EJ619" s="1498"/>
      <c r="EK619" s="1498"/>
      <c r="EL619" s="1499"/>
      <c r="EM619" s="1497" t="str">
        <f t="shared" si="20"/>
        <v/>
      </c>
      <c r="EN619" s="1498"/>
      <c r="EO619" s="1498"/>
      <c r="EP619" s="1498"/>
      <c r="EQ619" s="1499"/>
      <c r="ER619" s="1497" t="str">
        <f t="shared" si="21"/>
        <v/>
      </c>
      <c r="ES619" s="1498"/>
      <c r="ET619" s="1498"/>
      <c r="EU619" s="1498"/>
      <c r="EV619" s="1499"/>
      <c r="EW619" s="1497" t="str">
        <f t="shared" si="22"/>
        <v/>
      </c>
      <c r="EX619" s="1498"/>
      <c r="EY619" s="1498"/>
      <c r="EZ619" s="1498"/>
      <c r="FA619" s="1499"/>
    </row>
    <row r="620" spans="1:157" ht="12.95" customHeight="1">
      <c r="A620" s="2" t="s">
        <v>319</v>
      </c>
      <c r="B620" s="2"/>
      <c r="C620" s="2" t="s">
        <v>21</v>
      </c>
      <c r="AZ620" s="3"/>
      <c r="BA620" s="3"/>
      <c r="BB620" s="3"/>
      <c r="BC620" s="3"/>
      <c r="BD620" s="3"/>
      <c r="BE620" s="1497">
        <f t="shared" si="1"/>
        <v>0</v>
      </c>
      <c r="BF620" s="1499"/>
      <c r="BG620" s="1489">
        <f t="shared" si="2"/>
        <v>0</v>
      </c>
      <c r="BH620" s="1491"/>
      <c r="BI620" s="1497">
        <f t="shared" si="3"/>
        <v>0</v>
      </c>
      <c r="BJ620" s="1499"/>
      <c r="BK620" s="1489">
        <f t="shared" si="4"/>
        <v>0</v>
      </c>
      <c r="BL620" s="1491"/>
      <c r="BM620" s="3"/>
      <c r="BN620" s="1485">
        <f t="shared" si="5"/>
        <v>0</v>
      </c>
      <c r="BO620" s="1486"/>
      <c r="BP620" s="1486"/>
      <c r="BQ620" s="1486"/>
      <c r="BR620" s="1487"/>
      <c r="BS620" s="1488">
        <f t="shared" si="6"/>
        <v>0</v>
      </c>
      <c r="BT620" s="1488"/>
      <c r="BU620" s="1488"/>
      <c r="BV620" s="1488"/>
      <c r="BW620" s="1488"/>
      <c r="BX620" s="1488">
        <f t="shared" si="7"/>
        <v>0</v>
      </c>
      <c r="BY620" s="1488"/>
      <c r="BZ620" s="1488"/>
      <c r="CA620" s="1488"/>
      <c r="CB620" s="1488"/>
      <c r="CC620" s="1488">
        <f t="shared" si="8"/>
        <v>0</v>
      </c>
      <c r="CD620" s="1488"/>
      <c r="CE620" s="1488"/>
      <c r="CF620" s="1488"/>
      <c r="CG620" s="1488"/>
      <c r="CH620" s="1488">
        <f t="shared" si="9"/>
        <v>0</v>
      </c>
      <c r="CI620" s="1488"/>
      <c r="CJ620" s="1488"/>
      <c r="CK620" s="1488"/>
      <c r="CL620" s="1488"/>
      <c r="CM620" s="1488">
        <f t="shared" si="10"/>
        <v>0</v>
      </c>
      <c r="CN620" s="1488"/>
      <c r="CO620" s="1488"/>
      <c r="CP620" s="1488"/>
      <c r="CQ620" s="1488"/>
      <c r="CR620" s="6"/>
      <c r="CS620" s="1500">
        <f t="shared" si="11"/>
        <v>0</v>
      </c>
      <c r="CT620" s="1500"/>
      <c r="CU620" s="1500"/>
      <c r="CV620" s="1500"/>
      <c r="CW620" s="1500"/>
      <c r="CX620" s="1500">
        <f t="shared" si="12"/>
        <v>0</v>
      </c>
      <c r="CY620" s="1500"/>
      <c r="CZ620" s="1500"/>
      <c r="DA620" s="1500"/>
      <c r="DB620" s="1500"/>
      <c r="DC620" s="1500">
        <f t="shared" si="13"/>
        <v>0</v>
      </c>
      <c r="DD620" s="1500"/>
      <c r="DE620" s="1500"/>
      <c r="DF620" s="1500"/>
      <c r="DG620" s="1500"/>
      <c r="DH620" s="1500">
        <f t="shared" si="14"/>
        <v>0</v>
      </c>
      <c r="DI620" s="1500"/>
      <c r="DJ620" s="1500"/>
      <c r="DK620" s="1500"/>
      <c r="DL620" s="1500"/>
      <c r="DM620" s="1500">
        <f t="shared" si="15"/>
        <v>0</v>
      </c>
      <c r="DN620" s="1500"/>
      <c r="DO620" s="1500"/>
      <c r="DP620" s="1500"/>
      <c r="DQ620" s="1500"/>
      <c r="DR620" s="1500">
        <f t="shared" si="16"/>
        <v>0</v>
      </c>
      <c r="DS620" s="1500"/>
      <c r="DT620" s="1500"/>
      <c r="DU620" s="1500"/>
      <c r="DV620" s="1500"/>
      <c r="DX620" s="1497" t="str">
        <f t="shared" si="17"/>
        <v/>
      </c>
      <c r="DY620" s="1498"/>
      <c r="DZ620" s="1498"/>
      <c r="EA620" s="1498"/>
      <c r="EB620" s="1499"/>
      <c r="EC620" s="1497" t="str">
        <f t="shared" si="18"/>
        <v/>
      </c>
      <c r="ED620" s="1498"/>
      <c r="EE620" s="1498"/>
      <c r="EF620" s="1498"/>
      <c r="EG620" s="1499"/>
      <c r="EH620" s="1497" t="str">
        <f t="shared" si="19"/>
        <v/>
      </c>
      <c r="EI620" s="1498"/>
      <c r="EJ620" s="1498"/>
      <c r="EK620" s="1498"/>
      <c r="EL620" s="1499"/>
      <c r="EM620" s="1497" t="str">
        <f t="shared" si="20"/>
        <v/>
      </c>
      <c r="EN620" s="1498"/>
      <c r="EO620" s="1498"/>
      <c r="EP620" s="1498"/>
      <c r="EQ620" s="1499"/>
      <c r="ER620" s="1497" t="str">
        <f t="shared" si="21"/>
        <v/>
      </c>
      <c r="ES620" s="1498"/>
      <c r="ET620" s="1498"/>
      <c r="EU620" s="1498"/>
      <c r="EV620" s="1499"/>
      <c r="EW620" s="1497" t="str">
        <f t="shared" si="22"/>
        <v/>
      </c>
      <c r="EX620" s="1498"/>
      <c r="EY620" s="1498"/>
      <c r="EZ620" s="1498"/>
      <c r="FA620" s="1499"/>
    </row>
    <row r="621" spans="1:157" ht="12.95" customHeight="1">
      <c r="A621" s="2"/>
      <c r="B621" s="2"/>
      <c r="C621" s="2"/>
      <c r="AZ621" s="3"/>
      <c r="BA621" s="3"/>
      <c r="BB621" s="3"/>
      <c r="BC621" s="3"/>
      <c r="BD621" s="3"/>
      <c r="BE621" s="1497">
        <f t="shared" si="1"/>
        <v>0</v>
      </c>
      <c r="BF621" s="1499"/>
      <c r="BG621" s="1489">
        <f t="shared" si="2"/>
        <v>0</v>
      </c>
      <c r="BH621" s="1491"/>
      <c r="BI621" s="1497">
        <f t="shared" si="3"/>
        <v>0</v>
      </c>
      <c r="BJ621" s="1499"/>
      <c r="BK621" s="1489">
        <f t="shared" si="4"/>
        <v>0</v>
      </c>
      <c r="BL621" s="1491"/>
      <c r="BM621" s="3"/>
      <c r="BN621" s="1485">
        <f t="shared" si="5"/>
        <v>0</v>
      </c>
      <c r="BO621" s="1486"/>
      <c r="BP621" s="1486"/>
      <c r="BQ621" s="1486"/>
      <c r="BR621" s="1487"/>
      <c r="BS621" s="1488">
        <f t="shared" si="6"/>
        <v>0</v>
      </c>
      <c r="BT621" s="1488"/>
      <c r="BU621" s="1488"/>
      <c r="BV621" s="1488"/>
      <c r="BW621" s="1488"/>
      <c r="BX621" s="1488">
        <f t="shared" si="7"/>
        <v>0</v>
      </c>
      <c r="BY621" s="1488"/>
      <c r="BZ621" s="1488"/>
      <c r="CA621" s="1488"/>
      <c r="CB621" s="1488"/>
      <c r="CC621" s="1488">
        <f t="shared" si="8"/>
        <v>0</v>
      </c>
      <c r="CD621" s="1488"/>
      <c r="CE621" s="1488"/>
      <c r="CF621" s="1488"/>
      <c r="CG621" s="1488"/>
      <c r="CH621" s="1488">
        <f t="shared" si="9"/>
        <v>0</v>
      </c>
      <c r="CI621" s="1488"/>
      <c r="CJ621" s="1488"/>
      <c r="CK621" s="1488"/>
      <c r="CL621" s="1488"/>
      <c r="CM621" s="1488">
        <f t="shared" si="10"/>
        <v>0</v>
      </c>
      <c r="CN621" s="1488"/>
      <c r="CO621" s="1488"/>
      <c r="CP621" s="1488"/>
      <c r="CQ621" s="1488"/>
      <c r="CR621" s="6"/>
      <c r="CS621" s="1500">
        <f t="shared" si="11"/>
        <v>0</v>
      </c>
      <c r="CT621" s="1500"/>
      <c r="CU621" s="1500"/>
      <c r="CV621" s="1500"/>
      <c r="CW621" s="1500"/>
      <c r="CX621" s="1500">
        <f t="shared" si="12"/>
        <v>0</v>
      </c>
      <c r="CY621" s="1500"/>
      <c r="CZ621" s="1500"/>
      <c r="DA621" s="1500"/>
      <c r="DB621" s="1500"/>
      <c r="DC621" s="1500">
        <f t="shared" si="13"/>
        <v>0</v>
      </c>
      <c r="DD621" s="1500"/>
      <c r="DE621" s="1500"/>
      <c r="DF621" s="1500"/>
      <c r="DG621" s="1500"/>
      <c r="DH621" s="1500">
        <f t="shared" si="14"/>
        <v>0</v>
      </c>
      <c r="DI621" s="1500"/>
      <c r="DJ621" s="1500"/>
      <c r="DK621" s="1500"/>
      <c r="DL621" s="1500"/>
      <c r="DM621" s="1500">
        <f t="shared" si="15"/>
        <v>0</v>
      </c>
      <c r="DN621" s="1500"/>
      <c r="DO621" s="1500"/>
      <c r="DP621" s="1500"/>
      <c r="DQ621" s="1500"/>
      <c r="DR621" s="1500">
        <f t="shared" si="16"/>
        <v>0</v>
      </c>
      <c r="DS621" s="1500"/>
      <c r="DT621" s="1500"/>
      <c r="DU621" s="1500"/>
      <c r="DV621" s="1500"/>
      <c r="DX621" s="1497" t="str">
        <f t="shared" si="17"/>
        <v/>
      </c>
      <c r="DY621" s="1498"/>
      <c r="DZ621" s="1498"/>
      <c r="EA621" s="1498"/>
      <c r="EB621" s="1499"/>
      <c r="EC621" s="1497" t="str">
        <f t="shared" si="18"/>
        <v/>
      </c>
      <c r="ED621" s="1498"/>
      <c r="EE621" s="1498"/>
      <c r="EF621" s="1498"/>
      <c r="EG621" s="1499"/>
      <c r="EH621" s="1497" t="str">
        <f t="shared" si="19"/>
        <v/>
      </c>
      <c r="EI621" s="1498"/>
      <c r="EJ621" s="1498"/>
      <c r="EK621" s="1498"/>
      <c r="EL621" s="1499"/>
      <c r="EM621" s="1497" t="str">
        <f t="shared" si="20"/>
        <v/>
      </c>
      <c r="EN621" s="1498"/>
      <c r="EO621" s="1498"/>
      <c r="EP621" s="1498"/>
      <c r="EQ621" s="1499"/>
      <c r="ER621" s="1497" t="str">
        <f t="shared" si="21"/>
        <v/>
      </c>
      <c r="ES621" s="1498"/>
      <c r="ET621" s="1498"/>
      <c r="EU621" s="1498"/>
      <c r="EV621" s="1499"/>
      <c r="EW621" s="1497" t="str">
        <f t="shared" si="22"/>
        <v/>
      </c>
      <c r="EX621" s="1498"/>
      <c r="EY621" s="1498"/>
      <c r="EZ621" s="1498"/>
      <c r="FA621" s="1499"/>
    </row>
    <row r="622" spans="1:157" ht="12.95" customHeight="1">
      <c r="C622" s="2" t="s">
        <v>2418</v>
      </c>
      <c r="AZ622" s="3"/>
      <c r="BA622" s="3"/>
      <c r="BB622" s="3"/>
      <c r="BC622" s="3"/>
      <c r="BD622" s="3"/>
      <c r="BE622" s="1497">
        <f t="shared" si="1"/>
        <v>0</v>
      </c>
      <c r="BF622" s="1499"/>
      <c r="BG622" s="1489">
        <f t="shared" si="2"/>
        <v>0</v>
      </c>
      <c r="BH622" s="1491"/>
      <c r="BI622" s="1497">
        <f t="shared" si="3"/>
        <v>0</v>
      </c>
      <c r="BJ622" s="1499"/>
      <c r="BK622" s="1489">
        <f t="shared" si="4"/>
        <v>0</v>
      </c>
      <c r="BL622" s="1491"/>
      <c r="BM622" s="3"/>
      <c r="BN622" s="1485">
        <f t="shared" si="5"/>
        <v>0</v>
      </c>
      <c r="BO622" s="1486"/>
      <c r="BP622" s="1486"/>
      <c r="BQ622" s="1486"/>
      <c r="BR622" s="1487"/>
      <c r="BS622" s="1488">
        <f t="shared" si="6"/>
        <v>0</v>
      </c>
      <c r="BT622" s="1488"/>
      <c r="BU622" s="1488"/>
      <c r="BV622" s="1488"/>
      <c r="BW622" s="1488"/>
      <c r="BX622" s="1488">
        <f t="shared" si="7"/>
        <v>0</v>
      </c>
      <c r="BY622" s="1488"/>
      <c r="BZ622" s="1488"/>
      <c r="CA622" s="1488"/>
      <c r="CB622" s="1488"/>
      <c r="CC622" s="1488">
        <f t="shared" si="8"/>
        <v>0</v>
      </c>
      <c r="CD622" s="1488"/>
      <c r="CE622" s="1488"/>
      <c r="CF622" s="1488"/>
      <c r="CG622" s="1488"/>
      <c r="CH622" s="1488">
        <f t="shared" si="9"/>
        <v>0</v>
      </c>
      <c r="CI622" s="1488"/>
      <c r="CJ622" s="1488"/>
      <c r="CK622" s="1488"/>
      <c r="CL622" s="1488"/>
      <c r="CM622" s="1488">
        <f t="shared" si="10"/>
        <v>0</v>
      </c>
      <c r="CN622" s="1488"/>
      <c r="CO622" s="1488"/>
      <c r="CP622" s="1488"/>
      <c r="CQ622" s="1488"/>
      <c r="CR622" s="6"/>
      <c r="CS622" s="1500">
        <f t="shared" si="11"/>
        <v>0</v>
      </c>
      <c r="CT622" s="1500"/>
      <c r="CU622" s="1500"/>
      <c r="CV622" s="1500"/>
      <c r="CW622" s="1500"/>
      <c r="CX622" s="1500">
        <f t="shared" si="12"/>
        <v>0</v>
      </c>
      <c r="CY622" s="1500"/>
      <c r="CZ622" s="1500"/>
      <c r="DA622" s="1500"/>
      <c r="DB622" s="1500"/>
      <c r="DC622" s="1500">
        <f t="shared" si="13"/>
        <v>0</v>
      </c>
      <c r="DD622" s="1500"/>
      <c r="DE622" s="1500"/>
      <c r="DF622" s="1500"/>
      <c r="DG622" s="1500"/>
      <c r="DH622" s="1500">
        <f t="shared" si="14"/>
        <v>0</v>
      </c>
      <c r="DI622" s="1500"/>
      <c r="DJ622" s="1500"/>
      <c r="DK622" s="1500"/>
      <c r="DL622" s="1500"/>
      <c r="DM622" s="1500">
        <f t="shared" si="15"/>
        <v>0</v>
      </c>
      <c r="DN622" s="1500"/>
      <c r="DO622" s="1500"/>
      <c r="DP622" s="1500"/>
      <c r="DQ622" s="1500"/>
      <c r="DR622" s="1500">
        <f t="shared" si="16"/>
        <v>0</v>
      </c>
      <c r="DS622" s="1500"/>
      <c r="DT622" s="1500"/>
      <c r="DU622" s="1500"/>
      <c r="DV622" s="1500"/>
      <c r="DX622" s="1497" t="str">
        <f t="shared" si="17"/>
        <v/>
      </c>
      <c r="DY622" s="1498"/>
      <c r="DZ622" s="1498"/>
      <c r="EA622" s="1498"/>
      <c r="EB622" s="1499"/>
      <c r="EC622" s="1497" t="str">
        <f t="shared" si="18"/>
        <v/>
      </c>
      <c r="ED622" s="1498"/>
      <c r="EE622" s="1498"/>
      <c r="EF622" s="1498"/>
      <c r="EG622" s="1499"/>
      <c r="EH622" s="1497" t="str">
        <f t="shared" si="19"/>
        <v/>
      </c>
      <c r="EI622" s="1498"/>
      <c r="EJ622" s="1498"/>
      <c r="EK622" s="1498"/>
      <c r="EL622" s="1499"/>
      <c r="EM622" s="1497" t="str">
        <f t="shared" si="20"/>
        <v/>
      </c>
      <c r="EN622" s="1498"/>
      <c r="EO622" s="1498"/>
      <c r="EP622" s="1498"/>
      <c r="EQ622" s="1499"/>
      <c r="ER622" s="1497" t="str">
        <f t="shared" si="21"/>
        <v/>
      </c>
      <c r="ES622" s="1498"/>
      <c r="ET622" s="1498"/>
      <c r="EU622" s="1498"/>
      <c r="EV622" s="1499"/>
      <c r="EW622" s="1497" t="str">
        <f t="shared" si="22"/>
        <v/>
      </c>
      <c r="EX622" s="1498"/>
      <c r="EY622" s="1498"/>
      <c r="EZ622" s="1498"/>
      <c r="FA622" s="1499"/>
    </row>
    <row r="623" spans="1:157" ht="12.95" customHeight="1">
      <c r="B623" s="546"/>
      <c r="C623" s="2"/>
      <c r="AU623" s="3"/>
      <c r="AZ623" s="3"/>
      <c r="BA623" s="3"/>
      <c r="BB623" s="3"/>
      <c r="BC623" s="3"/>
      <c r="BD623" s="3"/>
      <c r="BE623" s="1497">
        <f t="shared" si="1"/>
        <v>0</v>
      </c>
      <c r="BF623" s="1499"/>
      <c r="BG623" s="1489">
        <f t="shared" si="2"/>
        <v>0</v>
      </c>
      <c r="BH623" s="1491"/>
      <c r="BI623" s="1497">
        <f t="shared" si="3"/>
        <v>0</v>
      </c>
      <c r="BJ623" s="1499"/>
      <c r="BK623" s="1489">
        <f t="shared" si="4"/>
        <v>0</v>
      </c>
      <c r="BL623" s="1491"/>
      <c r="BM623" s="3"/>
      <c r="BN623" s="1485">
        <f t="shared" si="5"/>
        <v>0</v>
      </c>
      <c r="BO623" s="1486"/>
      <c r="BP623" s="1486"/>
      <c r="BQ623" s="1486"/>
      <c r="BR623" s="1487"/>
      <c r="BS623" s="1488">
        <f t="shared" si="6"/>
        <v>0</v>
      </c>
      <c r="BT623" s="1488"/>
      <c r="BU623" s="1488"/>
      <c r="BV623" s="1488"/>
      <c r="BW623" s="1488"/>
      <c r="BX623" s="1488">
        <f t="shared" si="7"/>
        <v>0</v>
      </c>
      <c r="BY623" s="1488"/>
      <c r="BZ623" s="1488"/>
      <c r="CA623" s="1488"/>
      <c r="CB623" s="1488"/>
      <c r="CC623" s="1488">
        <f t="shared" si="8"/>
        <v>0</v>
      </c>
      <c r="CD623" s="1488"/>
      <c r="CE623" s="1488"/>
      <c r="CF623" s="1488"/>
      <c r="CG623" s="1488"/>
      <c r="CH623" s="1488">
        <f t="shared" si="9"/>
        <v>0</v>
      </c>
      <c r="CI623" s="1488"/>
      <c r="CJ623" s="1488"/>
      <c r="CK623" s="1488"/>
      <c r="CL623" s="1488"/>
      <c r="CM623" s="1488">
        <f t="shared" si="10"/>
        <v>0</v>
      </c>
      <c r="CN623" s="1488"/>
      <c r="CO623" s="1488"/>
      <c r="CP623" s="1488"/>
      <c r="CQ623" s="1488"/>
      <c r="CR623" s="6"/>
      <c r="CS623" s="1500">
        <f t="shared" si="11"/>
        <v>0</v>
      </c>
      <c r="CT623" s="1500"/>
      <c r="CU623" s="1500"/>
      <c r="CV623" s="1500"/>
      <c r="CW623" s="1500"/>
      <c r="CX623" s="1500">
        <f t="shared" si="12"/>
        <v>0</v>
      </c>
      <c r="CY623" s="1500"/>
      <c r="CZ623" s="1500"/>
      <c r="DA623" s="1500"/>
      <c r="DB623" s="1500"/>
      <c r="DC623" s="1500">
        <f t="shared" si="13"/>
        <v>0</v>
      </c>
      <c r="DD623" s="1500"/>
      <c r="DE623" s="1500"/>
      <c r="DF623" s="1500"/>
      <c r="DG623" s="1500"/>
      <c r="DH623" s="1500">
        <f t="shared" si="14"/>
        <v>0</v>
      </c>
      <c r="DI623" s="1500"/>
      <c r="DJ623" s="1500"/>
      <c r="DK623" s="1500"/>
      <c r="DL623" s="1500"/>
      <c r="DM623" s="1500">
        <f t="shared" si="15"/>
        <v>0</v>
      </c>
      <c r="DN623" s="1500"/>
      <c r="DO623" s="1500"/>
      <c r="DP623" s="1500"/>
      <c r="DQ623" s="1500"/>
      <c r="DR623" s="1500">
        <f t="shared" si="16"/>
        <v>0</v>
      </c>
      <c r="DS623" s="1500"/>
      <c r="DT623" s="1500"/>
      <c r="DU623" s="1500"/>
      <c r="DV623" s="1500"/>
      <c r="DX623" s="1497" t="str">
        <f t="shared" si="17"/>
        <v/>
      </c>
      <c r="DY623" s="1498"/>
      <c r="DZ623" s="1498"/>
      <c r="EA623" s="1498"/>
      <c r="EB623" s="1499"/>
      <c r="EC623" s="1497" t="str">
        <f t="shared" si="18"/>
        <v/>
      </c>
      <c r="ED623" s="1498"/>
      <c r="EE623" s="1498"/>
      <c r="EF623" s="1498"/>
      <c r="EG623" s="1499"/>
      <c r="EH623" s="1497" t="str">
        <f t="shared" si="19"/>
        <v/>
      </c>
      <c r="EI623" s="1498"/>
      <c r="EJ623" s="1498"/>
      <c r="EK623" s="1498"/>
      <c r="EL623" s="1499"/>
      <c r="EM623" s="1497" t="str">
        <f t="shared" si="20"/>
        <v/>
      </c>
      <c r="EN623" s="1498"/>
      <c r="EO623" s="1498"/>
      <c r="EP623" s="1498"/>
      <c r="EQ623" s="1499"/>
      <c r="ER623" s="1497" t="str">
        <f t="shared" si="21"/>
        <v/>
      </c>
      <c r="ES623" s="1498"/>
      <c r="ET623" s="1498"/>
      <c r="EU623" s="1498"/>
      <c r="EV623" s="1499"/>
      <c r="EW623" s="1497" t="str">
        <f t="shared" si="22"/>
        <v/>
      </c>
      <c r="EX623" s="1498"/>
      <c r="EY623" s="1498"/>
      <c r="EZ623" s="1498"/>
      <c r="FA623" s="1499"/>
    </row>
    <row r="624" spans="1:157" ht="12.95" customHeight="1">
      <c r="B624" s="1753" t="s">
        <v>2420</v>
      </c>
      <c r="C624" s="1753"/>
      <c r="D624" s="1753"/>
      <c r="E624" s="1753"/>
      <c r="F624" s="1753"/>
      <c r="G624" s="1753"/>
      <c r="H624" s="1753"/>
      <c r="I624" s="1753"/>
      <c r="J624" s="1753"/>
      <c r="K624" s="1753"/>
      <c r="L624" s="1753"/>
      <c r="M624" s="1453" t="s">
        <v>2421</v>
      </c>
      <c r="N624" s="1453"/>
      <c r="O624" s="1453"/>
      <c r="P624" s="1453"/>
      <c r="Q624" s="1453" t="s">
        <v>2042</v>
      </c>
      <c r="R624" s="1453"/>
      <c r="S624" s="1453"/>
      <c r="T624" s="1453" t="s">
        <v>2040</v>
      </c>
      <c r="U624" s="1453"/>
      <c r="V624" s="1453"/>
      <c r="W624" s="1454" t="s">
        <v>460</v>
      </c>
      <c r="X624" s="1454"/>
      <c r="Y624" s="1454"/>
      <c r="Z624" s="1695" t="s">
        <v>2450</v>
      </c>
      <c r="AA624" s="1695"/>
      <c r="AB624" s="1696"/>
      <c r="AC624" s="1779" t="s">
        <v>1863</v>
      </c>
      <c r="AD624" s="1780"/>
      <c r="AE624" s="1781"/>
      <c r="AF624" s="1694" t="s">
        <v>2229</v>
      </c>
      <c r="AG624" s="1695"/>
      <c r="AH624" s="1695"/>
      <c r="AI624" s="1695"/>
      <c r="AJ624" s="1696"/>
      <c r="AK624" s="1744" t="s">
        <v>2230</v>
      </c>
      <c r="AL624" s="1745"/>
      <c r="AM624" s="1745"/>
      <c r="AN624" s="1746"/>
      <c r="AO624" s="1453" t="s">
        <v>461</v>
      </c>
      <c r="AP624" s="1453"/>
      <c r="AQ624" s="1453"/>
      <c r="AR624" s="1453"/>
      <c r="AS624" s="1453"/>
      <c r="AU624" s="3"/>
      <c r="AZ624" s="3"/>
      <c r="BA624" s="3"/>
      <c r="BB624" s="3"/>
      <c r="BC624" s="3"/>
      <c r="BD624" s="3"/>
      <c r="BE624" s="1497">
        <f t="shared" si="1"/>
        <v>0</v>
      </c>
      <c r="BF624" s="1499"/>
      <c r="BG624" s="1489">
        <f t="shared" si="2"/>
        <v>0</v>
      </c>
      <c r="BH624" s="1491"/>
      <c r="BI624" s="1497">
        <f t="shared" si="3"/>
        <v>0</v>
      </c>
      <c r="BJ624" s="1499"/>
      <c r="BK624" s="1489">
        <f t="shared" si="4"/>
        <v>0</v>
      </c>
      <c r="BL624" s="1491"/>
      <c r="BM624" s="3"/>
      <c r="BN624" s="1485">
        <f t="shared" si="5"/>
        <v>0</v>
      </c>
      <c r="BO624" s="1486"/>
      <c r="BP624" s="1486"/>
      <c r="BQ624" s="1486"/>
      <c r="BR624" s="1487"/>
      <c r="BS624" s="1488">
        <f t="shared" si="6"/>
        <v>0</v>
      </c>
      <c r="BT624" s="1488"/>
      <c r="BU624" s="1488"/>
      <c r="BV624" s="1488"/>
      <c r="BW624" s="1488"/>
      <c r="BX624" s="1488">
        <f t="shared" si="7"/>
        <v>0</v>
      </c>
      <c r="BY624" s="1488"/>
      <c r="BZ624" s="1488"/>
      <c r="CA624" s="1488"/>
      <c r="CB624" s="1488"/>
      <c r="CC624" s="1488">
        <f t="shared" si="8"/>
        <v>0</v>
      </c>
      <c r="CD624" s="1488"/>
      <c r="CE624" s="1488"/>
      <c r="CF624" s="1488"/>
      <c r="CG624" s="1488"/>
      <c r="CH624" s="1488">
        <f t="shared" si="9"/>
        <v>0</v>
      </c>
      <c r="CI624" s="1488"/>
      <c r="CJ624" s="1488"/>
      <c r="CK624" s="1488"/>
      <c r="CL624" s="1488"/>
      <c r="CM624" s="1488">
        <f t="shared" si="10"/>
        <v>0</v>
      </c>
      <c r="CN624" s="1488"/>
      <c r="CO624" s="1488"/>
      <c r="CP624" s="1488"/>
      <c r="CQ624" s="1488"/>
      <c r="CR624" s="6"/>
      <c r="CS624" s="1500">
        <f t="shared" si="11"/>
        <v>0</v>
      </c>
      <c r="CT624" s="1500"/>
      <c r="CU624" s="1500"/>
      <c r="CV624" s="1500"/>
      <c r="CW624" s="1500"/>
      <c r="CX624" s="1500">
        <f t="shared" si="12"/>
        <v>0</v>
      </c>
      <c r="CY624" s="1500"/>
      <c r="CZ624" s="1500"/>
      <c r="DA624" s="1500"/>
      <c r="DB624" s="1500"/>
      <c r="DC624" s="1500">
        <f t="shared" si="13"/>
        <v>0</v>
      </c>
      <c r="DD624" s="1500"/>
      <c r="DE624" s="1500"/>
      <c r="DF624" s="1500"/>
      <c r="DG624" s="1500"/>
      <c r="DH624" s="1500">
        <f t="shared" si="14"/>
        <v>0</v>
      </c>
      <c r="DI624" s="1500"/>
      <c r="DJ624" s="1500"/>
      <c r="DK624" s="1500"/>
      <c r="DL624" s="1500"/>
      <c r="DM624" s="1500">
        <f t="shared" si="15"/>
        <v>0</v>
      </c>
      <c r="DN624" s="1500"/>
      <c r="DO624" s="1500"/>
      <c r="DP624" s="1500"/>
      <c r="DQ624" s="1500"/>
      <c r="DR624" s="1500">
        <f t="shared" si="16"/>
        <v>0</v>
      </c>
      <c r="DS624" s="1500"/>
      <c r="DT624" s="1500"/>
      <c r="DU624" s="1500"/>
      <c r="DV624" s="1500"/>
      <c r="DX624" s="1497" t="str">
        <f t="shared" si="17"/>
        <v/>
      </c>
      <c r="DY624" s="1498"/>
      <c r="DZ624" s="1498"/>
      <c r="EA624" s="1498"/>
      <c r="EB624" s="1499"/>
      <c r="EC624" s="1497" t="str">
        <f t="shared" si="18"/>
        <v/>
      </c>
      <c r="ED624" s="1498"/>
      <c r="EE624" s="1498"/>
      <c r="EF624" s="1498"/>
      <c r="EG624" s="1499"/>
      <c r="EH624" s="1497" t="str">
        <f t="shared" si="19"/>
        <v/>
      </c>
      <c r="EI624" s="1498"/>
      <c r="EJ624" s="1498"/>
      <c r="EK624" s="1498"/>
      <c r="EL624" s="1499"/>
      <c r="EM624" s="1497" t="str">
        <f t="shared" si="20"/>
        <v/>
      </c>
      <c r="EN624" s="1498"/>
      <c r="EO624" s="1498"/>
      <c r="EP624" s="1498"/>
      <c r="EQ624" s="1499"/>
      <c r="ER624" s="1497" t="str">
        <f t="shared" si="21"/>
        <v/>
      </c>
      <c r="ES624" s="1498"/>
      <c r="ET624" s="1498"/>
      <c r="EU624" s="1498"/>
      <c r="EV624" s="1499"/>
      <c r="EW624" s="1497" t="str">
        <f t="shared" si="22"/>
        <v/>
      </c>
      <c r="EX624" s="1498"/>
      <c r="EY624" s="1498"/>
      <c r="EZ624" s="1498"/>
      <c r="FA624" s="1499"/>
    </row>
    <row r="625" spans="2:157" ht="12.95" customHeight="1">
      <c r="B625" s="1753"/>
      <c r="C625" s="1753"/>
      <c r="D625" s="1753"/>
      <c r="E625" s="1753"/>
      <c r="F625" s="1753"/>
      <c r="G625" s="1753"/>
      <c r="H625" s="1753"/>
      <c r="I625" s="1753"/>
      <c r="J625" s="1753"/>
      <c r="K625" s="1753"/>
      <c r="L625" s="1753"/>
      <c r="M625" s="1453"/>
      <c r="N625" s="1453"/>
      <c r="O625" s="1453"/>
      <c r="P625" s="1453"/>
      <c r="Q625" s="1453"/>
      <c r="R625" s="1453"/>
      <c r="S625" s="1453"/>
      <c r="T625" s="1453"/>
      <c r="U625" s="1453"/>
      <c r="V625" s="1453"/>
      <c r="W625" s="1454"/>
      <c r="X625" s="1454"/>
      <c r="Y625" s="1454"/>
      <c r="Z625" s="1698"/>
      <c r="AA625" s="1698"/>
      <c r="AB625" s="1699"/>
      <c r="AC625" s="1782"/>
      <c r="AD625" s="1783"/>
      <c r="AE625" s="1784"/>
      <c r="AF625" s="1697"/>
      <c r="AG625" s="1698"/>
      <c r="AH625" s="1698"/>
      <c r="AI625" s="1698"/>
      <c r="AJ625" s="1699"/>
      <c r="AK625" s="1747"/>
      <c r="AL625" s="1748"/>
      <c r="AM625" s="1748"/>
      <c r="AN625" s="1749"/>
      <c r="AO625" s="1453"/>
      <c r="AP625" s="1453"/>
      <c r="AQ625" s="1453"/>
      <c r="AR625" s="1453"/>
      <c r="AS625" s="1453"/>
      <c r="AU625" s="3"/>
      <c r="AZ625" s="3"/>
      <c r="BA625" s="3"/>
      <c r="BB625" s="3"/>
      <c r="BC625" s="3"/>
      <c r="BD625" s="3"/>
      <c r="BE625" s="1497">
        <f t="shared" si="1"/>
        <v>0</v>
      </c>
      <c r="BF625" s="1499"/>
      <c r="BG625" s="1489">
        <f t="shared" si="2"/>
        <v>0</v>
      </c>
      <c r="BH625" s="1491"/>
      <c r="BI625" s="1497">
        <f t="shared" si="3"/>
        <v>0</v>
      </c>
      <c r="BJ625" s="1499"/>
      <c r="BK625" s="1489">
        <f t="shared" si="4"/>
        <v>0</v>
      </c>
      <c r="BL625" s="1491"/>
      <c r="BM625" s="3"/>
      <c r="BN625" s="1485">
        <f t="shared" si="5"/>
        <v>0</v>
      </c>
      <c r="BO625" s="1486"/>
      <c r="BP625" s="1486"/>
      <c r="BQ625" s="1486"/>
      <c r="BR625" s="1487"/>
      <c r="BS625" s="1488">
        <f t="shared" si="6"/>
        <v>0</v>
      </c>
      <c r="BT625" s="1488"/>
      <c r="BU625" s="1488"/>
      <c r="BV625" s="1488"/>
      <c r="BW625" s="1488"/>
      <c r="BX625" s="1488">
        <f t="shared" si="7"/>
        <v>0</v>
      </c>
      <c r="BY625" s="1488"/>
      <c r="BZ625" s="1488"/>
      <c r="CA625" s="1488"/>
      <c r="CB625" s="1488"/>
      <c r="CC625" s="1488">
        <f t="shared" si="8"/>
        <v>0</v>
      </c>
      <c r="CD625" s="1488"/>
      <c r="CE625" s="1488"/>
      <c r="CF625" s="1488"/>
      <c r="CG625" s="1488"/>
      <c r="CH625" s="1488">
        <f t="shared" si="9"/>
        <v>0</v>
      </c>
      <c r="CI625" s="1488"/>
      <c r="CJ625" s="1488"/>
      <c r="CK625" s="1488"/>
      <c r="CL625" s="1488"/>
      <c r="CM625" s="1488">
        <f t="shared" si="10"/>
        <v>0</v>
      </c>
      <c r="CN625" s="1488"/>
      <c r="CO625" s="1488"/>
      <c r="CP625" s="1488"/>
      <c r="CQ625" s="1488"/>
      <c r="CR625" s="6"/>
      <c r="CS625" s="1500">
        <f t="shared" si="11"/>
        <v>0</v>
      </c>
      <c r="CT625" s="1500"/>
      <c r="CU625" s="1500"/>
      <c r="CV625" s="1500"/>
      <c r="CW625" s="1500"/>
      <c r="CX625" s="1500">
        <f t="shared" si="12"/>
        <v>0</v>
      </c>
      <c r="CY625" s="1500"/>
      <c r="CZ625" s="1500"/>
      <c r="DA625" s="1500"/>
      <c r="DB625" s="1500"/>
      <c r="DC625" s="1500">
        <f t="shared" si="13"/>
        <v>0</v>
      </c>
      <c r="DD625" s="1500"/>
      <c r="DE625" s="1500"/>
      <c r="DF625" s="1500"/>
      <c r="DG625" s="1500"/>
      <c r="DH625" s="1500">
        <f t="shared" si="14"/>
        <v>0</v>
      </c>
      <c r="DI625" s="1500"/>
      <c r="DJ625" s="1500"/>
      <c r="DK625" s="1500"/>
      <c r="DL625" s="1500"/>
      <c r="DM625" s="1500">
        <f t="shared" si="15"/>
        <v>0</v>
      </c>
      <c r="DN625" s="1500"/>
      <c r="DO625" s="1500"/>
      <c r="DP625" s="1500"/>
      <c r="DQ625" s="1500"/>
      <c r="DR625" s="1500">
        <f t="shared" si="16"/>
        <v>0</v>
      </c>
      <c r="DS625" s="1500"/>
      <c r="DT625" s="1500"/>
      <c r="DU625" s="1500"/>
      <c r="DV625" s="1500"/>
      <c r="DX625" s="1497" t="str">
        <f t="shared" si="17"/>
        <v/>
      </c>
      <c r="DY625" s="1498"/>
      <c r="DZ625" s="1498"/>
      <c r="EA625" s="1498"/>
      <c r="EB625" s="1499"/>
      <c r="EC625" s="1497" t="str">
        <f t="shared" si="18"/>
        <v/>
      </c>
      <c r="ED625" s="1498"/>
      <c r="EE625" s="1498"/>
      <c r="EF625" s="1498"/>
      <c r="EG625" s="1499"/>
      <c r="EH625" s="1497" t="str">
        <f t="shared" si="19"/>
        <v/>
      </c>
      <c r="EI625" s="1498"/>
      <c r="EJ625" s="1498"/>
      <c r="EK625" s="1498"/>
      <c r="EL625" s="1499"/>
      <c r="EM625" s="1497" t="str">
        <f t="shared" si="20"/>
        <v/>
      </c>
      <c r="EN625" s="1498"/>
      <c r="EO625" s="1498"/>
      <c r="EP625" s="1498"/>
      <c r="EQ625" s="1499"/>
      <c r="ER625" s="1497" t="str">
        <f t="shared" si="21"/>
        <v/>
      </c>
      <c r="ES625" s="1498"/>
      <c r="ET625" s="1498"/>
      <c r="EU625" s="1498"/>
      <c r="EV625" s="1499"/>
      <c r="EW625" s="1497" t="str">
        <f t="shared" si="22"/>
        <v/>
      </c>
      <c r="EX625" s="1498"/>
      <c r="EY625" s="1498"/>
      <c r="EZ625" s="1498"/>
      <c r="FA625" s="1499"/>
    </row>
    <row r="626" spans="2:157" ht="12.95" customHeight="1">
      <c r="B626" s="1753"/>
      <c r="C626" s="1753"/>
      <c r="D626" s="1753"/>
      <c r="E626" s="1753"/>
      <c r="F626" s="1753"/>
      <c r="G626" s="1753"/>
      <c r="H626" s="1753"/>
      <c r="I626" s="1753"/>
      <c r="J626" s="1753"/>
      <c r="K626" s="1753"/>
      <c r="L626" s="1753"/>
      <c r="M626" s="1453"/>
      <c r="N626" s="1453"/>
      <c r="O626" s="1453"/>
      <c r="P626" s="1453"/>
      <c r="Q626" s="1453"/>
      <c r="R626" s="1453"/>
      <c r="S626" s="1453"/>
      <c r="T626" s="1453"/>
      <c r="U626" s="1453"/>
      <c r="V626" s="1453"/>
      <c r="W626" s="1454"/>
      <c r="X626" s="1454"/>
      <c r="Y626" s="1454"/>
      <c r="Z626" s="1701"/>
      <c r="AA626" s="1701"/>
      <c r="AB626" s="1702"/>
      <c r="AC626" s="1785"/>
      <c r="AD626" s="1786"/>
      <c r="AE626" s="1787"/>
      <c r="AF626" s="1700"/>
      <c r="AG626" s="1701"/>
      <c r="AH626" s="1701"/>
      <c r="AI626" s="1701"/>
      <c r="AJ626" s="1702"/>
      <c r="AK626" s="1750"/>
      <c r="AL626" s="1751"/>
      <c r="AM626" s="1751"/>
      <c r="AN626" s="1752"/>
      <c r="AO626" s="1453"/>
      <c r="AP626" s="1453"/>
      <c r="AQ626" s="1453"/>
      <c r="AR626" s="1453"/>
      <c r="AS626" s="1453"/>
      <c r="AT626" s="3"/>
      <c r="AU626" s="3"/>
      <c r="AZ626" s="3"/>
      <c r="BA626" s="3"/>
      <c r="BB626" s="3"/>
      <c r="BC626" s="3"/>
      <c r="BD626" s="3"/>
      <c r="BE626" s="1497">
        <f t="shared" si="1"/>
        <v>0</v>
      </c>
      <c r="BF626" s="1499"/>
      <c r="BG626" s="1489">
        <f t="shared" si="2"/>
        <v>0</v>
      </c>
      <c r="BH626" s="1491"/>
      <c r="BI626" s="1497">
        <f t="shared" si="3"/>
        <v>0</v>
      </c>
      <c r="BJ626" s="1499"/>
      <c r="BK626" s="1489">
        <f t="shared" si="4"/>
        <v>0</v>
      </c>
      <c r="BL626" s="1491"/>
      <c r="BM626" s="3"/>
      <c r="BN626" s="1485">
        <f t="shared" si="5"/>
        <v>0</v>
      </c>
      <c r="BO626" s="1486"/>
      <c r="BP626" s="1486"/>
      <c r="BQ626" s="1486"/>
      <c r="BR626" s="1487"/>
      <c r="BS626" s="1488">
        <f t="shared" si="6"/>
        <v>0</v>
      </c>
      <c r="BT626" s="1488"/>
      <c r="BU626" s="1488"/>
      <c r="BV626" s="1488"/>
      <c r="BW626" s="1488"/>
      <c r="BX626" s="1488">
        <f t="shared" si="7"/>
        <v>0</v>
      </c>
      <c r="BY626" s="1488"/>
      <c r="BZ626" s="1488"/>
      <c r="CA626" s="1488"/>
      <c r="CB626" s="1488"/>
      <c r="CC626" s="1488">
        <f t="shared" si="8"/>
        <v>0</v>
      </c>
      <c r="CD626" s="1488"/>
      <c r="CE626" s="1488"/>
      <c r="CF626" s="1488"/>
      <c r="CG626" s="1488"/>
      <c r="CH626" s="1488">
        <f t="shared" si="9"/>
        <v>0</v>
      </c>
      <c r="CI626" s="1488"/>
      <c r="CJ626" s="1488"/>
      <c r="CK626" s="1488"/>
      <c r="CL626" s="1488"/>
      <c r="CM626" s="1488">
        <f t="shared" si="10"/>
        <v>0</v>
      </c>
      <c r="CN626" s="1488"/>
      <c r="CO626" s="1488"/>
      <c r="CP626" s="1488"/>
      <c r="CQ626" s="1488"/>
      <c r="CR626" s="6"/>
      <c r="CS626" s="1500">
        <f t="shared" si="11"/>
        <v>0</v>
      </c>
      <c r="CT626" s="1500"/>
      <c r="CU626" s="1500"/>
      <c r="CV626" s="1500"/>
      <c r="CW626" s="1500"/>
      <c r="CX626" s="1500">
        <f t="shared" si="12"/>
        <v>0</v>
      </c>
      <c r="CY626" s="1500"/>
      <c r="CZ626" s="1500"/>
      <c r="DA626" s="1500"/>
      <c r="DB626" s="1500"/>
      <c r="DC626" s="1500">
        <f t="shared" si="13"/>
        <v>0</v>
      </c>
      <c r="DD626" s="1500"/>
      <c r="DE626" s="1500"/>
      <c r="DF626" s="1500"/>
      <c r="DG626" s="1500"/>
      <c r="DH626" s="1500">
        <f t="shared" si="14"/>
        <v>0</v>
      </c>
      <c r="DI626" s="1500"/>
      <c r="DJ626" s="1500"/>
      <c r="DK626" s="1500"/>
      <c r="DL626" s="1500"/>
      <c r="DM626" s="1500">
        <f t="shared" si="15"/>
        <v>0</v>
      </c>
      <c r="DN626" s="1500"/>
      <c r="DO626" s="1500"/>
      <c r="DP626" s="1500"/>
      <c r="DQ626" s="1500"/>
      <c r="DR626" s="1500">
        <f t="shared" si="16"/>
        <v>0</v>
      </c>
      <c r="DS626" s="1500"/>
      <c r="DT626" s="1500"/>
      <c r="DU626" s="1500"/>
      <c r="DV626" s="1500"/>
      <c r="DX626" s="1497" t="str">
        <f t="shared" si="17"/>
        <v/>
      </c>
      <c r="DY626" s="1498"/>
      <c r="DZ626" s="1498"/>
      <c r="EA626" s="1498"/>
      <c r="EB626" s="1499"/>
      <c r="EC626" s="1497" t="str">
        <f t="shared" si="18"/>
        <v/>
      </c>
      <c r="ED626" s="1498"/>
      <c r="EE626" s="1498"/>
      <c r="EF626" s="1498"/>
      <c r="EG626" s="1499"/>
      <c r="EH626" s="1497" t="str">
        <f t="shared" si="19"/>
        <v/>
      </c>
      <c r="EI626" s="1498"/>
      <c r="EJ626" s="1498"/>
      <c r="EK626" s="1498"/>
      <c r="EL626" s="1499"/>
      <c r="EM626" s="1497" t="str">
        <f t="shared" si="20"/>
        <v/>
      </c>
      <c r="EN626" s="1498"/>
      <c r="EO626" s="1498"/>
      <c r="EP626" s="1498"/>
      <c r="EQ626" s="1499"/>
      <c r="ER626" s="1497" t="str">
        <f t="shared" si="21"/>
        <v/>
      </c>
      <c r="ES626" s="1498"/>
      <c r="ET626" s="1498"/>
      <c r="EU626" s="1498"/>
      <c r="EV626" s="1499"/>
      <c r="EW626" s="1497" t="str">
        <f t="shared" si="22"/>
        <v/>
      </c>
      <c r="EX626" s="1498"/>
      <c r="EY626" s="1498"/>
      <c r="EZ626" s="1498"/>
      <c r="FA626" s="1499"/>
    </row>
    <row r="627" spans="2:157" ht="12.95" customHeight="1">
      <c r="B627" s="51" t="s">
        <v>112</v>
      </c>
      <c r="C627" s="1459" t="s">
        <v>2718</v>
      </c>
      <c r="D627" s="1459"/>
      <c r="E627" s="1459"/>
      <c r="F627" s="1459"/>
      <c r="G627" s="1459"/>
      <c r="H627" s="1459"/>
      <c r="I627" s="1459"/>
      <c r="J627" s="1459"/>
      <c r="K627" s="1459"/>
      <c r="L627" s="1459"/>
      <c r="M627" s="1372" t="s">
        <v>2437</v>
      </c>
      <c r="N627" s="1372"/>
      <c r="O627" s="1372"/>
      <c r="P627" s="1372"/>
      <c r="Q627" s="1447">
        <f>35*12</f>
        <v>420</v>
      </c>
      <c r="R627" s="1447"/>
      <c r="S627" s="1448"/>
      <c r="T627" s="1449">
        <f>35*12</f>
        <v>420</v>
      </c>
      <c r="U627" s="1447"/>
      <c r="V627" s="1448"/>
      <c r="W627" s="1377">
        <v>6.3799999999999996E-2</v>
      </c>
      <c r="X627" s="1378"/>
      <c r="Y627" s="1379"/>
      <c r="Z627" s="1461" t="s">
        <v>2449</v>
      </c>
      <c r="AA627" s="1462"/>
      <c r="AB627" s="1463"/>
      <c r="AC627" s="1359">
        <v>1</v>
      </c>
      <c r="AD627" s="1360"/>
      <c r="AE627" s="1361"/>
      <c r="AF627" s="1456">
        <f>PMT(W627/12,T627,-AO627)*12</f>
        <v>1599080.3756038491</v>
      </c>
      <c r="AG627" s="1457"/>
      <c r="AH627" s="1457"/>
      <c r="AI627" s="1457"/>
      <c r="AJ627" s="1458"/>
      <c r="AK627" s="1450"/>
      <c r="AL627" s="1451"/>
      <c r="AM627" s="1451"/>
      <c r="AN627" s="1452"/>
      <c r="AO627" s="1505">
        <v>22361000</v>
      </c>
      <c r="AP627" s="1505"/>
      <c r="AQ627" s="1505"/>
      <c r="AR627" s="1505"/>
      <c r="AS627" s="1505"/>
      <c r="AT627" s="3"/>
      <c r="AU627" s="3"/>
      <c r="AZ627" s="3"/>
      <c r="BA627" s="3"/>
      <c r="BB627" s="3"/>
      <c r="BC627" s="3"/>
      <c r="BD627" s="3"/>
      <c r="BE627" s="1497">
        <f t="shared" si="1"/>
        <v>0</v>
      </c>
      <c r="BF627" s="1499"/>
      <c r="BG627" s="1489">
        <f t="shared" si="2"/>
        <v>0</v>
      </c>
      <c r="BH627" s="1491"/>
      <c r="BI627" s="1497">
        <f t="shared" si="3"/>
        <v>0</v>
      </c>
      <c r="BJ627" s="1499"/>
      <c r="BK627" s="1489">
        <f t="shared" si="4"/>
        <v>0</v>
      </c>
      <c r="BL627" s="1491"/>
      <c r="BM627" s="3"/>
      <c r="BN627" s="1485">
        <f t="shared" si="5"/>
        <v>0</v>
      </c>
      <c r="BO627" s="1486"/>
      <c r="BP627" s="1486"/>
      <c r="BQ627" s="1486"/>
      <c r="BR627" s="1487"/>
      <c r="BS627" s="1488">
        <f t="shared" si="6"/>
        <v>0</v>
      </c>
      <c r="BT627" s="1488"/>
      <c r="BU627" s="1488"/>
      <c r="BV627" s="1488"/>
      <c r="BW627" s="1488"/>
      <c r="BX627" s="1488">
        <f t="shared" si="7"/>
        <v>0</v>
      </c>
      <c r="BY627" s="1488"/>
      <c r="BZ627" s="1488"/>
      <c r="CA627" s="1488"/>
      <c r="CB627" s="1488"/>
      <c r="CC627" s="1488">
        <f t="shared" si="8"/>
        <v>0</v>
      </c>
      <c r="CD627" s="1488"/>
      <c r="CE627" s="1488"/>
      <c r="CF627" s="1488"/>
      <c r="CG627" s="1488"/>
      <c r="CH627" s="1488">
        <f t="shared" si="9"/>
        <v>0</v>
      </c>
      <c r="CI627" s="1488"/>
      <c r="CJ627" s="1488"/>
      <c r="CK627" s="1488"/>
      <c r="CL627" s="1488"/>
      <c r="CM627" s="1488">
        <f t="shared" si="10"/>
        <v>0</v>
      </c>
      <c r="CN627" s="1488"/>
      <c r="CO627" s="1488"/>
      <c r="CP627" s="1488"/>
      <c r="CQ627" s="1488"/>
      <c r="CR627" s="6"/>
      <c r="CS627" s="1500">
        <f t="shared" si="11"/>
        <v>0</v>
      </c>
      <c r="CT627" s="1500"/>
      <c r="CU627" s="1500"/>
      <c r="CV627" s="1500"/>
      <c r="CW627" s="1500"/>
      <c r="CX627" s="1500">
        <f t="shared" si="12"/>
        <v>0</v>
      </c>
      <c r="CY627" s="1500"/>
      <c r="CZ627" s="1500"/>
      <c r="DA627" s="1500"/>
      <c r="DB627" s="1500"/>
      <c r="DC627" s="1500">
        <f t="shared" si="13"/>
        <v>0</v>
      </c>
      <c r="DD627" s="1500"/>
      <c r="DE627" s="1500"/>
      <c r="DF627" s="1500"/>
      <c r="DG627" s="1500"/>
      <c r="DH627" s="1500">
        <f t="shared" si="14"/>
        <v>0</v>
      </c>
      <c r="DI627" s="1500"/>
      <c r="DJ627" s="1500"/>
      <c r="DK627" s="1500"/>
      <c r="DL627" s="1500"/>
      <c r="DM627" s="1500">
        <f t="shared" si="15"/>
        <v>0</v>
      </c>
      <c r="DN627" s="1500"/>
      <c r="DO627" s="1500"/>
      <c r="DP627" s="1500"/>
      <c r="DQ627" s="1500"/>
      <c r="DR627" s="1500">
        <f t="shared" si="16"/>
        <v>0</v>
      </c>
      <c r="DS627" s="1500"/>
      <c r="DT627" s="1500"/>
      <c r="DU627" s="1500"/>
      <c r="DV627" s="1500"/>
      <c r="DX627" s="1497" t="str">
        <f t="shared" si="17"/>
        <v/>
      </c>
      <c r="DY627" s="1498"/>
      <c r="DZ627" s="1498"/>
      <c r="EA627" s="1498"/>
      <c r="EB627" s="1499"/>
      <c r="EC627" s="1497" t="str">
        <f t="shared" si="18"/>
        <v/>
      </c>
      <c r="ED627" s="1498"/>
      <c r="EE627" s="1498"/>
      <c r="EF627" s="1498"/>
      <c r="EG627" s="1499"/>
      <c r="EH627" s="1497" t="str">
        <f t="shared" si="19"/>
        <v/>
      </c>
      <c r="EI627" s="1498"/>
      <c r="EJ627" s="1498"/>
      <c r="EK627" s="1498"/>
      <c r="EL627" s="1499"/>
      <c r="EM627" s="1497" t="str">
        <f t="shared" si="20"/>
        <v/>
      </c>
      <c r="EN627" s="1498"/>
      <c r="EO627" s="1498"/>
      <c r="EP627" s="1498"/>
      <c r="EQ627" s="1499"/>
      <c r="ER627" s="1497" t="str">
        <f t="shared" si="21"/>
        <v/>
      </c>
      <c r="ES627" s="1498"/>
      <c r="ET627" s="1498"/>
      <c r="EU627" s="1498"/>
      <c r="EV627" s="1499"/>
      <c r="EW627" s="1497" t="str">
        <f t="shared" si="22"/>
        <v/>
      </c>
      <c r="EX627" s="1498"/>
      <c r="EY627" s="1498"/>
      <c r="EZ627" s="1498"/>
      <c r="FA627" s="1499"/>
    </row>
    <row r="628" spans="2:157" ht="12.95" customHeight="1">
      <c r="B628" s="52" t="s">
        <v>113</v>
      </c>
      <c r="C628" s="1459" t="s">
        <v>2746</v>
      </c>
      <c r="D628" s="1459"/>
      <c r="E628" s="1459"/>
      <c r="F628" s="1459"/>
      <c r="G628" s="1459"/>
      <c r="H628" s="1459"/>
      <c r="I628" s="1459"/>
      <c r="J628" s="1459"/>
      <c r="K628" s="1459"/>
      <c r="L628" s="1459"/>
      <c r="M628" s="1372" t="s">
        <v>2433</v>
      </c>
      <c r="N628" s="1372"/>
      <c r="O628" s="1372"/>
      <c r="P628" s="1372"/>
      <c r="Q628" s="1449">
        <f>12*55</f>
        <v>660</v>
      </c>
      <c r="R628" s="1447"/>
      <c r="S628" s="1448"/>
      <c r="T628" s="1449"/>
      <c r="U628" s="1447"/>
      <c r="V628" s="1448"/>
      <c r="W628" s="1377">
        <v>0.03</v>
      </c>
      <c r="X628" s="1378"/>
      <c r="Y628" s="1379"/>
      <c r="Z628" s="1461" t="s">
        <v>464</v>
      </c>
      <c r="AA628" s="1462"/>
      <c r="AB628" s="1463"/>
      <c r="AC628" s="1359">
        <v>2</v>
      </c>
      <c r="AD628" s="1360"/>
      <c r="AE628" s="1361"/>
      <c r="AF628" s="1456">
        <f>0.42%*AO628</f>
        <v>94500</v>
      </c>
      <c r="AG628" s="1457"/>
      <c r="AH628" s="1457"/>
      <c r="AI628" s="1457"/>
      <c r="AJ628" s="1458"/>
      <c r="AK628" s="1450"/>
      <c r="AL628" s="1451"/>
      <c r="AM628" s="1451"/>
      <c r="AN628" s="1452"/>
      <c r="AO628" s="1502">
        <v>22500000</v>
      </c>
      <c r="AP628" s="1503"/>
      <c r="AQ628" s="1503"/>
      <c r="AR628" s="1503"/>
      <c r="AS628" s="1504"/>
      <c r="AT628" s="1192" t="str">
        <f>IF(AND(NOT(C627=""),C628="",NOT(C629="")),"!","")</f>
        <v/>
      </c>
      <c r="AU628" s="3"/>
      <c r="AZ628" s="3"/>
      <c r="BA628" s="3"/>
      <c r="BB628" s="3"/>
      <c r="BC628" s="3"/>
      <c r="BD628" s="3"/>
      <c r="BE628" s="1497">
        <f t="shared" si="1"/>
        <v>0</v>
      </c>
      <c r="BF628" s="1499"/>
      <c r="BG628" s="1489">
        <f t="shared" si="2"/>
        <v>0</v>
      </c>
      <c r="BH628" s="1491"/>
      <c r="BI628" s="1497">
        <f t="shared" si="3"/>
        <v>0</v>
      </c>
      <c r="BJ628" s="1499"/>
      <c r="BK628" s="1489">
        <f t="shared" si="4"/>
        <v>0</v>
      </c>
      <c r="BL628" s="1491"/>
      <c r="BM628" s="3"/>
      <c r="BN628" s="1485">
        <f t="shared" si="5"/>
        <v>0</v>
      </c>
      <c r="BO628" s="1486"/>
      <c r="BP628" s="1486"/>
      <c r="BQ628" s="1486"/>
      <c r="BR628" s="1487"/>
      <c r="BS628" s="1488">
        <f t="shared" si="6"/>
        <v>0</v>
      </c>
      <c r="BT628" s="1488"/>
      <c r="BU628" s="1488"/>
      <c r="BV628" s="1488"/>
      <c r="BW628" s="1488"/>
      <c r="BX628" s="1488">
        <f t="shared" si="7"/>
        <v>0</v>
      </c>
      <c r="BY628" s="1488"/>
      <c r="BZ628" s="1488"/>
      <c r="CA628" s="1488"/>
      <c r="CB628" s="1488"/>
      <c r="CC628" s="1488">
        <f t="shared" si="8"/>
        <v>0</v>
      </c>
      <c r="CD628" s="1488"/>
      <c r="CE628" s="1488"/>
      <c r="CF628" s="1488"/>
      <c r="CG628" s="1488"/>
      <c r="CH628" s="1488">
        <f t="shared" si="9"/>
        <v>0</v>
      </c>
      <c r="CI628" s="1488"/>
      <c r="CJ628" s="1488"/>
      <c r="CK628" s="1488"/>
      <c r="CL628" s="1488"/>
      <c r="CM628" s="1488">
        <f t="shared" si="10"/>
        <v>0</v>
      </c>
      <c r="CN628" s="1488"/>
      <c r="CO628" s="1488"/>
      <c r="CP628" s="1488"/>
      <c r="CQ628" s="1488"/>
      <c r="CR628" s="6"/>
      <c r="CS628" s="1500">
        <f t="shared" si="11"/>
        <v>0</v>
      </c>
      <c r="CT628" s="1500"/>
      <c r="CU628" s="1500"/>
      <c r="CV628" s="1500"/>
      <c r="CW628" s="1500"/>
      <c r="CX628" s="1500">
        <f t="shared" si="12"/>
        <v>0</v>
      </c>
      <c r="CY628" s="1500"/>
      <c r="CZ628" s="1500"/>
      <c r="DA628" s="1500"/>
      <c r="DB628" s="1500"/>
      <c r="DC628" s="1500">
        <f t="shared" si="13"/>
        <v>0</v>
      </c>
      <c r="DD628" s="1500"/>
      <c r="DE628" s="1500"/>
      <c r="DF628" s="1500"/>
      <c r="DG628" s="1500"/>
      <c r="DH628" s="1500">
        <f t="shared" si="14"/>
        <v>0</v>
      </c>
      <c r="DI628" s="1500"/>
      <c r="DJ628" s="1500"/>
      <c r="DK628" s="1500"/>
      <c r="DL628" s="1500"/>
      <c r="DM628" s="1500">
        <f t="shared" si="15"/>
        <v>0</v>
      </c>
      <c r="DN628" s="1500"/>
      <c r="DO628" s="1500"/>
      <c r="DP628" s="1500"/>
      <c r="DQ628" s="1500"/>
      <c r="DR628" s="1500">
        <f t="shared" si="16"/>
        <v>0</v>
      </c>
      <c r="DS628" s="1500"/>
      <c r="DT628" s="1500"/>
      <c r="DU628" s="1500"/>
      <c r="DV628" s="1500"/>
      <c r="DX628" s="1497" t="str">
        <f t="shared" si="17"/>
        <v/>
      </c>
      <c r="DY628" s="1498"/>
      <c r="DZ628" s="1498"/>
      <c r="EA628" s="1498"/>
      <c r="EB628" s="1499"/>
      <c r="EC628" s="1497" t="str">
        <f t="shared" si="18"/>
        <v/>
      </c>
      <c r="ED628" s="1498"/>
      <c r="EE628" s="1498"/>
      <c r="EF628" s="1498"/>
      <c r="EG628" s="1499"/>
      <c r="EH628" s="1497" t="str">
        <f t="shared" si="19"/>
        <v/>
      </c>
      <c r="EI628" s="1498"/>
      <c r="EJ628" s="1498"/>
      <c r="EK628" s="1498"/>
      <c r="EL628" s="1499"/>
      <c r="EM628" s="1497" t="str">
        <f t="shared" si="20"/>
        <v/>
      </c>
      <c r="EN628" s="1498"/>
      <c r="EO628" s="1498"/>
      <c r="EP628" s="1498"/>
      <c r="EQ628" s="1499"/>
      <c r="ER628" s="1497" t="str">
        <f t="shared" si="21"/>
        <v/>
      </c>
      <c r="ES628" s="1498"/>
      <c r="ET628" s="1498"/>
      <c r="EU628" s="1498"/>
      <c r="EV628" s="1499"/>
      <c r="EW628" s="1497" t="str">
        <f t="shared" si="22"/>
        <v/>
      </c>
      <c r="EX628" s="1498"/>
      <c r="EY628" s="1498"/>
      <c r="EZ628" s="1498"/>
      <c r="FA628" s="1499"/>
    </row>
    <row r="629" spans="2:157" ht="12.95" customHeight="1">
      <c r="B629" s="52" t="s">
        <v>119</v>
      </c>
      <c r="C629" s="1459" t="s">
        <v>2712</v>
      </c>
      <c r="D629" s="1459"/>
      <c r="E629" s="1459"/>
      <c r="F629" s="1459"/>
      <c r="G629" s="1459"/>
      <c r="H629" s="1459"/>
      <c r="I629" s="1459"/>
      <c r="J629" s="1459"/>
      <c r="K629" s="1459"/>
      <c r="L629" s="1459"/>
      <c r="M629" s="1372" t="s">
        <v>2433</v>
      </c>
      <c r="N629" s="1372"/>
      <c r="O629" s="1372"/>
      <c r="P629" s="1372"/>
      <c r="Q629" s="1449">
        <f t="shared" ref="Q629:Q631" si="23">12*55</f>
        <v>660</v>
      </c>
      <c r="R629" s="1447"/>
      <c r="S629" s="1448"/>
      <c r="T629" s="1449"/>
      <c r="U629" s="1447"/>
      <c r="V629" s="1448"/>
      <c r="W629" s="1377">
        <v>0.03</v>
      </c>
      <c r="X629" s="1378"/>
      <c r="Y629" s="1379"/>
      <c r="Z629" s="1461" t="s">
        <v>464</v>
      </c>
      <c r="AA629" s="1462"/>
      <c r="AB629" s="1463"/>
      <c r="AC629" s="1359">
        <v>3</v>
      </c>
      <c r="AD629" s="1360"/>
      <c r="AE629" s="1361"/>
      <c r="AF629" s="1456"/>
      <c r="AG629" s="1457"/>
      <c r="AH629" s="1457"/>
      <c r="AI629" s="1457"/>
      <c r="AJ629" s="1458"/>
      <c r="AK629" s="1450"/>
      <c r="AL629" s="1451"/>
      <c r="AM629" s="1451"/>
      <c r="AN629" s="1452"/>
      <c r="AO629" s="1502">
        <f>AM556</f>
        <v>1750000</v>
      </c>
      <c r="AP629" s="1503"/>
      <c r="AQ629" s="1503"/>
      <c r="AR629" s="1503"/>
      <c r="AS629" s="1504"/>
      <c r="AT629" s="1192" t="str">
        <f t="shared" ref="AT629:AT638" si="24">IF(AND(NOT(C628=""),C629="",NOT(C630="")),"!","")</f>
        <v/>
      </c>
      <c r="AU629" s="3"/>
      <c r="AZ629" s="3"/>
      <c r="BA629" s="3"/>
      <c r="BB629" s="3"/>
      <c r="BC629" s="3"/>
      <c r="BD629" s="3"/>
      <c r="BE629" s="1497">
        <f t="shared" si="1"/>
        <v>0</v>
      </c>
      <c r="BF629" s="1499"/>
      <c r="BG629" s="1489">
        <f t="shared" si="2"/>
        <v>0</v>
      </c>
      <c r="BH629" s="1491"/>
      <c r="BI629" s="1497">
        <f t="shared" si="3"/>
        <v>0</v>
      </c>
      <c r="BJ629" s="1499"/>
      <c r="BK629" s="1489">
        <f t="shared" si="4"/>
        <v>0</v>
      </c>
      <c r="BL629" s="1491"/>
      <c r="BM629" s="3"/>
      <c r="BN629" s="1485">
        <f t="shared" si="5"/>
        <v>0</v>
      </c>
      <c r="BO629" s="1486"/>
      <c r="BP629" s="1486"/>
      <c r="BQ629" s="1486"/>
      <c r="BR629" s="1487"/>
      <c r="BS629" s="1488">
        <f t="shared" si="6"/>
        <v>0</v>
      </c>
      <c r="BT629" s="1488"/>
      <c r="BU629" s="1488"/>
      <c r="BV629" s="1488"/>
      <c r="BW629" s="1488"/>
      <c r="BX629" s="1488">
        <f t="shared" si="7"/>
        <v>0</v>
      </c>
      <c r="BY629" s="1488"/>
      <c r="BZ629" s="1488"/>
      <c r="CA629" s="1488"/>
      <c r="CB629" s="1488"/>
      <c r="CC629" s="1488">
        <f t="shared" si="8"/>
        <v>0</v>
      </c>
      <c r="CD629" s="1488"/>
      <c r="CE629" s="1488"/>
      <c r="CF629" s="1488"/>
      <c r="CG629" s="1488"/>
      <c r="CH629" s="1488">
        <f t="shared" si="9"/>
        <v>0</v>
      </c>
      <c r="CI629" s="1488"/>
      <c r="CJ629" s="1488"/>
      <c r="CK629" s="1488"/>
      <c r="CL629" s="1488"/>
      <c r="CM629" s="1488">
        <f t="shared" si="10"/>
        <v>0</v>
      </c>
      <c r="CN629" s="1488"/>
      <c r="CO629" s="1488"/>
      <c r="CP629" s="1488"/>
      <c r="CQ629" s="1488"/>
      <c r="CR629" s="6"/>
      <c r="CS629" s="1500">
        <f t="shared" si="11"/>
        <v>0</v>
      </c>
      <c r="CT629" s="1500"/>
      <c r="CU629" s="1500"/>
      <c r="CV629" s="1500"/>
      <c r="CW629" s="1500"/>
      <c r="CX629" s="1500">
        <f t="shared" si="12"/>
        <v>0</v>
      </c>
      <c r="CY629" s="1500"/>
      <c r="CZ629" s="1500"/>
      <c r="DA629" s="1500"/>
      <c r="DB629" s="1500"/>
      <c r="DC629" s="1500">
        <f t="shared" si="13"/>
        <v>0</v>
      </c>
      <c r="DD629" s="1500"/>
      <c r="DE629" s="1500"/>
      <c r="DF629" s="1500"/>
      <c r="DG629" s="1500"/>
      <c r="DH629" s="1500">
        <f t="shared" si="14"/>
        <v>0</v>
      </c>
      <c r="DI629" s="1500"/>
      <c r="DJ629" s="1500"/>
      <c r="DK629" s="1500"/>
      <c r="DL629" s="1500"/>
      <c r="DM629" s="1500">
        <f t="shared" si="15"/>
        <v>0</v>
      </c>
      <c r="DN629" s="1500"/>
      <c r="DO629" s="1500"/>
      <c r="DP629" s="1500"/>
      <c r="DQ629" s="1500"/>
      <c r="DR629" s="1500">
        <f t="shared" si="16"/>
        <v>0</v>
      </c>
      <c r="DS629" s="1500"/>
      <c r="DT629" s="1500"/>
      <c r="DU629" s="1500"/>
      <c r="DV629" s="1500"/>
      <c r="DX629" s="1497" t="str">
        <f t="shared" si="17"/>
        <v/>
      </c>
      <c r="DY629" s="1498"/>
      <c r="DZ629" s="1498"/>
      <c r="EA629" s="1498"/>
      <c r="EB629" s="1499"/>
      <c r="EC629" s="1497" t="str">
        <f t="shared" si="18"/>
        <v/>
      </c>
      <c r="ED629" s="1498"/>
      <c r="EE629" s="1498"/>
      <c r="EF629" s="1498"/>
      <c r="EG629" s="1499"/>
      <c r="EH629" s="1497" t="str">
        <f t="shared" si="19"/>
        <v/>
      </c>
      <c r="EI629" s="1498"/>
      <c r="EJ629" s="1498"/>
      <c r="EK629" s="1498"/>
      <c r="EL629" s="1499"/>
      <c r="EM629" s="1497" t="str">
        <f t="shared" si="20"/>
        <v/>
      </c>
      <c r="EN629" s="1498"/>
      <c r="EO629" s="1498"/>
      <c r="EP629" s="1498"/>
      <c r="EQ629" s="1499"/>
      <c r="ER629" s="1497" t="str">
        <f t="shared" si="21"/>
        <v/>
      </c>
      <c r="ES629" s="1498"/>
      <c r="ET629" s="1498"/>
      <c r="EU629" s="1498"/>
      <c r="EV629" s="1499"/>
      <c r="EW629" s="1497" t="str">
        <f t="shared" si="22"/>
        <v/>
      </c>
      <c r="EX629" s="1498"/>
      <c r="EY629" s="1498"/>
      <c r="EZ629" s="1498"/>
      <c r="FA629" s="1499"/>
    </row>
    <row r="630" spans="2:157" ht="12.95" customHeight="1">
      <c r="B630" s="52" t="s">
        <v>588</v>
      </c>
      <c r="C630" s="1376" t="s">
        <v>2713</v>
      </c>
      <c r="D630" s="1376"/>
      <c r="E630" s="1376"/>
      <c r="F630" s="1376"/>
      <c r="G630" s="1376"/>
      <c r="H630" s="1376"/>
      <c r="I630" s="1376"/>
      <c r="J630" s="1376"/>
      <c r="K630" s="1376"/>
      <c r="L630" s="1376"/>
      <c r="M630" s="1372" t="s">
        <v>2433</v>
      </c>
      <c r="N630" s="1372"/>
      <c r="O630" s="1372"/>
      <c r="P630" s="1372"/>
      <c r="Q630" s="1449">
        <f t="shared" si="23"/>
        <v>660</v>
      </c>
      <c r="R630" s="1447"/>
      <c r="S630" s="1448"/>
      <c r="T630" s="1449"/>
      <c r="U630" s="1447"/>
      <c r="V630" s="1448"/>
      <c r="W630" s="1377">
        <v>0.03</v>
      </c>
      <c r="X630" s="1378"/>
      <c r="Y630" s="1379"/>
      <c r="Z630" s="1461" t="s">
        <v>464</v>
      </c>
      <c r="AA630" s="1462"/>
      <c r="AB630" s="1463"/>
      <c r="AC630" s="1359">
        <v>4</v>
      </c>
      <c r="AD630" s="1360"/>
      <c r="AE630" s="1361"/>
      <c r="AF630" s="1456"/>
      <c r="AG630" s="1457"/>
      <c r="AH630" s="1457"/>
      <c r="AI630" s="1457"/>
      <c r="AJ630" s="1458"/>
      <c r="AK630" s="1450"/>
      <c r="AL630" s="1451"/>
      <c r="AM630" s="1451"/>
      <c r="AN630" s="1452"/>
      <c r="AO630" s="1502">
        <f>AM557</f>
        <v>3805000</v>
      </c>
      <c r="AP630" s="1503"/>
      <c r="AQ630" s="1503"/>
      <c r="AR630" s="1503"/>
      <c r="AS630" s="1504"/>
      <c r="AT630" s="1192" t="str">
        <f t="shared" si="24"/>
        <v/>
      </c>
      <c r="AU630" s="3"/>
      <c r="AZ630" s="3"/>
      <c r="BA630" s="3"/>
      <c r="BB630" s="3"/>
      <c r="BC630" s="3"/>
      <c r="BD630" s="3"/>
      <c r="BE630" s="1497">
        <f t="shared" si="1"/>
        <v>0</v>
      </c>
      <c r="BF630" s="1499"/>
      <c r="BG630" s="1489">
        <f t="shared" si="2"/>
        <v>0</v>
      </c>
      <c r="BH630" s="1491"/>
      <c r="BI630" s="1497">
        <f t="shared" si="3"/>
        <v>0</v>
      </c>
      <c r="BJ630" s="1499"/>
      <c r="BK630" s="1489">
        <f t="shared" si="4"/>
        <v>0</v>
      </c>
      <c r="BL630" s="1491"/>
      <c r="BM630" s="3"/>
      <c r="BN630" s="1485">
        <f t="shared" si="5"/>
        <v>0</v>
      </c>
      <c r="BO630" s="1486"/>
      <c r="BP630" s="1486"/>
      <c r="BQ630" s="1486"/>
      <c r="BR630" s="1487"/>
      <c r="BS630" s="1488">
        <f t="shared" si="6"/>
        <v>0</v>
      </c>
      <c r="BT630" s="1488"/>
      <c r="BU630" s="1488"/>
      <c r="BV630" s="1488"/>
      <c r="BW630" s="1488"/>
      <c r="BX630" s="1488">
        <f t="shared" si="7"/>
        <v>0</v>
      </c>
      <c r="BY630" s="1488"/>
      <c r="BZ630" s="1488"/>
      <c r="CA630" s="1488"/>
      <c r="CB630" s="1488"/>
      <c r="CC630" s="1488">
        <f t="shared" si="8"/>
        <v>0</v>
      </c>
      <c r="CD630" s="1488"/>
      <c r="CE630" s="1488"/>
      <c r="CF630" s="1488"/>
      <c r="CG630" s="1488"/>
      <c r="CH630" s="1488">
        <f t="shared" si="9"/>
        <v>0</v>
      </c>
      <c r="CI630" s="1488"/>
      <c r="CJ630" s="1488"/>
      <c r="CK630" s="1488"/>
      <c r="CL630" s="1488"/>
      <c r="CM630" s="1488">
        <f t="shared" si="10"/>
        <v>0</v>
      </c>
      <c r="CN630" s="1488"/>
      <c r="CO630" s="1488"/>
      <c r="CP630" s="1488"/>
      <c r="CQ630" s="1488"/>
      <c r="CR630" s="6"/>
      <c r="CS630" s="1500">
        <f t="shared" si="11"/>
        <v>0</v>
      </c>
      <c r="CT630" s="1500"/>
      <c r="CU630" s="1500"/>
      <c r="CV630" s="1500"/>
      <c r="CW630" s="1500"/>
      <c r="CX630" s="1500">
        <f t="shared" si="12"/>
        <v>0</v>
      </c>
      <c r="CY630" s="1500"/>
      <c r="CZ630" s="1500"/>
      <c r="DA630" s="1500"/>
      <c r="DB630" s="1500"/>
      <c r="DC630" s="1500">
        <f t="shared" si="13"/>
        <v>0</v>
      </c>
      <c r="DD630" s="1500"/>
      <c r="DE630" s="1500"/>
      <c r="DF630" s="1500"/>
      <c r="DG630" s="1500"/>
      <c r="DH630" s="1500">
        <f t="shared" si="14"/>
        <v>0</v>
      </c>
      <c r="DI630" s="1500"/>
      <c r="DJ630" s="1500"/>
      <c r="DK630" s="1500"/>
      <c r="DL630" s="1500"/>
      <c r="DM630" s="1500">
        <f t="shared" si="15"/>
        <v>0</v>
      </c>
      <c r="DN630" s="1500"/>
      <c r="DO630" s="1500"/>
      <c r="DP630" s="1500"/>
      <c r="DQ630" s="1500"/>
      <c r="DR630" s="1500">
        <f t="shared" si="16"/>
        <v>0</v>
      </c>
      <c r="DS630" s="1500"/>
      <c r="DT630" s="1500"/>
      <c r="DU630" s="1500"/>
      <c r="DV630" s="1500"/>
      <c r="DX630" s="1497" t="str">
        <f t="shared" si="17"/>
        <v/>
      </c>
      <c r="DY630" s="1498"/>
      <c r="DZ630" s="1498"/>
      <c r="EA630" s="1498"/>
      <c r="EB630" s="1499"/>
      <c r="EC630" s="1497" t="str">
        <f t="shared" si="18"/>
        <v/>
      </c>
      <c r="ED630" s="1498"/>
      <c r="EE630" s="1498"/>
      <c r="EF630" s="1498"/>
      <c r="EG630" s="1499"/>
      <c r="EH630" s="1497" t="str">
        <f t="shared" si="19"/>
        <v/>
      </c>
      <c r="EI630" s="1498"/>
      <c r="EJ630" s="1498"/>
      <c r="EK630" s="1498"/>
      <c r="EL630" s="1499"/>
      <c r="EM630" s="1497" t="str">
        <f t="shared" si="20"/>
        <v/>
      </c>
      <c r="EN630" s="1498"/>
      <c r="EO630" s="1498"/>
      <c r="EP630" s="1498"/>
      <c r="EQ630" s="1499"/>
      <c r="ER630" s="1497" t="str">
        <f t="shared" si="21"/>
        <v/>
      </c>
      <c r="ES630" s="1498"/>
      <c r="ET630" s="1498"/>
      <c r="EU630" s="1498"/>
      <c r="EV630" s="1499"/>
      <c r="EW630" s="1497" t="str">
        <f t="shared" si="22"/>
        <v/>
      </c>
      <c r="EX630" s="1498"/>
      <c r="EY630" s="1498"/>
      <c r="EZ630" s="1498"/>
      <c r="FA630" s="1499"/>
    </row>
    <row r="631" spans="2:157" ht="12.95" customHeight="1">
      <c r="B631" s="52" t="s">
        <v>771</v>
      </c>
      <c r="C631" s="1459" t="s">
        <v>2760</v>
      </c>
      <c r="D631" s="1376"/>
      <c r="E631" s="1376"/>
      <c r="F631" s="1376"/>
      <c r="G631" s="1376"/>
      <c r="H631" s="1376"/>
      <c r="I631" s="1376"/>
      <c r="J631" s="1376"/>
      <c r="K631" s="1376"/>
      <c r="L631" s="1376"/>
      <c r="M631" s="1372" t="s">
        <v>2435</v>
      </c>
      <c r="N631" s="1372"/>
      <c r="O631" s="1372"/>
      <c r="P631" s="1372"/>
      <c r="Q631" s="1449">
        <f t="shared" si="23"/>
        <v>660</v>
      </c>
      <c r="R631" s="1447"/>
      <c r="S631" s="1448"/>
      <c r="T631" s="1449"/>
      <c r="U631" s="1447"/>
      <c r="V631" s="1448"/>
      <c r="W631" s="1377">
        <v>0</v>
      </c>
      <c r="X631" s="1378"/>
      <c r="Y631" s="1379"/>
      <c r="Z631" s="1461" t="s">
        <v>464</v>
      </c>
      <c r="AA631" s="1462"/>
      <c r="AB631" s="1463"/>
      <c r="AC631" s="1359"/>
      <c r="AD631" s="1360"/>
      <c r="AE631" s="1361"/>
      <c r="AF631" s="1456"/>
      <c r="AG631" s="1457"/>
      <c r="AH631" s="1457"/>
      <c r="AI631" s="1457"/>
      <c r="AJ631" s="1458"/>
      <c r="AK631" s="1450"/>
      <c r="AL631" s="1451"/>
      <c r="AM631" s="1451"/>
      <c r="AN631" s="1452"/>
      <c r="AO631" s="1502">
        <v>240000</v>
      </c>
      <c r="AP631" s="1503"/>
      <c r="AQ631" s="1503"/>
      <c r="AR631" s="1503"/>
      <c r="AS631" s="1504"/>
      <c r="AT631" s="1192" t="str">
        <f t="shared" si="24"/>
        <v/>
      </c>
      <c r="AU631" s="3"/>
      <c r="AZ631" s="3"/>
      <c r="BA631" s="3"/>
      <c r="BB631" s="3"/>
      <c r="BC631" s="3"/>
      <c r="BD631" s="3"/>
      <c r="BE631" s="1497">
        <f t="shared" si="1"/>
        <v>0</v>
      </c>
      <c r="BF631" s="1499"/>
      <c r="BG631" s="1489">
        <f t="shared" si="2"/>
        <v>0</v>
      </c>
      <c r="BH631" s="1491"/>
      <c r="BI631" s="1497">
        <f t="shared" si="3"/>
        <v>0</v>
      </c>
      <c r="BJ631" s="1499"/>
      <c r="BK631" s="1489">
        <f t="shared" si="4"/>
        <v>0</v>
      </c>
      <c r="BL631" s="1491"/>
      <c r="BM631" s="3"/>
      <c r="BN631" s="1485">
        <f t="shared" si="5"/>
        <v>0</v>
      </c>
      <c r="BO631" s="1486"/>
      <c r="BP631" s="1486"/>
      <c r="BQ631" s="1486"/>
      <c r="BR631" s="1487"/>
      <c r="BS631" s="1488">
        <f t="shared" si="6"/>
        <v>0</v>
      </c>
      <c r="BT631" s="1488"/>
      <c r="BU631" s="1488"/>
      <c r="BV631" s="1488"/>
      <c r="BW631" s="1488"/>
      <c r="BX631" s="1488">
        <f t="shared" si="7"/>
        <v>0</v>
      </c>
      <c r="BY631" s="1488"/>
      <c r="BZ631" s="1488"/>
      <c r="CA631" s="1488"/>
      <c r="CB631" s="1488"/>
      <c r="CC631" s="1488">
        <f t="shared" si="8"/>
        <v>0</v>
      </c>
      <c r="CD631" s="1488"/>
      <c r="CE631" s="1488"/>
      <c r="CF631" s="1488"/>
      <c r="CG631" s="1488"/>
      <c r="CH631" s="1488">
        <f t="shared" si="9"/>
        <v>0</v>
      </c>
      <c r="CI631" s="1488"/>
      <c r="CJ631" s="1488"/>
      <c r="CK631" s="1488"/>
      <c r="CL631" s="1488"/>
      <c r="CM631" s="1488">
        <f t="shared" si="10"/>
        <v>0</v>
      </c>
      <c r="CN631" s="1488"/>
      <c r="CO631" s="1488"/>
      <c r="CP631" s="1488"/>
      <c r="CQ631" s="1488"/>
      <c r="CR631" s="6"/>
      <c r="CS631" s="1500">
        <f t="shared" si="11"/>
        <v>0</v>
      </c>
      <c r="CT631" s="1500"/>
      <c r="CU631" s="1500"/>
      <c r="CV631" s="1500"/>
      <c r="CW631" s="1500"/>
      <c r="CX631" s="1500">
        <f t="shared" si="12"/>
        <v>0</v>
      </c>
      <c r="CY631" s="1500"/>
      <c r="CZ631" s="1500"/>
      <c r="DA631" s="1500"/>
      <c r="DB631" s="1500"/>
      <c r="DC631" s="1500">
        <f t="shared" si="13"/>
        <v>0</v>
      </c>
      <c r="DD631" s="1500"/>
      <c r="DE631" s="1500"/>
      <c r="DF631" s="1500"/>
      <c r="DG631" s="1500"/>
      <c r="DH631" s="1500">
        <f t="shared" si="14"/>
        <v>0</v>
      </c>
      <c r="DI631" s="1500"/>
      <c r="DJ631" s="1500"/>
      <c r="DK631" s="1500"/>
      <c r="DL631" s="1500"/>
      <c r="DM631" s="1500">
        <f t="shared" si="15"/>
        <v>0</v>
      </c>
      <c r="DN631" s="1500"/>
      <c r="DO631" s="1500"/>
      <c r="DP631" s="1500"/>
      <c r="DQ631" s="1500"/>
      <c r="DR631" s="1500">
        <f t="shared" si="16"/>
        <v>0</v>
      </c>
      <c r="DS631" s="1500"/>
      <c r="DT631" s="1500"/>
      <c r="DU631" s="1500"/>
      <c r="DV631" s="1500"/>
      <c r="DX631" s="1497" t="str">
        <f t="shared" si="17"/>
        <v/>
      </c>
      <c r="DY631" s="1498"/>
      <c r="DZ631" s="1498"/>
      <c r="EA631" s="1498"/>
      <c r="EB631" s="1499"/>
      <c r="EC631" s="1497" t="str">
        <f t="shared" si="18"/>
        <v/>
      </c>
      <c r="ED631" s="1498"/>
      <c r="EE631" s="1498"/>
      <c r="EF631" s="1498"/>
      <c r="EG631" s="1499"/>
      <c r="EH631" s="1497" t="str">
        <f t="shared" si="19"/>
        <v/>
      </c>
      <c r="EI631" s="1498"/>
      <c r="EJ631" s="1498"/>
      <c r="EK631" s="1498"/>
      <c r="EL631" s="1499"/>
      <c r="EM631" s="1497" t="str">
        <f t="shared" si="20"/>
        <v/>
      </c>
      <c r="EN631" s="1498"/>
      <c r="EO631" s="1498"/>
      <c r="EP631" s="1498"/>
      <c r="EQ631" s="1499"/>
      <c r="ER631" s="1497" t="str">
        <f t="shared" si="21"/>
        <v/>
      </c>
      <c r="ES631" s="1498"/>
      <c r="ET631" s="1498"/>
      <c r="EU631" s="1498"/>
      <c r="EV631" s="1499"/>
      <c r="EW631" s="1497" t="str">
        <f t="shared" si="22"/>
        <v/>
      </c>
      <c r="EX631" s="1498"/>
      <c r="EY631" s="1498"/>
      <c r="EZ631" s="1498"/>
      <c r="FA631" s="1499"/>
    </row>
    <row r="632" spans="2:157" ht="12.95" customHeight="1">
      <c r="B632" s="52" t="s">
        <v>591</v>
      </c>
      <c r="C632" s="1459" t="s">
        <v>1849</v>
      </c>
      <c r="D632" s="1376"/>
      <c r="E632" s="1376"/>
      <c r="F632" s="1376"/>
      <c r="G632" s="1376"/>
      <c r="H632" s="1376"/>
      <c r="I632" s="1376"/>
      <c r="J632" s="1376"/>
      <c r="K632" s="1376"/>
      <c r="L632" s="1376"/>
      <c r="M632" s="1372" t="s">
        <v>2424</v>
      </c>
      <c r="N632" s="1372"/>
      <c r="O632" s="1372"/>
      <c r="P632" s="1372"/>
      <c r="Q632" s="1449"/>
      <c r="R632" s="1447"/>
      <c r="S632" s="1448"/>
      <c r="T632" s="1449"/>
      <c r="U632" s="1447"/>
      <c r="V632" s="1448"/>
      <c r="W632" s="1377">
        <v>0</v>
      </c>
      <c r="X632" s="1378"/>
      <c r="Y632" s="1379"/>
      <c r="Z632" s="1461" t="s">
        <v>465</v>
      </c>
      <c r="AA632" s="1462"/>
      <c r="AB632" s="1463"/>
      <c r="AC632" s="1359"/>
      <c r="AD632" s="1360"/>
      <c r="AE632" s="1361"/>
      <c r="AF632" s="1456"/>
      <c r="AG632" s="1457"/>
      <c r="AH632" s="1457"/>
      <c r="AI632" s="1457"/>
      <c r="AJ632" s="1458"/>
      <c r="AK632" s="1450"/>
      <c r="AL632" s="1451"/>
      <c r="AM632" s="1451"/>
      <c r="AN632" s="1452"/>
      <c r="AO632" s="1502">
        <f>AM559</f>
        <v>10244374</v>
      </c>
      <c r="AP632" s="1503"/>
      <c r="AQ632" s="1503"/>
      <c r="AR632" s="1503"/>
      <c r="AS632" s="1504"/>
      <c r="AT632" s="1192" t="str">
        <f t="shared" si="24"/>
        <v/>
      </c>
      <c r="AU632" s="3"/>
      <c r="AZ632" s="3"/>
      <c r="BA632" s="3"/>
      <c r="BB632" s="3"/>
      <c r="BC632" s="3"/>
      <c r="BD632" s="3"/>
      <c r="BE632" s="3"/>
      <c r="BF632" s="3"/>
      <c r="BG632" s="1497">
        <f>SUM(BG597:BH631)</f>
        <v>59</v>
      </c>
      <c r="BH632" s="1499"/>
      <c r="BI632" s="3"/>
      <c r="BJ632" s="3"/>
      <c r="BK632" s="1497">
        <f>SUM(BK597:BL631)</f>
        <v>19</v>
      </c>
      <c r="BL632" s="1499"/>
      <c r="BM632" s="3"/>
      <c r="BN632" s="1497">
        <f>SUM(BN597:BR631)</f>
        <v>11</v>
      </c>
      <c r="BO632" s="1498"/>
      <c r="BP632" s="1498"/>
      <c r="BQ632" s="1498"/>
      <c r="BR632" s="1499"/>
      <c r="BS632" s="1501">
        <f>SUM(BS597:BW631)</f>
        <v>50</v>
      </c>
      <c r="BT632" s="1501"/>
      <c r="BU632" s="1501"/>
      <c r="BV632" s="1501"/>
      <c r="BW632" s="1501"/>
      <c r="BX632" s="1501">
        <f>SUM(BX597:CB631)</f>
        <v>31</v>
      </c>
      <c r="BY632" s="1501"/>
      <c r="BZ632" s="1501"/>
      <c r="CA632" s="1501"/>
      <c r="CB632" s="1501"/>
      <c r="CC632" s="1501">
        <f>SUM(CC597:CG631)</f>
        <v>31</v>
      </c>
      <c r="CD632" s="1501"/>
      <c r="CE632" s="1501"/>
      <c r="CF632" s="1501"/>
      <c r="CG632" s="1501"/>
      <c r="CH632" s="1501">
        <f>SUM(CH597:CL631)</f>
        <v>0</v>
      </c>
      <c r="CI632" s="1501"/>
      <c r="CJ632" s="1501"/>
      <c r="CK632" s="1501"/>
      <c r="CL632" s="1501"/>
      <c r="CM632" s="1501">
        <f>SUM(CM597:CQ631)</f>
        <v>0</v>
      </c>
      <c r="CN632" s="1501"/>
      <c r="CO632" s="1501"/>
      <c r="CP632" s="1501"/>
      <c r="CQ632" s="1501"/>
      <c r="CR632" s="385"/>
      <c r="CS632" s="1501">
        <f>SUM(CS597:CW631)</f>
        <v>1</v>
      </c>
      <c r="CT632" s="1501"/>
      <c r="CU632" s="1501"/>
      <c r="CV632" s="1501"/>
      <c r="CW632" s="1501"/>
      <c r="CX632" s="1501">
        <f>SUM(CX597:DB631)</f>
        <v>8</v>
      </c>
      <c r="CY632" s="1501"/>
      <c r="CZ632" s="1501"/>
      <c r="DA632" s="1501"/>
      <c r="DB632" s="1501"/>
      <c r="DC632" s="1501">
        <f>SUM(DC597:DG631)</f>
        <v>5</v>
      </c>
      <c r="DD632" s="1501"/>
      <c r="DE632" s="1501"/>
      <c r="DF632" s="1501"/>
      <c r="DG632" s="1501"/>
      <c r="DH632" s="1501">
        <f>SUM(DH597:DL631)</f>
        <v>5</v>
      </c>
      <c r="DI632" s="1501"/>
      <c r="DJ632" s="1501"/>
      <c r="DK632" s="1501"/>
      <c r="DL632" s="1501"/>
      <c r="DM632" s="1501">
        <f>SUM(DM597:DQ631)</f>
        <v>0</v>
      </c>
      <c r="DN632" s="1501"/>
      <c r="DO632" s="1501"/>
      <c r="DP632" s="1501"/>
      <c r="DQ632" s="1501"/>
      <c r="DR632" s="1501">
        <f>SUM(DR597:DV631)</f>
        <v>0</v>
      </c>
      <c r="DS632" s="1501"/>
      <c r="DT632" s="1501"/>
      <c r="DU632" s="1501"/>
      <c r="DV632" s="1501"/>
      <c r="DX632" s="1501">
        <f>SUM(DX597:EB631)</f>
        <v>4851</v>
      </c>
      <c r="DY632" s="1501"/>
      <c r="DZ632" s="1501"/>
      <c r="EA632" s="1501"/>
      <c r="EB632" s="1501"/>
      <c r="EC632" s="1501">
        <f>SUM(EC597:EG631)</f>
        <v>6293</v>
      </c>
      <c r="ED632" s="1501"/>
      <c r="EE632" s="1501"/>
      <c r="EF632" s="1501"/>
      <c r="EG632" s="1501"/>
      <c r="EH632" s="1501">
        <f>SUM(EH597:EL631)</f>
        <v>7470</v>
      </c>
      <c r="EI632" s="1501"/>
      <c r="EJ632" s="1501"/>
      <c r="EK632" s="1501"/>
      <c r="EL632" s="1501"/>
      <c r="EM632" s="1501">
        <f>SUM(EM597:EQ631)</f>
        <v>8535</v>
      </c>
      <c r="EN632" s="1501"/>
      <c r="EO632" s="1501"/>
      <c r="EP632" s="1501"/>
      <c r="EQ632" s="1501"/>
      <c r="ER632" s="1501">
        <f>SUM(ER597:EV631)</f>
        <v>0</v>
      </c>
      <c r="ES632" s="1501"/>
      <c r="ET632" s="1501"/>
      <c r="EU632" s="1501"/>
      <c r="EV632" s="1501"/>
      <c r="EW632" s="1501">
        <f>SUM(EW597:FA631)</f>
        <v>0</v>
      </c>
      <c r="EX632" s="1501"/>
      <c r="EY632" s="1501"/>
      <c r="EZ632" s="1501"/>
      <c r="FA632" s="1501"/>
    </row>
    <row r="633" spans="2:157" ht="12.95" customHeight="1">
      <c r="B633" s="52" t="s">
        <v>462</v>
      </c>
      <c r="C633" s="1376"/>
      <c r="D633" s="1376"/>
      <c r="E633" s="1376"/>
      <c r="F633" s="1376"/>
      <c r="G633" s="1376"/>
      <c r="H633" s="1376"/>
      <c r="I633" s="1376"/>
      <c r="J633" s="1376"/>
      <c r="K633" s="1376"/>
      <c r="L633" s="1376"/>
      <c r="M633" s="1372" t="s">
        <v>1288</v>
      </c>
      <c r="N633" s="1372"/>
      <c r="O633" s="1372"/>
      <c r="P633" s="1372"/>
      <c r="Q633" s="1449"/>
      <c r="R633" s="1447"/>
      <c r="S633" s="1448"/>
      <c r="T633" s="1449"/>
      <c r="U633" s="1447"/>
      <c r="V633" s="1448"/>
      <c r="W633" s="1377"/>
      <c r="X633" s="1378"/>
      <c r="Y633" s="1379"/>
      <c r="Z633" s="1461" t="s">
        <v>1288</v>
      </c>
      <c r="AA633" s="1462"/>
      <c r="AB633" s="1463"/>
      <c r="AC633" s="1359"/>
      <c r="AD633" s="1360"/>
      <c r="AE633" s="1361"/>
      <c r="AF633" s="1456"/>
      <c r="AG633" s="1457"/>
      <c r="AH633" s="1457"/>
      <c r="AI633" s="1457"/>
      <c r="AJ633" s="1458"/>
      <c r="AK633" s="1450"/>
      <c r="AL633" s="1451"/>
      <c r="AM633" s="1451"/>
      <c r="AN633" s="1452"/>
      <c r="AO633" s="1502"/>
      <c r="AP633" s="1503"/>
      <c r="AQ633" s="1503"/>
      <c r="AR633" s="1503"/>
      <c r="AS633" s="1504"/>
      <c r="AT633" s="1192" t="str">
        <f t="shared" si="24"/>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2050</v>
      </c>
      <c r="CM633" s="1497">
        <f>BN632+BS632+BX632+CC632+CH632+CM632</f>
        <v>123</v>
      </c>
      <c r="CN633" s="1498"/>
      <c r="CO633" s="1498"/>
      <c r="CP633" s="1498"/>
      <c r="CQ633" s="1499"/>
      <c r="CR633" s="385"/>
      <c r="CS633" s="3"/>
      <c r="CT633" s="3"/>
      <c r="CU633" s="3"/>
      <c r="CV633" s="3"/>
      <c r="CW633" s="3"/>
      <c r="CX633" s="3"/>
      <c r="CY633" s="3"/>
      <c r="CZ633" s="3"/>
      <c r="DA633" s="3"/>
      <c r="DB633" s="3"/>
      <c r="DC633" s="3"/>
      <c r="DD633" s="3"/>
      <c r="DE633" s="3"/>
      <c r="DF633" s="3"/>
    </row>
    <row r="634" spans="2:157" ht="12.95" customHeight="1">
      <c r="B634" s="52" t="s">
        <v>463</v>
      </c>
      <c r="C634" s="1376"/>
      <c r="D634" s="1376"/>
      <c r="E634" s="1376"/>
      <c r="F634" s="1376"/>
      <c r="G634" s="1376"/>
      <c r="H634" s="1376"/>
      <c r="I634" s="1376"/>
      <c r="J634" s="1376"/>
      <c r="K634" s="1376"/>
      <c r="L634" s="1376"/>
      <c r="M634" s="1372" t="s">
        <v>1288</v>
      </c>
      <c r="N634" s="1372"/>
      <c r="O634" s="1372"/>
      <c r="P634" s="1372"/>
      <c r="Q634" s="1449"/>
      <c r="R634" s="1447"/>
      <c r="S634" s="1448"/>
      <c r="T634" s="1449"/>
      <c r="U634" s="1447"/>
      <c r="V634" s="1448"/>
      <c r="W634" s="1377"/>
      <c r="X634" s="1378"/>
      <c r="Y634" s="1379"/>
      <c r="Z634" s="1461" t="s">
        <v>1288</v>
      </c>
      <c r="AA634" s="1462"/>
      <c r="AB634" s="1463"/>
      <c r="AC634" s="1359"/>
      <c r="AD634" s="1360"/>
      <c r="AE634" s="1361"/>
      <c r="AF634" s="1456"/>
      <c r="AG634" s="1457"/>
      <c r="AH634" s="1457"/>
      <c r="AI634" s="1457"/>
      <c r="AJ634" s="1458"/>
      <c r="AK634" s="1450"/>
      <c r="AL634" s="1451"/>
      <c r="AM634" s="1451"/>
      <c r="AN634" s="1452"/>
      <c r="AO634" s="1502"/>
      <c r="AP634" s="1503"/>
      <c r="AQ634" s="1503"/>
      <c r="AR634" s="1503"/>
      <c r="AS634" s="1504"/>
      <c r="AT634" s="1192" t="str">
        <f t="shared" si="24"/>
        <v/>
      </c>
      <c r="AU634" s="3"/>
      <c r="AV634" s="3"/>
      <c r="AW634" s="3"/>
      <c r="AX634" s="3"/>
      <c r="AY634" s="3"/>
      <c r="AZ634" s="3"/>
      <c r="BA634" s="3" t="s">
        <v>1288</v>
      </c>
      <c r="BB634" s="3"/>
      <c r="BC634" s="3"/>
      <c r="BD634" s="3"/>
      <c r="BE634" s="3"/>
      <c r="BF634" s="3"/>
      <c r="BG634" s="3"/>
      <c r="BH634" s="3"/>
      <c r="BI634" s="3"/>
      <c r="BJ634" s="3"/>
      <c r="BK634" s="3"/>
      <c r="BL634" s="3"/>
      <c r="BM634" s="3"/>
      <c r="BR634" s="895">
        <f>BN632*1</f>
        <v>11</v>
      </c>
      <c r="BS634" s="3"/>
      <c r="BT634" s="3"/>
      <c r="BU634" s="3"/>
      <c r="BV634" s="3"/>
      <c r="BW634" s="895">
        <f>BS632*1</f>
        <v>50</v>
      </c>
      <c r="BX634" s="3"/>
      <c r="BY634" s="3"/>
      <c r="BZ634" s="3"/>
      <c r="CA634" s="3"/>
      <c r="CB634" s="895">
        <f>BX632*2</f>
        <v>62</v>
      </c>
      <c r="CC634" s="3"/>
      <c r="CD634" s="3"/>
      <c r="CE634" s="3"/>
      <c r="CF634" s="3"/>
      <c r="CG634" s="895">
        <f>CC632*3</f>
        <v>93</v>
      </c>
      <c r="CH634" s="3"/>
      <c r="CI634" s="3"/>
      <c r="CJ634" s="3"/>
      <c r="CK634" s="3"/>
      <c r="CL634" s="895">
        <f>CH632*4</f>
        <v>0</v>
      </c>
      <c r="CM634" s="3"/>
      <c r="CN634" s="3"/>
      <c r="CO634" s="3"/>
      <c r="CP634" s="3"/>
      <c r="CQ634" s="895">
        <f>CM632*5</f>
        <v>0</v>
      </c>
      <c r="CS634" s="895">
        <f>BR634+BW634+CB634+CG634+CL634+CQ634</f>
        <v>216</v>
      </c>
      <c r="CT634" s="57" t="s">
        <v>2052</v>
      </c>
      <c r="CU634" s="3"/>
      <c r="CV634" s="3"/>
      <c r="CW634" s="3"/>
      <c r="CX634" s="3"/>
      <c r="CY634" s="3"/>
      <c r="CZ634" s="3"/>
      <c r="DA634" s="3"/>
      <c r="DB634" s="3"/>
      <c r="DC634" s="3"/>
      <c r="DD634" s="3"/>
      <c r="DE634" s="3"/>
      <c r="DF634" s="3"/>
    </row>
    <row r="635" spans="2:157" ht="12.95" customHeight="1">
      <c r="B635" s="52" t="s">
        <v>468</v>
      </c>
      <c r="C635" s="1376"/>
      <c r="D635" s="1376"/>
      <c r="E635" s="1376"/>
      <c r="F635" s="1376"/>
      <c r="G635" s="1376"/>
      <c r="H635" s="1376"/>
      <c r="I635" s="1376"/>
      <c r="J635" s="1376"/>
      <c r="K635" s="1376"/>
      <c r="L635" s="1376"/>
      <c r="M635" s="1372" t="s">
        <v>1288</v>
      </c>
      <c r="N635" s="1372"/>
      <c r="O635" s="1372"/>
      <c r="P635" s="1372"/>
      <c r="Q635" s="1449"/>
      <c r="R635" s="1447"/>
      <c r="S635" s="1448"/>
      <c r="T635" s="1449"/>
      <c r="U635" s="1447"/>
      <c r="V635" s="1448"/>
      <c r="W635" s="1377"/>
      <c r="X635" s="1378"/>
      <c r="Y635" s="1379"/>
      <c r="Z635" s="1461" t="s">
        <v>1288</v>
      </c>
      <c r="AA635" s="1462"/>
      <c r="AB635" s="1463"/>
      <c r="AC635" s="1359"/>
      <c r="AD635" s="1360"/>
      <c r="AE635" s="1361"/>
      <c r="AF635" s="1456"/>
      <c r="AG635" s="1457"/>
      <c r="AH635" s="1457"/>
      <c r="AI635" s="1457"/>
      <c r="AJ635" s="1458"/>
      <c r="AK635" s="1450"/>
      <c r="AL635" s="1451"/>
      <c r="AM635" s="1451"/>
      <c r="AN635" s="1452"/>
      <c r="AO635" s="1502"/>
      <c r="AP635" s="1503"/>
      <c r="AQ635" s="1503"/>
      <c r="AR635" s="1503"/>
      <c r="AS635" s="1504"/>
      <c r="AT635" s="1192" t="str">
        <f t="shared" si="24"/>
        <v/>
      </c>
      <c r="AU635" s="3"/>
      <c r="AV635" s="3"/>
      <c r="AW635" s="3"/>
      <c r="AX635" s="3"/>
      <c r="AY635" s="3"/>
      <c r="AZ635" s="34"/>
      <c r="BA635" s="3" t="s">
        <v>465</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84">
        <f>DX597*(BN597/$BN$632)</f>
        <v>70.909090909090907</v>
      </c>
      <c r="DY635" s="1484"/>
      <c r="DZ635" s="1484"/>
      <c r="EA635" s="1484"/>
      <c r="EB635" s="1484"/>
      <c r="EC635" s="1484" t="e">
        <f t="shared" ref="EC635:EC657" si="25">EC597*(BS597/$BS$632)</f>
        <v>#VALUE!</v>
      </c>
      <c r="ED635" s="1484"/>
      <c r="EE635" s="1484"/>
      <c r="EF635" s="1484"/>
      <c r="EG635" s="1484"/>
      <c r="EH635" s="1484" t="e">
        <f t="shared" ref="EH635:EH657" si="26">EH597*(BX597/$BX$632)</f>
        <v>#VALUE!</v>
      </c>
      <c r="EI635" s="1484"/>
      <c r="EJ635" s="1484"/>
      <c r="EK635" s="1484"/>
      <c r="EL635" s="1484"/>
      <c r="EM635" s="1484" t="e">
        <f t="shared" ref="EM635:EM657" si="27">EM597*(CC597/$CC$632)</f>
        <v>#VALUE!</v>
      </c>
      <c r="EN635" s="1484"/>
      <c r="EO635" s="1484"/>
      <c r="EP635" s="1484"/>
      <c r="EQ635" s="1484"/>
      <c r="ER635" s="1484" t="e">
        <f t="shared" ref="ER635:ER657" si="28">ER597*(CH597/$CH$632)</f>
        <v>#VALUE!</v>
      </c>
      <c r="ES635" s="1484"/>
      <c r="ET635" s="1484"/>
      <c r="EU635" s="1484"/>
      <c r="EV635" s="1484"/>
      <c r="EW635" s="1484" t="e">
        <f t="shared" ref="EW635:EW657" si="29">EW597*(CM597/$CM$632)</f>
        <v>#VALUE!</v>
      </c>
      <c r="EX635" s="1484"/>
      <c r="EY635" s="1484"/>
      <c r="EZ635" s="1484"/>
      <c r="FA635" s="1484"/>
    </row>
    <row r="636" spans="2:157" ht="12.95" customHeight="1">
      <c r="B636" s="52" t="s">
        <v>653</v>
      </c>
      <c r="C636" s="1376"/>
      <c r="D636" s="1376"/>
      <c r="E636" s="1376"/>
      <c r="F636" s="1376"/>
      <c r="G636" s="1376"/>
      <c r="H636" s="1376"/>
      <c r="I636" s="1376"/>
      <c r="J636" s="1376"/>
      <c r="K636" s="1376"/>
      <c r="L636" s="1376"/>
      <c r="M636" s="1372" t="s">
        <v>1288</v>
      </c>
      <c r="N636" s="1372"/>
      <c r="O636" s="1372"/>
      <c r="P636" s="1372"/>
      <c r="Q636" s="1449"/>
      <c r="R636" s="1447"/>
      <c r="S636" s="1448"/>
      <c r="T636" s="1449"/>
      <c r="U636" s="1447"/>
      <c r="V636" s="1448"/>
      <c r="W636" s="1377"/>
      <c r="X636" s="1378"/>
      <c r="Y636" s="1379"/>
      <c r="Z636" s="1461" t="s">
        <v>1288</v>
      </c>
      <c r="AA636" s="1462"/>
      <c r="AB636" s="1463"/>
      <c r="AC636" s="1359"/>
      <c r="AD636" s="1360"/>
      <c r="AE636" s="1361"/>
      <c r="AF636" s="1456"/>
      <c r="AG636" s="1457"/>
      <c r="AH636" s="1457"/>
      <c r="AI636" s="1457"/>
      <c r="AJ636" s="1458"/>
      <c r="AK636" s="1450"/>
      <c r="AL636" s="1451"/>
      <c r="AM636" s="1451"/>
      <c r="AN636" s="1452"/>
      <c r="AO636" s="1502"/>
      <c r="AP636" s="1503"/>
      <c r="AQ636" s="1503"/>
      <c r="AR636" s="1503"/>
      <c r="AS636" s="1504"/>
      <c r="AT636" s="1192" t="str">
        <f t="shared" si="24"/>
        <v/>
      </c>
      <c r="AV636" s="3"/>
      <c r="AW636" s="3"/>
      <c r="AX636" s="3"/>
      <c r="AY636" s="3"/>
      <c r="AZ636" s="34"/>
      <c r="BA636" s="3" t="s">
        <v>464</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484">
        <f t="shared" ref="DX636:DX657" si="30">DX598*(BN598/$BN$632)</f>
        <v>97.181818181818187</v>
      </c>
      <c r="DY636" s="1484"/>
      <c r="DZ636" s="1484"/>
      <c r="EA636" s="1484"/>
      <c r="EB636" s="1484"/>
      <c r="EC636" s="1484" t="e">
        <f t="shared" si="25"/>
        <v>#VALUE!</v>
      </c>
      <c r="ED636" s="1484"/>
      <c r="EE636" s="1484"/>
      <c r="EF636" s="1484"/>
      <c r="EG636" s="1484"/>
      <c r="EH636" s="1484" t="e">
        <f t="shared" si="26"/>
        <v>#VALUE!</v>
      </c>
      <c r="EI636" s="1484"/>
      <c r="EJ636" s="1484"/>
      <c r="EK636" s="1484"/>
      <c r="EL636" s="1484"/>
      <c r="EM636" s="1484" t="e">
        <f t="shared" si="27"/>
        <v>#VALUE!</v>
      </c>
      <c r="EN636" s="1484"/>
      <c r="EO636" s="1484"/>
      <c r="EP636" s="1484"/>
      <c r="EQ636" s="1484"/>
      <c r="ER636" s="1484" t="e">
        <f t="shared" si="28"/>
        <v>#VALUE!</v>
      </c>
      <c r="ES636" s="1484"/>
      <c r="ET636" s="1484"/>
      <c r="EU636" s="1484"/>
      <c r="EV636" s="1484"/>
      <c r="EW636" s="1484" t="e">
        <f t="shared" si="29"/>
        <v>#VALUE!</v>
      </c>
      <c r="EX636" s="1484"/>
      <c r="EY636" s="1484"/>
      <c r="EZ636" s="1484"/>
      <c r="FA636" s="1484"/>
    </row>
    <row r="637" spans="2:157" ht="12.95" customHeight="1">
      <c r="B637" s="52" t="s">
        <v>362</v>
      </c>
      <c r="C637" s="1376"/>
      <c r="D637" s="1376"/>
      <c r="E637" s="1376"/>
      <c r="F637" s="1376"/>
      <c r="G637" s="1376"/>
      <c r="H637" s="1376"/>
      <c r="I637" s="1376"/>
      <c r="J637" s="1376"/>
      <c r="K637" s="1376"/>
      <c r="L637" s="1376"/>
      <c r="M637" s="1372" t="s">
        <v>1288</v>
      </c>
      <c r="N637" s="1372"/>
      <c r="O637" s="1372"/>
      <c r="P637" s="1372"/>
      <c r="Q637" s="1449"/>
      <c r="R637" s="1447"/>
      <c r="S637" s="1448"/>
      <c r="T637" s="1449"/>
      <c r="U637" s="1447"/>
      <c r="V637" s="1448"/>
      <c r="W637" s="1377"/>
      <c r="X637" s="1378"/>
      <c r="Y637" s="1379"/>
      <c r="Z637" s="1461" t="s">
        <v>1288</v>
      </c>
      <c r="AA637" s="1462"/>
      <c r="AB637" s="1463"/>
      <c r="AC637" s="1359"/>
      <c r="AD637" s="1360"/>
      <c r="AE637" s="1361"/>
      <c r="AF637" s="1456"/>
      <c r="AG637" s="1457"/>
      <c r="AH637" s="1457"/>
      <c r="AI637" s="1457"/>
      <c r="AJ637" s="1458"/>
      <c r="AK637" s="1450"/>
      <c r="AL637" s="1451"/>
      <c r="AM637" s="1451"/>
      <c r="AN637" s="1452"/>
      <c r="AO637" s="1502"/>
      <c r="AP637" s="1503"/>
      <c r="AQ637" s="1503"/>
      <c r="AR637" s="1503"/>
      <c r="AS637" s="1504"/>
      <c r="AT637" s="1192" t="str">
        <f t="shared" si="24"/>
        <v/>
      </c>
      <c r="AV637" s="3"/>
      <c r="AW637" s="3"/>
      <c r="AX637" s="3"/>
      <c r="AY637" s="3"/>
      <c r="AZ637" s="34"/>
      <c r="BA637" s="3" t="s">
        <v>2449</v>
      </c>
      <c r="BB637" s="34"/>
      <c r="BC637" s="34"/>
      <c r="BD637" s="34"/>
      <c r="BE637" s="34"/>
      <c r="BF637" s="34"/>
      <c r="BG637" s="34"/>
      <c r="BH637" s="34"/>
      <c r="BI637" s="34"/>
      <c r="BJ637" s="34"/>
      <c r="BK637" s="34"/>
      <c r="BL637" s="34"/>
      <c r="BM637" s="34"/>
      <c r="BN637" s="1485">
        <f>IF(J773="SRO/Studio",O773,0)</f>
        <v>0</v>
      </c>
      <c r="BO637" s="1486"/>
      <c r="BP637" s="1486"/>
      <c r="BQ637" s="1486"/>
      <c r="BR637" s="1487"/>
      <c r="BS637" s="1488">
        <f>IF(J773="1 Bedroom",O773,0)</f>
        <v>0</v>
      </c>
      <c r="BT637" s="1488"/>
      <c r="BU637" s="1488"/>
      <c r="BV637" s="1488"/>
      <c r="BW637" s="1488"/>
      <c r="BX637" s="1488">
        <f>IF(J773="2 Bedrooms",O773,0)</f>
        <v>1</v>
      </c>
      <c r="BY637" s="1488"/>
      <c r="BZ637" s="1488"/>
      <c r="CA637" s="1488"/>
      <c r="CB637" s="1488"/>
      <c r="CC637" s="1488">
        <f>IF(J773="3 Bedrooms",O773,0)</f>
        <v>0</v>
      </c>
      <c r="CD637" s="1488"/>
      <c r="CE637" s="1488"/>
      <c r="CF637" s="1488"/>
      <c r="CG637" s="1488"/>
      <c r="CH637" s="1488">
        <f>IF(J773="4 Bedrooms",O773,0)</f>
        <v>0</v>
      </c>
      <c r="CI637" s="1488"/>
      <c r="CJ637" s="1488"/>
      <c r="CK637" s="1488"/>
      <c r="CL637" s="1488"/>
      <c r="CM637" s="1488">
        <f>IF(J773="5 Bedrooms",O773,0)</f>
        <v>0</v>
      </c>
      <c r="CN637" s="1488"/>
      <c r="CO637" s="1488"/>
      <c r="CP637" s="1488"/>
      <c r="CQ637" s="1488"/>
      <c r="CR637" s="6"/>
      <c r="CS637" s="3"/>
      <c r="CT637" s="3"/>
      <c r="CU637" s="3"/>
      <c r="CV637" s="3"/>
      <c r="CW637" s="3"/>
      <c r="CX637" s="3"/>
      <c r="CY637" s="3"/>
      <c r="CZ637" s="3"/>
      <c r="DA637" s="3"/>
      <c r="DB637" s="3"/>
      <c r="DC637" s="3"/>
      <c r="DD637" s="3"/>
      <c r="DE637" s="3"/>
      <c r="DF637" s="3"/>
      <c r="DX637" s="1484">
        <f t="shared" si="30"/>
        <v>493.4545454545455</v>
      </c>
      <c r="DY637" s="1484"/>
      <c r="DZ637" s="1484"/>
      <c r="EA637" s="1484"/>
      <c r="EB637" s="1484"/>
      <c r="EC637" s="1484" t="e">
        <f t="shared" si="25"/>
        <v>#VALUE!</v>
      </c>
      <c r="ED637" s="1484"/>
      <c r="EE637" s="1484"/>
      <c r="EF637" s="1484"/>
      <c r="EG637" s="1484"/>
      <c r="EH637" s="1484" t="e">
        <f t="shared" si="26"/>
        <v>#VALUE!</v>
      </c>
      <c r="EI637" s="1484"/>
      <c r="EJ637" s="1484"/>
      <c r="EK637" s="1484"/>
      <c r="EL637" s="1484"/>
      <c r="EM637" s="1484" t="e">
        <f t="shared" si="27"/>
        <v>#VALUE!</v>
      </c>
      <c r="EN637" s="1484"/>
      <c r="EO637" s="1484"/>
      <c r="EP637" s="1484"/>
      <c r="EQ637" s="1484"/>
      <c r="ER637" s="1484" t="e">
        <f t="shared" si="28"/>
        <v>#VALUE!</v>
      </c>
      <c r="ES637" s="1484"/>
      <c r="ET637" s="1484"/>
      <c r="EU637" s="1484"/>
      <c r="EV637" s="1484"/>
      <c r="EW637" s="1484" t="e">
        <f t="shared" si="29"/>
        <v>#VALUE!</v>
      </c>
      <c r="EX637" s="1484"/>
      <c r="EY637" s="1484"/>
      <c r="EZ637" s="1484"/>
      <c r="FA637" s="1484"/>
    </row>
    <row r="638" spans="2:157" ht="12.95" customHeight="1">
      <c r="B638" s="52" t="s">
        <v>363</v>
      </c>
      <c r="C638" s="1376"/>
      <c r="D638" s="1376"/>
      <c r="E638" s="1376"/>
      <c r="F638" s="1376"/>
      <c r="G638" s="1376"/>
      <c r="H638" s="1376"/>
      <c r="I638" s="1376"/>
      <c r="J638" s="1376"/>
      <c r="K638" s="1376"/>
      <c r="L638" s="1376"/>
      <c r="M638" s="1372" t="s">
        <v>1288</v>
      </c>
      <c r="N638" s="1372"/>
      <c r="O638" s="1372"/>
      <c r="P638" s="1372"/>
      <c r="Q638" s="1449"/>
      <c r="R638" s="1447"/>
      <c r="S638" s="1448"/>
      <c r="T638" s="1449"/>
      <c r="U638" s="1447"/>
      <c r="V638" s="1448"/>
      <c r="W638" s="1377"/>
      <c r="X638" s="1378"/>
      <c r="Y638" s="1379"/>
      <c r="Z638" s="1461" t="s">
        <v>1288</v>
      </c>
      <c r="AA638" s="1462"/>
      <c r="AB638" s="1463"/>
      <c r="AC638" s="1359"/>
      <c r="AD638" s="1360"/>
      <c r="AE638" s="1361"/>
      <c r="AF638" s="1456"/>
      <c r="AG638" s="1457"/>
      <c r="AH638" s="1457"/>
      <c r="AI638" s="1457"/>
      <c r="AJ638" s="1458"/>
      <c r="AK638" s="1450"/>
      <c r="AL638" s="1451"/>
      <c r="AM638" s="1451"/>
      <c r="AN638" s="1452"/>
      <c r="AO638" s="1502"/>
      <c r="AP638" s="1503"/>
      <c r="AQ638" s="1503"/>
      <c r="AR638" s="1503"/>
      <c r="AS638" s="1504"/>
      <c r="AT638" s="1192" t="str">
        <f t="shared" si="24"/>
        <v/>
      </c>
      <c r="AV638" s="3"/>
      <c r="AW638" s="3"/>
      <c r="AX638" s="3"/>
      <c r="AY638" s="3"/>
      <c r="AZ638" s="34"/>
      <c r="BA638" s="3" t="s">
        <v>300</v>
      </c>
      <c r="BB638" s="34"/>
      <c r="BC638" s="34"/>
      <c r="BD638" s="34"/>
      <c r="BE638" s="34"/>
      <c r="BF638" s="34"/>
      <c r="BG638" s="34"/>
      <c r="BH638" s="34"/>
      <c r="BI638" s="34"/>
      <c r="BJ638" s="34"/>
      <c r="BK638" s="34"/>
      <c r="BL638" s="34"/>
      <c r="BM638" s="34"/>
      <c r="BN638" s="1485">
        <f>IF(J774="SRO/Studio",O774,0)</f>
        <v>0</v>
      </c>
      <c r="BO638" s="1486"/>
      <c r="BP638" s="1486"/>
      <c r="BQ638" s="1486"/>
      <c r="BR638" s="1487"/>
      <c r="BS638" s="1488">
        <f>IF(J774="1 Bedroom",O774,0)</f>
        <v>0</v>
      </c>
      <c r="BT638" s="1488"/>
      <c r="BU638" s="1488"/>
      <c r="BV638" s="1488"/>
      <c r="BW638" s="1488"/>
      <c r="BX638" s="1488">
        <f>IF(J774="2 Bedrooms",O774,0)</f>
        <v>0</v>
      </c>
      <c r="BY638" s="1488"/>
      <c r="BZ638" s="1488"/>
      <c r="CA638" s="1488"/>
      <c r="CB638" s="1488"/>
      <c r="CC638" s="1488">
        <f>IF(J774="3 Bedrooms",O774,0)</f>
        <v>0</v>
      </c>
      <c r="CD638" s="1488"/>
      <c r="CE638" s="1488"/>
      <c r="CF638" s="1488"/>
      <c r="CG638" s="1488"/>
      <c r="CH638" s="1488">
        <f>IF(J774="4 Bedrooms",O774,0)</f>
        <v>0</v>
      </c>
      <c r="CI638" s="1488"/>
      <c r="CJ638" s="1488"/>
      <c r="CK638" s="1488"/>
      <c r="CL638" s="1488"/>
      <c r="CM638" s="1488">
        <f>IF(J774="5 Bedrooms",O774,0)</f>
        <v>0</v>
      </c>
      <c r="CN638" s="1488"/>
      <c r="CO638" s="1488"/>
      <c r="CP638" s="1488"/>
      <c r="CQ638" s="1488"/>
      <c r="CR638" s="6"/>
      <c r="CS638" s="3"/>
      <c r="CT638" s="3"/>
      <c r="CU638" s="3"/>
      <c r="CV638" s="3"/>
      <c r="CW638" s="3"/>
      <c r="CX638" s="3"/>
      <c r="CY638" s="3"/>
      <c r="CZ638" s="3"/>
      <c r="DA638" s="3"/>
      <c r="DB638" s="3"/>
      <c r="DC638" s="3"/>
      <c r="DD638" s="3"/>
      <c r="DE638" s="3"/>
      <c r="DF638" s="3"/>
      <c r="DX638" s="1484">
        <f t="shared" si="30"/>
        <v>747.72727272727275</v>
      </c>
      <c r="DY638" s="1484"/>
      <c r="DZ638" s="1484"/>
      <c r="EA638" s="1484"/>
      <c r="EB638" s="1484"/>
      <c r="EC638" s="1484" t="e">
        <f t="shared" si="25"/>
        <v>#VALUE!</v>
      </c>
      <c r="ED638" s="1484"/>
      <c r="EE638" s="1484"/>
      <c r="EF638" s="1484"/>
      <c r="EG638" s="1484"/>
      <c r="EH638" s="1484" t="e">
        <f t="shared" si="26"/>
        <v>#VALUE!</v>
      </c>
      <c r="EI638" s="1484"/>
      <c r="EJ638" s="1484"/>
      <c r="EK638" s="1484"/>
      <c r="EL638" s="1484"/>
      <c r="EM638" s="1484" t="e">
        <f t="shared" si="27"/>
        <v>#VALUE!</v>
      </c>
      <c r="EN638" s="1484"/>
      <c r="EO638" s="1484"/>
      <c r="EP638" s="1484"/>
      <c r="EQ638" s="1484"/>
      <c r="ER638" s="1484" t="e">
        <f t="shared" si="28"/>
        <v>#VALUE!</v>
      </c>
      <c r="ES638" s="1484"/>
      <c r="ET638" s="1484"/>
      <c r="EU638" s="1484"/>
      <c r="EV638" s="1484"/>
      <c r="EW638" s="1484" t="e">
        <f t="shared" si="29"/>
        <v>#VALUE!</v>
      </c>
      <c r="EX638" s="1484"/>
      <c r="EY638" s="1484"/>
      <c r="EZ638" s="1484"/>
      <c r="FA638" s="1484"/>
    </row>
    <row r="639" spans="2:157" ht="12.95" customHeight="1">
      <c r="B639" s="1639" t="s">
        <v>128</v>
      </c>
      <c r="C639" s="1640"/>
      <c r="D639" s="1640"/>
      <c r="E639" s="1640"/>
      <c r="F639" s="1640"/>
      <c r="G639" s="1640"/>
      <c r="H639" s="1640"/>
      <c r="I639" s="1640"/>
      <c r="J639" s="1640"/>
      <c r="K639" s="1640"/>
      <c r="L639" s="1640"/>
      <c r="M639" s="1640"/>
      <c r="N639" s="1640"/>
      <c r="O639" s="1640"/>
      <c r="P639" s="1640"/>
      <c r="Q639" s="1640"/>
      <c r="R639" s="1640"/>
      <c r="S639" s="1640"/>
      <c r="T639" s="1640"/>
      <c r="U639" s="1640"/>
      <c r="V639" s="1640"/>
      <c r="W639" s="1640"/>
      <c r="X639" s="1640"/>
      <c r="Y639" s="1640"/>
      <c r="Z639" s="1640"/>
      <c r="AA639" s="1640"/>
      <c r="AB639" s="1640"/>
      <c r="AC639" s="1640"/>
      <c r="AD639" s="1640"/>
      <c r="AE639" s="1640"/>
      <c r="AF639" s="1640"/>
      <c r="AG639" s="1640"/>
      <c r="AH639" s="1640"/>
      <c r="AI639" s="1640"/>
      <c r="AJ639" s="1640"/>
      <c r="AK639" s="1640"/>
      <c r="AL639" s="1640"/>
      <c r="AM639" s="1640"/>
      <c r="AN639" s="1641"/>
      <c r="AO639" s="1626">
        <f>SUM(AO627:AR638)</f>
        <v>60900374</v>
      </c>
      <c r="AP639" s="1627"/>
      <c r="AQ639" s="1627"/>
      <c r="AR639" s="1627"/>
      <c r="AS639" s="1628"/>
      <c r="AV639" s="3"/>
      <c r="AW639" s="3"/>
      <c r="AX639" s="3"/>
      <c r="AY639" s="3"/>
      <c r="AZ639" s="34"/>
      <c r="BA639" s="34"/>
      <c r="BB639" s="34"/>
      <c r="BC639" s="34"/>
      <c r="BD639" s="34"/>
      <c r="BE639" s="34"/>
      <c r="BF639" s="34"/>
      <c r="BG639" s="34"/>
      <c r="BH639" s="34"/>
      <c r="BI639" s="34"/>
      <c r="BJ639" s="34"/>
      <c r="BK639" s="34"/>
      <c r="BL639" s="34"/>
      <c r="BM639" s="34"/>
      <c r="BN639" s="1485">
        <f>IF(J775="SRO/Studio",O775,0)</f>
        <v>0</v>
      </c>
      <c r="BO639" s="1486"/>
      <c r="BP639" s="1486"/>
      <c r="BQ639" s="1486"/>
      <c r="BR639" s="1487"/>
      <c r="BS639" s="1488">
        <f>IF(J775="1 Bedroom",O775,0)</f>
        <v>0</v>
      </c>
      <c r="BT639" s="1488"/>
      <c r="BU639" s="1488"/>
      <c r="BV639" s="1488"/>
      <c r="BW639" s="1488"/>
      <c r="BX639" s="1488">
        <f>IF(J775="2 Bedrooms",O775,0)</f>
        <v>0</v>
      </c>
      <c r="BY639" s="1488"/>
      <c r="BZ639" s="1488"/>
      <c r="CA639" s="1488"/>
      <c r="CB639" s="1488"/>
      <c r="CC639" s="1488">
        <f>IF(J775="3 Bedrooms",O775,0)</f>
        <v>0</v>
      </c>
      <c r="CD639" s="1488"/>
      <c r="CE639" s="1488"/>
      <c r="CF639" s="1488"/>
      <c r="CG639" s="1488"/>
      <c r="CH639" s="1488">
        <f>IF(J775="4 Bedrooms",O775,0)</f>
        <v>0</v>
      </c>
      <c r="CI639" s="1488"/>
      <c r="CJ639" s="1488"/>
      <c r="CK639" s="1488"/>
      <c r="CL639" s="1488"/>
      <c r="CM639" s="1488">
        <f>IF(J775="5 Bedrooms",O775,0)</f>
        <v>0</v>
      </c>
      <c r="CN639" s="1488"/>
      <c r="CO639" s="1488"/>
      <c r="CP639" s="1488"/>
      <c r="CQ639" s="1488"/>
      <c r="CR639" s="1047"/>
      <c r="CV639" s="3"/>
      <c r="CW639" s="3"/>
      <c r="CX639" s="3"/>
      <c r="CY639" s="3"/>
      <c r="CZ639" s="3"/>
      <c r="DA639" s="3"/>
      <c r="DB639" s="3"/>
      <c r="DC639" s="3"/>
      <c r="DD639" s="3"/>
      <c r="DE639" s="3"/>
      <c r="DF639" s="3"/>
      <c r="DX639" s="1484" t="e">
        <f t="shared" si="30"/>
        <v>#VALUE!</v>
      </c>
      <c r="DY639" s="1484"/>
      <c r="DZ639" s="1484"/>
      <c r="EA639" s="1484"/>
      <c r="EB639" s="1484"/>
      <c r="EC639" s="1484">
        <f t="shared" si="25"/>
        <v>132.16</v>
      </c>
      <c r="ED639" s="1484"/>
      <c r="EE639" s="1484"/>
      <c r="EF639" s="1484"/>
      <c r="EG639" s="1484"/>
      <c r="EH639" s="1484" t="e">
        <f t="shared" si="26"/>
        <v>#VALUE!</v>
      </c>
      <c r="EI639" s="1484"/>
      <c r="EJ639" s="1484"/>
      <c r="EK639" s="1484"/>
      <c r="EL639" s="1484"/>
      <c r="EM639" s="1484" t="e">
        <f t="shared" si="27"/>
        <v>#VALUE!</v>
      </c>
      <c r="EN639" s="1484"/>
      <c r="EO639" s="1484"/>
      <c r="EP639" s="1484"/>
      <c r="EQ639" s="1484"/>
      <c r="ER639" s="1484" t="e">
        <f t="shared" si="28"/>
        <v>#VALUE!</v>
      </c>
      <c r="ES639" s="1484"/>
      <c r="ET639" s="1484"/>
      <c r="EU639" s="1484"/>
      <c r="EV639" s="1484"/>
      <c r="EW639" s="1484" t="e">
        <f t="shared" si="29"/>
        <v>#VALUE!</v>
      </c>
      <c r="EX639" s="1484"/>
      <c r="EY639" s="1484"/>
      <c r="EZ639" s="1484"/>
      <c r="FA639" s="1484"/>
    </row>
    <row r="640" spans="2:157" ht="12.95" customHeight="1">
      <c r="B640" s="1639" t="s">
        <v>267</v>
      </c>
      <c r="C640" s="1640"/>
      <c r="D640" s="1640"/>
      <c r="E640" s="1640"/>
      <c r="F640" s="1640"/>
      <c r="G640" s="1640"/>
      <c r="H640" s="1640"/>
      <c r="I640" s="1640"/>
      <c r="J640" s="1640"/>
      <c r="K640" s="1640"/>
      <c r="L640" s="1640"/>
      <c r="M640" s="1640"/>
      <c r="N640" s="1640"/>
      <c r="O640" s="1640"/>
      <c r="P640" s="1640"/>
      <c r="Q640" s="1640"/>
      <c r="R640" s="1640"/>
      <c r="S640" s="1640"/>
      <c r="T640" s="1640"/>
      <c r="U640" s="1640"/>
      <c r="V640" s="1640"/>
      <c r="W640" s="1640"/>
      <c r="X640" s="1640"/>
      <c r="Y640" s="1640"/>
      <c r="Z640" s="1640"/>
      <c r="AA640" s="1640"/>
      <c r="AB640" s="1640"/>
      <c r="AC640" s="1640"/>
      <c r="AD640" s="1640"/>
      <c r="AE640" s="1640"/>
      <c r="AF640" s="1640"/>
      <c r="AG640" s="1640"/>
      <c r="AH640" s="1640"/>
      <c r="AI640" s="1640"/>
      <c r="AJ640" s="1640"/>
      <c r="AK640" s="1640"/>
      <c r="AL640" s="1640"/>
      <c r="AM640" s="1640"/>
      <c r="AN640" s="1641"/>
      <c r="AO640" s="1502">
        <f>49463018-252250</f>
        <v>49210768</v>
      </c>
      <c r="AP640" s="1503"/>
      <c r="AQ640" s="1503"/>
      <c r="AR640" s="1503"/>
      <c r="AS640" s="1504"/>
      <c r="AV640" s="3"/>
      <c r="AW640" s="3"/>
      <c r="AX640" s="3"/>
      <c r="AY640" s="3"/>
      <c r="AZ640" s="34"/>
      <c r="BA640" s="34"/>
      <c r="BB640" s="34"/>
      <c r="BC640" s="34"/>
      <c r="BD640" s="34"/>
      <c r="BE640" s="34"/>
      <c r="BF640" s="34"/>
      <c r="BG640" s="34"/>
      <c r="BH640" s="34"/>
      <c r="BI640" s="34"/>
      <c r="BJ640" s="34"/>
      <c r="BK640" s="34"/>
      <c r="BL640" s="34"/>
      <c r="BM640" s="34"/>
      <c r="BN640" s="1485">
        <f>IF(J776="SRO/Studio",O776,0)</f>
        <v>0</v>
      </c>
      <c r="BO640" s="1486"/>
      <c r="BP640" s="1486"/>
      <c r="BQ640" s="1486"/>
      <c r="BR640" s="1487"/>
      <c r="BS640" s="1488">
        <f>IF(J776="1 Bedroom",O776,0)</f>
        <v>0</v>
      </c>
      <c r="BT640" s="1488"/>
      <c r="BU640" s="1488"/>
      <c r="BV640" s="1488"/>
      <c r="BW640" s="1488"/>
      <c r="BX640" s="1488">
        <f>IF(J776="2 Bedrooms",O776,0)</f>
        <v>0</v>
      </c>
      <c r="BY640" s="1488"/>
      <c r="BZ640" s="1488"/>
      <c r="CA640" s="1488"/>
      <c r="CB640" s="1488"/>
      <c r="CC640" s="1488">
        <f>IF(J776="3 Bedrooms",O776,0)</f>
        <v>0</v>
      </c>
      <c r="CD640" s="1488"/>
      <c r="CE640" s="1488"/>
      <c r="CF640" s="1488"/>
      <c r="CG640" s="1488"/>
      <c r="CH640" s="1488">
        <f>IF(J776="4 Bedrooms",O776,0)</f>
        <v>0</v>
      </c>
      <c r="CI640" s="1488"/>
      <c r="CJ640" s="1488"/>
      <c r="CK640" s="1488"/>
      <c r="CL640" s="1488"/>
      <c r="CM640" s="1488">
        <f>IF(J776="5 Bedrooms",O776,0)</f>
        <v>0</v>
      </c>
      <c r="CN640" s="1488"/>
      <c r="CO640" s="1488"/>
      <c r="CP640" s="1488"/>
      <c r="CQ640" s="1488"/>
      <c r="CV640" s="3"/>
      <c r="CW640" s="3"/>
      <c r="CX640" s="3"/>
      <c r="CY640" s="3"/>
      <c r="CZ640" s="3"/>
      <c r="DA640" s="3"/>
      <c r="DB640" s="3"/>
      <c r="DC640" s="3"/>
      <c r="DD640" s="3"/>
      <c r="DE640" s="3"/>
      <c r="DF640" s="3"/>
      <c r="DX640" s="1484" t="e">
        <f t="shared" si="30"/>
        <v>#VALUE!</v>
      </c>
      <c r="DY640" s="1484"/>
      <c r="DZ640" s="1484"/>
      <c r="EA640" s="1484"/>
      <c r="EB640" s="1484"/>
      <c r="EC640" s="1484">
        <f t="shared" si="25"/>
        <v>68.099999999999994</v>
      </c>
      <c r="ED640" s="1484"/>
      <c r="EE640" s="1484"/>
      <c r="EF640" s="1484"/>
      <c r="EG640" s="1484"/>
      <c r="EH640" s="1484" t="e">
        <f t="shared" si="26"/>
        <v>#VALUE!</v>
      </c>
      <c r="EI640" s="1484"/>
      <c r="EJ640" s="1484"/>
      <c r="EK640" s="1484"/>
      <c r="EL640" s="1484"/>
      <c r="EM640" s="1484" t="e">
        <f t="shared" si="27"/>
        <v>#VALUE!</v>
      </c>
      <c r="EN640" s="1484"/>
      <c r="EO640" s="1484"/>
      <c r="EP640" s="1484"/>
      <c r="EQ640" s="1484"/>
      <c r="ER640" s="1484" t="e">
        <f t="shared" si="28"/>
        <v>#VALUE!</v>
      </c>
      <c r="ES640" s="1484"/>
      <c r="ET640" s="1484"/>
      <c r="EU640" s="1484"/>
      <c r="EV640" s="1484"/>
      <c r="EW640" s="1484" t="e">
        <f t="shared" si="29"/>
        <v>#VALUE!</v>
      </c>
      <c r="EX640" s="1484"/>
      <c r="EY640" s="1484"/>
      <c r="EZ640" s="1484"/>
      <c r="FA640" s="1484"/>
    </row>
    <row r="641" spans="1:157" ht="12.95" customHeight="1">
      <c r="B641" s="1754" t="s">
        <v>268</v>
      </c>
      <c r="C641" s="1755"/>
      <c r="D641" s="1755"/>
      <c r="E641" s="1755"/>
      <c r="F641" s="1755"/>
      <c r="G641" s="1755"/>
      <c r="H641" s="1755"/>
      <c r="I641" s="1755"/>
      <c r="J641" s="1755"/>
      <c r="K641" s="1755"/>
      <c r="L641" s="1755"/>
      <c r="M641" s="1755"/>
      <c r="N641" s="1755"/>
      <c r="O641" s="1755"/>
      <c r="P641" s="1755"/>
      <c r="Q641" s="1755"/>
      <c r="R641" s="1755"/>
      <c r="S641" s="1755"/>
      <c r="T641" s="1755"/>
      <c r="U641" s="1755"/>
      <c r="V641" s="1755"/>
      <c r="W641" s="1755"/>
      <c r="X641" s="1755"/>
      <c r="Y641" s="1755"/>
      <c r="Z641" s="1755"/>
      <c r="AA641" s="1755"/>
      <c r="AB641" s="1755"/>
      <c r="AC641" s="1755"/>
      <c r="AD641" s="1755"/>
      <c r="AE641" s="1755"/>
      <c r="AF641" s="1755"/>
      <c r="AG641" s="1755"/>
      <c r="AH641" s="1755"/>
      <c r="AI641" s="1755"/>
      <c r="AJ641" s="1755"/>
      <c r="AK641" s="1755"/>
      <c r="AL641" s="1755"/>
      <c r="AM641" s="1755"/>
      <c r="AN641" s="1756"/>
      <c r="AO641" s="1626">
        <f>AO639+AO640</f>
        <v>110111142</v>
      </c>
      <c r="AP641" s="1627"/>
      <c r="AQ641" s="1627"/>
      <c r="AR641" s="1627"/>
      <c r="AS641" s="1628"/>
      <c r="AV641" s="3"/>
      <c r="AW641" s="3"/>
      <c r="AX641" s="3"/>
      <c r="AY641" s="3"/>
      <c r="AZ641" s="34"/>
      <c r="BA641" s="34"/>
      <c r="BB641" s="34"/>
      <c r="BC641" s="34"/>
      <c r="BD641" s="34"/>
      <c r="BE641" s="34"/>
      <c r="BF641" s="34"/>
      <c r="BG641" s="34"/>
      <c r="BH641" s="34"/>
      <c r="BI641" s="34"/>
      <c r="BJ641" s="34"/>
      <c r="BK641" s="34"/>
      <c r="BL641" s="34"/>
      <c r="BM641" s="34"/>
      <c r="BN641" s="1489">
        <f>SUM(BN637:BR640)</f>
        <v>0</v>
      </c>
      <c r="BO641" s="1490"/>
      <c r="BP641" s="1490"/>
      <c r="BQ641" s="1490"/>
      <c r="BR641" s="1491"/>
      <c r="BS641" s="1492">
        <f>SUM(BS637:BW640)</f>
        <v>0</v>
      </c>
      <c r="BT641" s="1493"/>
      <c r="BU641" s="1493"/>
      <c r="BV641" s="1493"/>
      <c r="BW641" s="1494"/>
      <c r="BX641" s="1492">
        <f>SUM(BX637:CB640)</f>
        <v>1</v>
      </c>
      <c r="BY641" s="1493"/>
      <c r="BZ641" s="1493"/>
      <c r="CA641" s="1493"/>
      <c r="CB641" s="1494"/>
      <c r="CC641" s="1492">
        <f>SUM(CC637:CG640)</f>
        <v>0</v>
      </c>
      <c r="CD641" s="1493"/>
      <c r="CE641" s="1493"/>
      <c r="CF641" s="1493"/>
      <c r="CG641" s="1494"/>
      <c r="CH641" s="1492">
        <f>SUM(CH637:CL640)</f>
        <v>0</v>
      </c>
      <c r="CI641" s="1493"/>
      <c r="CJ641" s="1493"/>
      <c r="CK641" s="1493"/>
      <c r="CL641" s="1494"/>
      <c r="CM641" s="1492">
        <f>SUM(CM637:CQ640)</f>
        <v>0</v>
      </c>
      <c r="CN641" s="1493"/>
      <c r="CO641" s="1493"/>
      <c r="CP641" s="1493"/>
      <c r="CQ641" s="1494"/>
      <c r="CS641" s="895">
        <f>BN641+BS641+BX641+CC641+CH641+CM641</f>
        <v>1</v>
      </c>
      <c r="CT641" s="57" t="s">
        <v>2049</v>
      </c>
      <c r="CU641" s="3"/>
      <c r="CV641" s="3"/>
      <c r="CW641" s="3"/>
      <c r="CX641" s="3"/>
      <c r="CY641" s="3"/>
      <c r="CZ641" s="3"/>
      <c r="DA641" s="3"/>
      <c r="DB641" s="3"/>
      <c r="DC641" s="3"/>
      <c r="DD641" s="3"/>
      <c r="DE641" s="3"/>
      <c r="DF641" s="3"/>
      <c r="DX641" s="1484" t="e">
        <f t="shared" si="30"/>
        <v>#VALUE!</v>
      </c>
      <c r="DY641" s="1484"/>
      <c r="DZ641" s="1484"/>
      <c r="EA641" s="1484"/>
      <c r="EB641" s="1484"/>
      <c r="EC641" s="1484">
        <f t="shared" si="25"/>
        <v>158.9</v>
      </c>
      <c r="ED641" s="1484"/>
      <c r="EE641" s="1484"/>
      <c r="EF641" s="1484"/>
      <c r="EG641" s="1484"/>
      <c r="EH641" s="1484" t="e">
        <f t="shared" si="26"/>
        <v>#VALUE!</v>
      </c>
      <c r="EI641" s="1484"/>
      <c r="EJ641" s="1484"/>
      <c r="EK641" s="1484"/>
      <c r="EL641" s="1484"/>
      <c r="EM641" s="1484" t="e">
        <f t="shared" si="27"/>
        <v>#VALUE!</v>
      </c>
      <c r="EN641" s="1484"/>
      <c r="EO641" s="1484"/>
      <c r="EP641" s="1484"/>
      <c r="EQ641" s="1484"/>
      <c r="ER641" s="1484" t="e">
        <f t="shared" si="28"/>
        <v>#VALUE!</v>
      </c>
      <c r="ES641" s="1484"/>
      <c r="ET641" s="1484"/>
      <c r="EU641" s="1484"/>
      <c r="EV641" s="1484"/>
      <c r="EW641" s="1484" t="e">
        <f t="shared" si="29"/>
        <v>#VALUE!</v>
      </c>
      <c r="EX641" s="1484"/>
      <c r="EY641" s="1484"/>
      <c r="EZ641" s="1484"/>
      <c r="FA641" s="1484"/>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2</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2</v>
      </c>
      <c r="CT642" s="57" t="s">
        <v>2051</v>
      </c>
      <c r="CU642" s="3"/>
      <c r="CV642" s="3"/>
      <c r="CW642" s="3"/>
      <c r="CX642" s="3"/>
      <c r="CY642" s="3"/>
      <c r="CZ642" s="3"/>
      <c r="DA642" s="3"/>
      <c r="DB642" s="3"/>
      <c r="DC642" s="3"/>
      <c r="DD642" s="3"/>
      <c r="DE642" s="3"/>
      <c r="DF642" s="3"/>
      <c r="DX642" s="1484" t="e">
        <f t="shared" si="30"/>
        <v>#VALUE!</v>
      </c>
      <c r="DY642" s="1484"/>
      <c r="DZ642" s="1484"/>
      <c r="EA642" s="1484"/>
      <c r="EB642" s="1484"/>
      <c r="EC642" s="1484">
        <f t="shared" si="25"/>
        <v>462.08</v>
      </c>
      <c r="ED642" s="1484"/>
      <c r="EE642" s="1484"/>
      <c r="EF642" s="1484"/>
      <c r="EG642" s="1484"/>
      <c r="EH642" s="1484" t="e">
        <f t="shared" si="26"/>
        <v>#VALUE!</v>
      </c>
      <c r="EI642" s="1484"/>
      <c r="EJ642" s="1484"/>
      <c r="EK642" s="1484"/>
      <c r="EL642" s="1484"/>
      <c r="EM642" s="1484" t="e">
        <f t="shared" si="27"/>
        <v>#VALUE!</v>
      </c>
      <c r="EN642" s="1484"/>
      <c r="EO642" s="1484"/>
      <c r="EP642" s="1484"/>
      <c r="EQ642" s="1484"/>
      <c r="ER642" s="1484" t="e">
        <f t="shared" si="28"/>
        <v>#VALUE!</v>
      </c>
      <c r="ES642" s="1484"/>
      <c r="ET642" s="1484"/>
      <c r="EU642" s="1484"/>
      <c r="EV642" s="1484"/>
      <c r="EW642" s="1484" t="e">
        <f t="shared" si="29"/>
        <v>#VALUE!</v>
      </c>
      <c r="EX642" s="1484"/>
      <c r="EY642" s="1484"/>
      <c r="EZ642" s="1484"/>
      <c r="FA642" s="1484"/>
    </row>
    <row r="643" spans="1:157" ht="12.95" customHeight="1">
      <c r="A643" s="55" t="s">
        <v>112</v>
      </c>
      <c r="B643" t="s">
        <v>470</v>
      </c>
      <c r="G643" s="1355" t="str">
        <f>C627</f>
        <v>Chase Tax-Exempt Perm Loan</v>
      </c>
      <c r="H643" s="1355"/>
      <c r="I643" s="1355"/>
      <c r="J643" s="1355"/>
      <c r="K643" s="1355"/>
      <c r="L643" s="1355"/>
      <c r="M643" s="1355"/>
      <c r="N643" s="1355"/>
      <c r="O643" s="1355"/>
      <c r="P643" s="1355"/>
      <c r="Q643" s="1355"/>
      <c r="R643" s="1355"/>
      <c r="S643" s="8"/>
      <c r="T643" s="55" t="s">
        <v>113</v>
      </c>
      <c r="U643" t="s">
        <v>470</v>
      </c>
      <c r="Z643" s="1355" t="str">
        <f>C628</f>
        <v>HCD - AHSC Loan</v>
      </c>
      <c r="AA643" s="1355"/>
      <c r="AB643" s="1355"/>
      <c r="AC643" s="1355"/>
      <c r="AD643" s="1355"/>
      <c r="AE643" s="1355"/>
      <c r="AF643" s="1355"/>
      <c r="AG643" s="1355"/>
      <c r="AH643" s="1355"/>
      <c r="AI643" s="1355"/>
      <c r="AJ643" s="1355"/>
      <c r="AK643" s="1355"/>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84" t="e">
        <f t="shared" si="30"/>
        <v>#VALUE!</v>
      </c>
      <c r="DY643" s="1484"/>
      <c r="DZ643" s="1484"/>
      <c r="EA643" s="1484"/>
      <c r="EB643" s="1484"/>
      <c r="EC643" s="1484">
        <f t="shared" si="25"/>
        <v>560.96</v>
      </c>
      <c r="ED643" s="1484"/>
      <c r="EE643" s="1484"/>
      <c r="EF643" s="1484"/>
      <c r="EG643" s="1484"/>
      <c r="EH643" s="1484" t="e">
        <f t="shared" si="26"/>
        <v>#VALUE!</v>
      </c>
      <c r="EI643" s="1484"/>
      <c r="EJ643" s="1484"/>
      <c r="EK643" s="1484"/>
      <c r="EL643" s="1484"/>
      <c r="EM643" s="1484" t="e">
        <f t="shared" si="27"/>
        <v>#VALUE!</v>
      </c>
      <c r="EN643" s="1484"/>
      <c r="EO643" s="1484"/>
      <c r="EP643" s="1484"/>
      <c r="EQ643" s="1484"/>
      <c r="ER643" s="1484" t="e">
        <f t="shared" si="28"/>
        <v>#VALUE!</v>
      </c>
      <c r="ES643" s="1484"/>
      <c r="ET643" s="1484"/>
      <c r="EU643" s="1484"/>
      <c r="EV643" s="1484"/>
      <c r="EW643" s="1484" t="e">
        <f t="shared" si="29"/>
        <v>#VALUE!</v>
      </c>
      <c r="EX643" s="1484"/>
      <c r="EY643" s="1484"/>
      <c r="EZ643" s="1484"/>
      <c r="FA643" s="1484"/>
    </row>
    <row r="644" spans="1:157" ht="12.95" customHeight="1">
      <c r="A644" s="22"/>
      <c r="B644" t="s">
        <v>85</v>
      </c>
      <c r="G644" s="1357" t="s">
        <v>2720</v>
      </c>
      <c r="H644" s="1357"/>
      <c r="I644" s="1357"/>
      <c r="J644" s="1357"/>
      <c r="K644" s="1357"/>
      <c r="L644" s="1357"/>
      <c r="M644" s="1357"/>
      <c r="N644" s="1357"/>
      <c r="O644" s="1357"/>
      <c r="P644" s="1357"/>
      <c r="Q644" s="1357"/>
      <c r="R644" s="1357"/>
      <c r="S644" s="8"/>
      <c r="T644" s="22"/>
      <c r="U644" t="s">
        <v>85</v>
      </c>
      <c r="Z644" s="1357" t="s">
        <v>2735</v>
      </c>
      <c r="AA644" s="1357"/>
      <c r="AB644" s="1357"/>
      <c r="AC644" s="1357"/>
      <c r="AD644" s="1357"/>
      <c r="AE644" s="1357"/>
      <c r="AF644" s="1357"/>
      <c r="AG644" s="1357"/>
      <c r="AH644" s="1357"/>
      <c r="AI644" s="1357"/>
      <c r="AJ644" s="1357"/>
      <c r="AK644" s="1357"/>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2056</v>
      </c>
      <c r="CT644" s="3"/>
      <c r="CU644" s="3"/>
      <c r="CV644" s="3"/>
      <c r="CW644" s="3"/>
      <c r="CX644" s="3"/>
      <c r="CY644" s="3"/>
      <c r="CZ644" s="3"/>
      <c r="DA644" s="3"/>
      <c r="DB644" s="3"/>
      <c r="DC644" s="3"/>
      <c r="DD644" s="3"/>
      <c r="DE644" s="3"/>
      <c r="DF644" s="3"/>
      <c r="DX644" s="1484" t="e">
        <f t="shared" si="30"/>
        <v>#VALUE!</v>
      </c>
      <c r="DY644" s="1484"/>
      <c r="DZ644" s="1484"/>
      <c r="EA644" s="1484"/>
      <c r="EB644" s="1484"/>
      <c r="EC644" s="1484" t="e">
        <f t="shared" si="25"/>
        <v>#VALUE!</v>
      </c>
      <c r="ED644" s="1484"/>
      <c r="EE644" s="1484"/>
      <c r="EF644" s="1484"/>
      <c r="EG644" s="1484"/>
      <c r="EH644" s="1484">
        <f t="shared" si="26"/>
        <v>157.25806451612902</v>
      </c>
      <c r="EI644" s="1484"/>
      <c r="EJ644" s="1484"/>
      <c r="EK644" s="1484"/>
      <c r="EL644" s="1484"/>
      <c r="EM644" s="1484" t="e">
        <f t="shared" si="27"/>
        <v>#VALUE!</v>
      </c>
      <c r="EN644" s="1484"/>
      <c r="EO644" s="1484"/>
      <c r="EP644" s="1484"/>
      <c r="EQ644" s="1484"/>
      <c r="ER644" s="1484" t="e">
        <f t="shared" si="28"/>
        <v>#VALUE!</v>
      </c>
      <c r="ES644" s="1484"/>
      <c r="ET644" s="1484"/>
      <c r="EU644" s="1484"/>
      <c r="EV644" s="1484"/>
      <c r="EW644" s="1484" t="e">
        <f t="shared" si="29"/>
        <v>#VALUE!</v>
      </c>
      <c r="EX644" s="1484"/>
      <c r="EY644" s="1484"/>
      <c r="EZ644" s="1484"/>
      <c r="FA644" s="1484"/>
    </row>
    <row r="645" spans="1:157" ht="12.95" customHeight="1">
      <c r="A645" s="22"/>
      <c r="B645" t="s">
        <v>587</v>
      </c>
      <c r="G645" s="1357" t="s">
        <v>738</v>
      </c>
      <c r="H645" s="1357"/>
      <c r="I645" s="1357"/>
      <c r="J645" s="1357"/>
      <c r="K645" s="1357"/>
      <c r="L645" s="1357"/>
      <c r="M645" s="1357"/>
      <c r="N645" s="1357"/>
      <c r="O645" s="1357"/>
      <c r="P645" s="1357"/>
      <c r="Q645" s="1357"/>
      <c r="R645" s="1357"/>
      <c r="T645" s="22"/>
      <c r="U645" t="s">
        <v>587</v>
      </c>
      <c r="Z645" s="1371" t="s">
        <v>2736</v>
      </c>
      <c r="AA645" s="1371"/>
      <c r="AB645" s="1371"/>
      <c r="AC645" s="1371"/>
      <c r="AD645" s="1371"/>
      <c r="AE645" s="1371"/>
      <c r="AF645" s="1371"/>
      <c r="AG645" s="1371"/>
      <c r="AH645" s="1371"/>
      <c r="AI645" s="1371"/>
      <c r="AJ645" s="1371"/>
      <c r="AK645" s="1371"/>
      <c r="AV645" s="3"/>
      <c r="AW645" s="3"/>
      <c r="AX645" s="3"/>
      <c r="AY645" s="3"/>
      <c r="AZ645" s="3"/>
      <c r="BA645" s="3"/>
      <c r="BB645" s="3"/>
      <c r="BC645" s="3"/>
      <c r="BD645" s="3"/>
      <c r="BE645" s="3"/>
      <c r="BF645" s="3"/>
      <c r="BG645" s="3"/>
      <c r="BH645" s="3"/>
      <c r="BI645" s="3"/>
      <c r="BJ645" s="3"/>
      <c r="BK645" s="3"/>
      <c r="BL645" s="3"/>
      <c r="BM645" s="3"/>
      <c r="BN645" s="1485">
        <f t="shared" ref="BN645:BN654" si="31">IF(J787="SRO/Studio",O787,0)</f>
        <v>0</v>
      </c>
      <c r="BO645" s="1486"/>
      <c r="BP645" s="1486"/>
      <c r="BQ645" s="1486"/>
      <c r="BR645" s="1487"/>
      <c r="BS645" s="1488">
        <f t="shared" ref="BS645:BS654" si="32">IF(J787="1 Bedroom",O787,0)</f>
        <v>0</v>
      </c>
      <c r="BT645" s="1488"/>
      <c r="BU645" s="1488"/>
      <c r="BV645" s="1488"/>
      <c r="BW645" s="1488"/>
      <c r="BX645" s="1488">
        <f t="shared" ref="BX645:BX654" si="33">IF(J787="2 Bedrooms",O787,0)</f>
        <v>0</v>
      </c>
      <c r="BY645" s="1488"/>
      <c r="BZ645" s="1488"/>
      <c r="CA645" s="1488"/>
      <c r="CB645" s="1488"/>
      <c r="CC645" s="1488">
        <f t="shared" ref="CC645:CC654" si="34">IF(J787="3 Bedrooms",O787,0)</f>
        <v>0</v>
      </c>
      <c r="CD645" s="1488"/>
      <c r="CE645" s="1488"/>
      <c r="CF645" s="1488"/>
      <c r="CG645" s="1488"/>
      <c r="CH645" s="1488">
        <f t="shared" ref="CH645:CH654" si="35">IF(J787="4 Bedrooms",O787,0)</f>
        <v>0</v>
      </c>
      <c r="CI645" s="1488"/>
      <c r="CJ645" s="1488"/>
      <c r="CK645" s="1488"/>
      <c r="CL645" s="1488"/>
      <c r="CM645" s="1488">
        <f t="shared" ref="CM645:CM654" si="36">IF(J787="5 Bedrooms",O787,0)</f>
        <v>0</v>
      </c>
      <c r="CN645" s="1488"/>
      <c r="CO645" s="1488"/>
      <c r="CP645" s="1488"/>
      <c r="CQ645" s="1488"/>
      <c r="CR645" s="6"/>
      <c r="CS645" s="1485">
        <f t="shared" ref="CS645:CS654" si="37">IF(AND(BN645&gt;=1,AH787&gt;=0.1,AH787&lt;=1),O787,0)</f>
        <v>0</v>
      </c>
      <c r="CT645" s="1486"/>
      <c r="CU645" s="1486"/>
      <c r="CV645" s="1486"/>
      <c r="CW645" s="1487"/>
      <c r="CX645" s="1485">
        <f t="shared" ref="CX645:CX654" si="38">IF(AND(BS645&gt;=1,AH787&gt;=0.1,AH787&lt;=1),O787,0)</f>
        <v>0</v>
      </c>
      <c r="CY645" s="1486"/>
      <c r="CZ645" s="1486"/>
      <c r="DA645" s="1486"/>
      <c r="DB645" s="1487"/>
      <c r="DC645" s="1485">
        <f t="shared" ref="DC645:DC654" si="39">IF(AND(BX645&gt;=1,AH787&gt;=0.1,AH787&lt;=1),O787,0)</f>
        <v>0</v>
      </c>
      <c r="DD645" s="1486"/>
      <c r="DE645" s="1486"/>
      <c r="DF645" s="1486"/>
      <c r="DG645" s="1487"/>
      <c r="DH645" s="1485">
        <f t="shared" ref="DH645:DH654" si="40">IF(AND(CC645&gt;=1,AH787&gt;=0.1,AH787&lt;=1),O787,0)</f>
        <v>0</v>
      </c>
      <c r="DI645" s="1486"/>
      <c r="DJ645" s="1486"/>
      <c r="DK645" s="1486"/>
      <c r="DL645" s="1487"/>
      <c r="DM645" s="1485">
        <f t="shared" ref="DM645:DM654" si="41">IF(AND(CH645&gt;=1,AH787&gt;=0.1,AH787&lt;=1),O787,0)</f>
        <v>0</v>
      </c>
      <c r="DN645" s="1486"/>
      <c r="DO645" s="1486"/>
      <c r="DP645" s="1486"/>
      <c r="DQ645" s="1487"/>
      <c r="DR645" s="1485">
        <f t="shared" ref="DR645:DR654" si="42">IF(AND(CM645&gt;=1,AH787&gt;=0.1,AH787&lt;=1),O787,0)</f>
        <v>0</v>
      </c>
      <c r="DS645" s="1486"/>
      <c r="DT645" s="1486"/>
      <c r="DU645" s="1486"/>
      <c r="DV645" s="1487"/>
      <c r="DX645" s="1484" t="e">
        <f t="shared" si="30"/>
        <v>#VALUE!</v>
      </c>
      <c r="DY645" s="1484"/>
      <c r="DZ645" s="1484"/>
      <c r="EA645" s="1484"/>
      <c r="EB645" s="1484"/>
      <c r="EC645" s="1484" t="e">
        <f t="shared" si="25"/>
        <v>#VALUE!</v>
      </c>
      <c r="ED645" s="1484"/>
      <c r="EE645" s="1484"/>
      <c r="EF645" s="1484"/>
      <c r="EG645" s="1484"/>
      <c r="EH645" s="1484">
        <f t="shared" si="26"/>
        <v>43.41935483870968</v>
      </c>
      <c r="EI645" s="1484"/>
      <c r="EJ645" s="1484"/>
      <c r="EK645" s="1484"/>
      <c r="EL645" s="1484"/>
      <c r="EM645" s="1484" t="e">
        <f t="shared" si="27"/>
        <v>#VALUE!</v>
      </c>
      <c r="EN645" s="1484"/>
      <c r="EO645" s="1484"/>
      <c r="EP645" s="1484"/>
      <c r="EQ645" s="1484"/>
      <c r="ER645" s="1484" t="e">
        <f t="shared" si="28"/>
        <v>#VALUE!</v>
      </c>
      <c r="ES645" s="1484"/>
      <c r="ET645" s="1484"/>
      <c r="EU645" s="1484"/>
      <c r="EV645" s="1484"/>
      <c r="EW645" s="1484" t="e">
        <f t="shared" si="29"/>
        <v>#VALUE!</v>
      </c>
      <c r="EX645" s="1484"/>
      <c r="EY645" s="1484"/>
      <c r="EZ645" s="1484"/>
      <c r="FA645" s="1484"/>
    </row>
    <row r="646" spans="1:157" ht="12.95" customHeight="1">
      <c r="A646" s="22"/>
      <c r="B646" t="s">
        <v>17</v>
      </c>
      <c r="G646" s="1357" t="s">
        <v>2721</v>
      </c>
      <c r="H646" s="1357"/>
      <c r="I646" s="1357"/>
      <c r="J646" s="1357"/>
      <c r="K646" s="1357"/>
      <c r="L646" s="1357"/>
      <c r="M646" s="1357"/>
      <c r="N646" s="1357"/>
      <c r="O646" s="1357"/>
      <c r="P646" s="1357"/>
      <c r="Q646" s="1357"/>
      <c r="R646" s="1357"/>
      <c r="S646" s="8"/>
      <c r="T646" s="22"/>
      <c r="U646" t="s">
        <v>17</v>
      </c>
      <c r="Z646" s="1371" t="s">
        <v>2737</v>
      </c>
      <c r="AA646" s="1371"/>
      <c r="AB646" s="1371"/>
      <c r="AC646" s="1371"/>
      <c r="AD646" s="1371"/>
      <c r="AE646" s="1371"/>
      <c r="AF646" s="1371"/>
      <c r="AG646" s="1371"/>
      <c r="AH646" s="1371"/>
      <c r="AI646" s="1371"/>
      <c r="AJ646" s="1371"/>
      <c r="AK646" s="1371"/>
      <c r="AZ646" s="3"/>
      <c r="BA646" s="3"/>
      <c r="BB646" s="3"/>
      <c r="BC646" s="3"/>
      <c r="BD646" s="3"/>
      <c r="BE646" s="3"/>
      <c r="BF646" s="3"/>
      <c r="BG646" s="3"/>
      <c r="BH646" s="3"/>
      <c r="BI646" s="3"/>
      <c r="BJ646" s="3"/>
      <c r="BK646" s="3"/>
      <c r="BL646" s="3"/>
      <c r="BM646" s="3"/>
      <c r="BN646" s="1485">
        <f t="shared" si="31"/>
        <v>0</v>
      </c>
      <c r="BO646" s="1486"/>
      <c r="BP646" s="1486"/>
      <c r="BQ646" s="1486"/>
      <c r="BR646" s="1487"/>
      <c r="BS646" s="1488">
        <f t="shared" si="32"/>
        <v>0</v>
      </c>
      <c r="BT646" s="1488"/>
      <c r="BU646" s="1488"/>
      <c r="BV646" s="1488"/>
      <c r="BW646" s="1488"/>
      <c r="BX646" s="1488">
        <f t="shared" si="33"/>
        <v>0</v>
      </c>
      <c r="BY646" s="1488"/>
      <c r="BZ646" s="1488"/>
      <c r="CA646" s="1488"/>
      <c r="CB646" s="1488"/>
      <c r="CC646" s="1488">
        <f t="shared" si="34"/>
        <v>0</v>
      </c>
      <c r="CD646" s="1488"/>
      <c r="CE646" s="1488"/>
      <c r="CF646" s="1488"/>
      <c r="CG646" s="1488"/>
      <c r="CH646" s="1488">
        <f t="shared" si="35"/>
        <v>0</v>
      </c>
      <c r="CI646" s="1488"/>
      <c r="CJ646" s="1488"/>
      <c r="CK646" s="1488"/>
      <c r="CL646" s="1488"/>
      <c r="CM646" s="1488">
        <f t="shared" si="36"/>
        <v>0</v>
      </c>
      <c r="CN646" s="1488"/>
      <c r="CO646" s="1488"/>
      <c r="CP646" s="1488"/>
      <c r="CQ646" s="1488"/>
      <c r="CR646" s="6"/>
      <c r="CS646" s="1485">
        <f t="shared" si="37"/>
        <v>0</v>
      </c>
      <c r="CT646" s="1486"/>
      <c r="CU646" s="1486"/>
      <c r="CV646" s="1486"/>
      <c r="CW646" s="1487"/>
      <c r="CX646" s="1485">
        <f t="shared" si="38"/>
        <v>0</v>
      </c>
      <c r="CY646" s="1486"/>
      <c r="CZ646" s="1486"/>
      <c r="DA646" s="1486"/>
      <c r="DB646" s="1487"/>
      <c r="DC646" s="1485">
        <f t="shared" si="39"/>
        <v>0</v>
      </c>
      <c r="DD646" s="1486"/>
      <c r="DE646" s="1486"/>
      <c r="DF646" s="1486"/>
      <c r="DG646" s="1487"/>
      <c r="DH646" s="1485">
        <f t="shared" si="40"/>
        <v>0</v>
      </c>
      <c r="DI646" s="1486"/>
      <c r="DJ646" s="1486"/>
      <c r="DK646" s="1486"/>
      <c r="DL646" s="1487"/>
      <c r="DM646" s="1485">
        <f t="shared" si="41"/>
        <v>0</v>
      </c>
      <c r="DN646" s="1486"/>
      <c r="DO646" s="1486"/>
      <c r="DP646" s="1486"/>
      <c r="DQ646" s="1487"/>
      <c r="DR646" s="1485">
        <f t="shared" si="42"/>
        <v>0</v>
      </c>
      <c r="DS646" s="1486"/>
      <c r="DT646" s="1486"/>
      <c r="DU646" s="1486"/>
      <c r="DV646" s="1487"/>
      <c r="DX646" s="1484" t="e">
        <f t="shared" si="30"/>
        <v>#VALUE!</v>
      </c>
      <c r="DY646" s="1484"/>
      <c r="DZ646" s="1484"/>
      <c r="EA646" s="1484"/>
      <c r="EB646" s="1484"/>
      <c r="EC646" s="1484" t="e">
        <f t="shared" si="25"/>
        <v>#VALUE!</v>
      </c>
      <c r="ED646" s="1484"/>
      <c r="EE646" s="1484"/>
      <c r="EF646" s="1484"/>
      <c r="EG646" s="1484"/>
      <c r="EH646" s="1484">
        <f t="shared" si="26"/>
        <v>130.25806451612902</v>
      </c>
      <c r="EI646" s="1484"/>
      <c r="EJ646" s="1484"/>
      <c r="EK646" s="1484"/>
      <c r="EL646" s="1484"/>
      <c r="EM646" s="1484" t="e">
        <f t="shared" si="27"/>
        <v>#VALUE!</v>
      </c>
      <c r="EN646" s="1484"/>
      <c r="EO646" s="1484"/>
      <c r="EP646" s="1484"/>
      <c r="EQ646" s="1484"/>
      <c r="ER646" s="1484" t="e">
        <f t="shared" si="28"/>
        <v>#VALUE!</v>
      </c>
      <c r="ES646" s="1484"/>
      <c r="ET646" s="1484"/>
      <c r="EU646" s="1484"/>
      <c r="EV646" s="1484"/>
      <c r="EW646" s="1484" t="e">
        <f t="shared" si="29"/>
        <v>#VALUE!</v>
      </c>
      <c r="EX646" s="1484"/>
      <c r="EY646" s="1484"/>
      <c r="EZ646" s="1484"/>
      <c r="FA646" s="1484"/>
    </row>
    <row r="647" spans="1:157" ht="12.95" customHeight="1">
      <c r="A647" s="22"/>
      <c r="B647" t="s">
        <v>316</v>
      </c>
      <c r="G647" s="1460" t="s">
        <v>2722</v>
      </c>
      <c r="H647" s="1460"/>
      <c r="I647" s="1460"/>
      <c r="J647" s="1460"/>
      <c r="K647" s="1460"/>
      <c r="L647" s="1460"/>
      <c r="O647" s="33" t="s">
        <v>206</v>
      </c>
      <c r="P647" s="1455"/>
      <c r="Q647" s="1455"/>
      <c r="R647" s="1455"/>
      <c r="S647" s="10"/>
      <c r="T647" s="22"/>
      <c r="U647" t="s">
        <v>316</v>
      </c>
      <c r="Z647" s="1460" t="s">
        <v>2738</v>
      </c>
      <c r="AA647" s="1460"/>
      <c r="AB647" s="1460"/>
      <c r="AC647" s="1460"/>
      <c r="AD647" s="1460"/>
      <c r="AE647" s="1460"/>
      <c r="AH647" s="33" t="s">
        <v>206</v>
      </c>
      <c r="AI647" s="1455"/>
      <c r="AJ647" s="1455"/>
      <c r="AK647" s="1455"/>
      <c r="AZ647" s="34"/>
      <c r="BA647" s="34"/>
      <c r="BB647" s="34"/>
      <c r="BC647" s="34"/>
      <c r="BD647" s="34"/>
      <c r="BE647" s="34"/>
      <c r="BF647" s="34"/>
      <c r="BG647" s="34"/>
      <c r="BH647" s="34"/>
      <c r="BI647" s="34"/>
      <c r="BJ647" s="34"/>
      <c r="BK647" s="34"/>
      <c r="BL647" s="34"/>
      <c r="BM647" s="34"/>
      <c r="BN647" s="1485">
        <f t="shared" si="31"/>
        <v>0</v>
      </c>
      <c r="BO647" s="1486"/>
      <c r="BP647" s="1486"/>
      <c r="BQ647" s="1486"/>
      <c r="BR647" s="1487"/>
      <c r="BS647" s="1488">
        <f t="shared" si="32"/>
        <v>0</v>
      </c>
      <c r="BT647" s="1488"/>
      <c r="BU647" s="1488"/>
      <c r="BV647" s="1488"/>
      <c r="BW647" s="1488"/>
      <c r="BX647" s="1488">
        <f t="shared" si="33"/>
        <v>0</v>
      </c>
      <c r="BY647" s="1488"/>
      <c r="BZ647" s="1488"/>
      <c r="CA647" s="1488"/>
      <c r="CB647" s="1488"/>
      <c r="CC647" s="1488">
        <f t="shared" si="34"/>
        <v>0</v>
      </c>
      <c r="CD647" s="1488"/>
      <c r="CE647" s="1488"/>
      <c r="CF647" s="1488"/>
      <c r="CG647" s="1488"/>
      <c r="CH647" s="1488">
        <f t="shared" si="35"/>
        <v>0</v>
      </c>
      <c r="CI647" s="1488"/>
      <c r="CJ647" s="1488"/>
      <c r="CK647" s="1488"/>
      <c r="CL647" s="1488"/>
      <c r="CM647" s="1488">
        <f t="shared" si="36"/>
        <v>0</v>
      </c>
      <c r="CN647" s="1488"/>
      <c r="CO647" s="1488"/>
      <c r="CP647" s="1488"/>
      <c r="CQ647" s="1488"/>
      <c r="CR647" s="6"/>
      <c r="CS647" s="1485">
        <f t="shared" si="37"/>
        <v>0</v>
      </c>
      <c r="CT647" s="1486"/>
      <c r="CU647" s="1486"/>
      <c r="CV647" s="1486"/>
      <c r="CW647" s="1487"/>
      <c r="CX647" s="1485">
        <f t="shared" si="38"/>
        <v>0</v>
      </c>
      <c r="CY647" s="1486"/>
      <c r="CZ647" s="1486"/>
      <c r="DA647" s="1486"/>
      <c r="DB647" s="1487"/>
      <c r="DC647" s="1485">
        <f t="shared" si="39"/>
        <v>0</v>
      </c>
      <c r="DD647" s="1486"/>
      <c r="DE647" s="1486"/>
      <c r="DF647" s="1486"/>
      <c r="DG647" s="1487"/>
      <c r="DH647" s="1485">
        <f t="shared" si="40"/>
        <v>0</v>
      </c>
      <c r="DI647" s="1486"/>
      <c r="DJ647" s="1486"/>
      <c r="DK647" s="1486"/>
      <c r="DL647" s="1487"/>
      <c r="DM647" s="1485">
        <f t="shared" si="41"/>
        <v>0</v>
      </c>
      <c r="DN647" s="1486"/>
      <c r="DO647" s="1486"/>
      <c r="DP647" s="1486"/>
      <c r="DQ647" s="1487"/>
      <c r="DR647" s="1485">
        <f t="shared" si="42"/>
        <v>0</v>
      </c>
      <c r="DS647" s="1486"/>
      <c r="DT647" s="1486"/>
      <c r="DU647" s="1486"/>
      <c r="DV647" s="1487"/>
      <c r="DX647" s="1484" t="e">
        <f t="shared" si="30"/>
        <v>#VALUE!</v>
      </c>
      <c r="DY647" s="1484"/>
      <c r="DZ647" s="1484"/>
      <c r="EA647" s="1484"/>
      <c r="EB647" s="1484"/>
      <c r="EC647" s="1484" t="e">
        <f t="shared" si="25"/>
        <v>#VALUE!</v>
      </c>
      <c r="ED647" s="1484"/>
      <c r="EE647" s="1484"/>
      <c r="EF647" s="1484"/>
      <c r="EG647" s="1484"/>
      <c r="EH647" s="1484">
        <f t="shared" si="26"/>
        <v>553.54838709677415</v>
      </c>
      <c r="EI647" s="1484"/>
      <c r="EJ647" s="1484"/>
      <c r="EK647" s="1484"/>
      <c r="EL647" s="1484"/>
      <c r="EM647" s="1484" t="e">
        <f t="shared" si="27"/>
        <v>#VALUE!</v>
      </c>
      <c r="EN647" s="1484"/>
      <c r="EO647" s="1484"/>
      <c r="EP647" s="1484"/>
      <c r="EQ647" s="1484"/>
      <c r="ER647" s="1484" t="e">
        <f t="shared" si="28"/>
        <v>#VALUE!</v>
      </c>
      <c r="ES647" s="1484"/>
      <c r="ET647" s="1484"/>
      <c r="EU647" s="1484"/>
      <c r="EV647" s="1484"/>
      <c r="EW647" s="1484" t="e">
        <f t="shared" si="29"/>
        <v>#VALUE!</v>
      </c>
      <c r="EX647" s="1484"/>
      <c r="EY647" s="1484"/>
      <c r="EZ647" s="1484"/>
      <c r="FA647" s="1484"/>
    </row>
    <row r="648" spans="1:157" ht="12.95" customHeight="1">
      <c r="A648" s="22"/>
      <c r="B648" t="s">
        <v>18</v>
      </c>
      <c r="H648" s="1357" t="s">
        <v>2734</v>
      </c>
      <c r="I648" s="1357"/>
      <c r="J648" s="1357"/>
      <c r="K648" s="1357"/>
      <c r="L648" s="1357"/>
      <c r="M648" s="1357"/>
      <c r="N648" s="1357"/>
      <c r="O648" s="1357"/>
      <c r="P648" s="1357"/>
      <c r="Q648" s="1357"/>
      <c r="R648" s="1357"/>
      <c r="S648" s="8"/>
      <c r="T648" s="22"/>
      <c r="U648" t="s">
        <v>18</v>
      </c>
      <c r="AA648" s="1357" t="s">
        <v>2739</v>
      </c>
      <c r="AB648" s="1357"/>
      <c r="AC648" s="1357"/>
      <c r="AD648" s="1357"/>
      <c r="AE648" s="1357"/>
      <c r="AF648" s="1357"/>
      <c r="AG648" s="1357"/>
      <c r="AH648" s="1357"/>
      <c r="AI648" s="1357"/>
      <c r="AJ648" s="1357"/>
      <c r="AK648" s="1357"/>
      <c r="AZ648" s="34"/>
      <c r="BA648" s="34"/>
      <c r="BB648" s="34"/>
      <c r="BC648" s="34"/>
      <c r="BD648" s="34"/>
      <c r="BE648" s="34"/>
      <c r="BF648" s="34"/>
      <c r="BG648" s="34"/>
      <c r="BH648" s="34"/>
      <c r="BI648" s="34"/>
      <c r="BJ648" s="34"/>
      <c r="BK648" s="34"/>
      <c r="BL648" s="34"/>
      <c r="BM648" s="34"/>
      <c r="BN648" s="1485">
        <f t="shared" si="31"/>
        <v>0</v>
      </c>
      <c r="BO648" s="1486"/>
      <c r="BP648" s="1486"/>
      <c r="BQ648" s="1486"/>
      <c r="BR648" s="1487"/>
      <c r="BS648" s="1488">
        <f t="shared" si="32"/>
        <v>0</v>
      </c>
      <c r="BT648" s="1488"/>
      <c r="BU648" s="1488"/>
      <c r="BV648" s="1488"/>
      <c r="BW648" s="1488"/>
      <c r="BX648" s="1488">
        <f t="shared" si="33"/>
        <v>0</v>
      </c>
      <c r="BY648" s="1488"/>
      <c r="BZ648" s="1488"/>
      <c r="CA648" s="1488"/>
      <c r="CB648" s="1488"/>
      <c r="CC648" s="1488">
        <f t="shared" si="34"/>
        <v>0</v>
      </c>
      <c r="CD648" s="1488"/>
      <c r="CE648" s="1488"/>
      <c r="CF648" s="1488"/>
      <c r="CG648" s="1488"/>
      <c r="CH648" s="1488">
        <f t="shared" si="35"/>
        <v>0</v>
      </c>
      <c r="CI648" s="1488"/>
      <c r="CJ648" s="1488"/>
      <c r="CK648" s="1488"/>
      <c r="CL648" s="1488"/>
      <c r="CM648" s="1488">
        <f t="shared" si="36"/>
        <v>0</v>
      </c>
      <c r="CN648" s="1488"/>
      <c r="CO648" s="1488"/>
      <c r="CP648" s="1488"/>
      <c r="CQ648" s="1488"/>
      <c r="CR648" s="6"/>
      <c r="CS648" s="1485">
        <f t="shared" si="37"/>
        <v>0</v>
      </c>
      <c r="CT648" s="1486"/>
      <c r="CU648" s="1486"/>
      <c r="CV648" s="1486"/>
      <c r="CW648" s="1487"/>
      <c r="CX648" s="1485">
        <f t="shared" si="38"/>
        <v>0</v>
      </c>
      <c r="CY648" s="1486"/>
      <c r="CZ648" s="1486"/>
      <c r="DA648" s="1486"/>
      <c r="DB648" s="1487"/>
      <c r="DC648" s="1485">
        <f t="shared" si="39"/>
        <v>0</v>
      </c>
      <c r="DD648" s="1486"/>
      <c r="DE648" s="1486"/>
      <c r="DF648" s="1486"/>
      <c r="DG648" s="1487"/>
      <c r="DH648" s="1485">
        <f t="shared" si="40"/>
        <v>0</v>
      </c>
      <c r="DI648" s="1486"/>
      <c r="DJ648" s="1486"/>
      <c r="DK648" s="1486"/>
      <c r="DL648" s="1487"/>
      <c r="DM648" s="1485">
        <f t="shared" si="41"/>
        <v>0</v>
      </c>
      <c r="DN648" s="1486"/>
      <c r="DO648" s="1486"/>
      <c r="DP648" s="1486"/>
      <c r="DQ648" s="1487"/>
      <c r="DR648" s="1485">
        <f t="shared" si="42"/>
        <v>0</v>
      </c>
      <c r="DS648" s="1486"/>
      <c r="DT648" s="1486"/>
      <c r="DU648" s="1486"/>
      <c r="DV648" s="1487"/>
      <c r="DX648" s="1484" t="e">
        <f t="shared" si="30"/>
        <v>#VALUE!</v>
      </c>
      <c r="DY648" s="1484"/>
      <c r="DZ648" s="1484"/>
      <c r="EA648" s="1484"/>
      <c r="EB648" s="1484"/>
      <c r="EC648" s="1484" t="e">
        <f t="shared" si="25"/>
        <v>#VALUE!</v>
      </c>
      <c r="ED648" s="1484"/>
      <c r="EE648" s="1484"/>
      <c r="EF648" s="1484"/>
      <c r="EG648" s="1484"/>
      <c r="EH648" s="1484">
        <f t="shared" si="26"/>
        <v>807.87096774193549</v>
      </c>
      <c r="EI648" s="1484"/>
      <c r="EJ648" s="1484"/>
      <c r="EK648" s="1484"/>
      <c r="EL648" s="1484"/>
      <c r="EM648" s="1484" t="e">
        <f t="shared" si="27"/>
        <v>#VALUE!</v>
      </c>
      <c r="EN648" s="1484"/>
      <c r="EO648" s="1484"/>
      <c r="EP648" s="1484"/>
      <c r="EQ648" s="1484"/>
      <c r="ER648" s="1484" t="e">
        <f t="shared" si="28"/>
        <v>#VALUE!</v>
      </c>
      <c r="ES648" s="1484"/>
      <c r="ET648" s="1484"/>
      <c r="EU648" s="1484"/>
      <c r="EV648" s="1484"/>
      <c r="EW648" s="1484" t="e">
        <f t="shared" si="29"/>
        <v>#VALUE!</v>
      </c>
      <c r="EX648" s="1484"/>
      <c r="EY648" s="1484"/>
      <c r="EZ648" s="1484"/>
      <c r="FA648" s="1484"/>
    </row>
    <row r="649" spans="1:157" ht="12.95" customHeight="1">
      <c r="A649" s="22"/>
      <c r="B649" t="s">
        <v>20</v>
      </c>
      <c r="N649" s="1358" t="s">
        <v>552</v>
      </c>
      <c r="O649" s="1358"/>
      <c r="T649" s="22"/>
      <c r="U649" t="s">
        <v>20</v>
      </c>
      <c r="AG649" s="1358" t="s">
        <v>552</v>
      </c>
      <c r="AH649" s="1358"/>
      <c r="AZ649" s="34"/>
      <c r="BA649" s="34"/>
      <c r="BB649" s="34"/>
      <c r="BC649" s="34"/>
      <c r="BD649" s="34"/>
      <c r="BE649" s="34"/>
      <c r="BF649" s="34"/>
      <c r="BG649" s="34"/>
      <c r="BH649" s="34"/>
      <c r="BI649" s="34"/>
      <c r="BJ649" s="34"/>
      <c r="BK649" s="34"/>
      <c r="BL649" s="34"/>
      <c r="BM649" s="34"/>
      <c r="BN649" s="1485">
        <f t="shared" si="31"/>
        <v>0</v>
      </c>
      <c r="BO649" s="1486"/>
      <c r="BP649" s="1486"/>
      <c r="BQ649" s="1486"/>
      <c r="BR649" s="1487"/>
      <c r="BS649" s="1488">
        <f t="shared" si="32"/>
        <v>0</v>
      </c>
      <c r="BT649" s="1488"/>
      <c r="BU649" s="1488"/>
      <c r="BV649" s="1488"/>
      <c r="BW649" s="1488"/>
      <c r="BX649" s="1488">
        <f t="shared" si="33"/>
        <v>0</v>
      </c>
      <c r="BY649" s="1488"/>
      <c r="BZ649" s="1488"/>
      <c r="CA649" s="1488"/>
      <c r="CB649" s="1488"/>
      <c r="CC649" s="1488">
        <f t="shared" si="34"/>
        <v>0</v>
      </c>
      <c r="CD649" s="1488"/>
      <c r="CE649" s="1488"/>
      <c r="CF649" s="1488"/>
      <c r="CG649" s="1488"/>
      <c r="CH649" s="1488">
        <f t="shared" si="35"/>
        <v>0</v>
      </c>
      <c r="CI649" s="1488"/>
      <c r="CJ649" s="1488"/>
      <c r="CK649" s="1488"/>
      <c r="CL649" s="1488"/>
      <c r="CM649" s="1488">
        <f t="shared" si="36"/>
        <v>0</v>
      </c>
      <c r="CN649" s="1488"/>
      <c r="CO649" s="1488"/>
      <c r="CP649" s="1488"/>
      <c r="CQ649" s="1488"/>
      <c r="CR649" s="6"/>
      <c r="CS649" s="1485">
        <f t="shared" si="37"/>
        <v>0</v>
      </c>
      <c r="CT649" s="1486"/>
      <c r="CU649" s="1486"/>
      <c r="CV649" s="1486"/>
      <c r="CW649" s="1487"/>
      <c r="CX649" s="1485">
        <f t="shared" si="38"/>
        <v>0</v>
      </c>
      <c r="CY649" s="1486"/>
      <c r="CZ649" s="1486"/>
      <c r="DA649" s="1486"/>
      <c r="DB649" s="1487"/>
      <c r="DC649" s="1485">
        <f t="shared" si="39"/>
        <v>0</v>
      </c>
      <c r="DD649" s="1486"/>
      <c r="DE649" s="1486"/>
      <c r="DF649" s="1486"/>
      <c r="DG649" s="1487"/>
      <c r="DH649" s="1485">
        <f t="shared" si="40"/>
        <v>0</v>
      </c>
      <c r="DI649" s="1486"/>
      <c r="DJ649" s="1486"/>
      <c r="DK649" s="1486"/>
      <c r="DL649" s="1487"/>
      <c r="DM649" s="1485">
        <f t="shared" si="41"/>
        <v>0</v>
      </c>
      <c r="DN649" s="1486"/>
      <c r="DO649" s="1486"/>
      <c r="DP649" s="1486"/>
      <c r="DQ649" s="1487"/>
      <c r="DR649" s="1485">
        <f t="shared" si="42"/>
        <v>0</v>
      </c>
      <c r="DS649" s="1486"/>
      <c r="DT649" s="1486"/>
      <c r="DU649" s="1486"/>
      <c r="DV649" s="1487"/>
      <c r="DX649" s="1484" t="e">
        <f t="shared" si="30"/>
        <v>#VALUE!</v>
      </c>
      <c r="DY649" s="1484"/>
      <c r="DZ649" s="1484"/>
      <c r="EA649" s="1484"/>
      <c r="EB649" s="1484"/>
      <c r="EC649" s="1484" t="e">
        <f t="shared" si="25"/>
        <v>#VALUE!</v>
      </c>
      <c r="ED649" s="1484"/>
      <c r="EE649" s="1484"/>
      <c r="EF649" s="1484"/>
      <c r="EG649" s="1484"/>
      <c r="EH649" s="1484" t="e">
        <f t="shared" si="26"/>
        <v>#VALUE!</v>
      </c>
      <c r="EI649" s="1484"/>
      <c r="EJ649" s="1484"/>
      <c r="EK649" s="1484"/>
      <c r="EL649" s="1484"/>
      <c r="EM649" s="1484">
        <f t="shared" si="27"/>
        <v>178.54838709677418</v>
      </c>
      <c r="EN649" s="1484"/>
      <c r="EO649" s="1484"/>
      <c r="EP649" s="1484"/>
      <c r="EQ649" s="1484"/>
      <c r="ER649" s="1484" t="e">
        <f t="shared" si="28"/>
        <v>#VALUE!</v>
      </c>
      <c r="ES649" s="1484"/>
      <c r="ET649" s="1484"/>
      <c r="EU649" s="1484"/>
      <c r="EV649" s="1484"/>
      <c r="EW649" s="1484" t="e">
        <f t="shared" si="29"/>
        <v>#VALUE!</v>
      </c>
      <c r="EX649" s="1484"/>
      <c r="EY649" s="1484"/>
      <c r="EZ649" s="1484"/>
      <c r="FA649" s="1484"/>
    </row>
    <row r="650" spans="1:157" ht="12.95" customHeight="1">
      <c r="A650" s="22"/>
      <c r="T650" s="22"/>
      <c r="AZ650" s="34"/>
      <c r="BA650" s="34"/>
      <c r="BB650" s="34"/>
      <c r="BC650" s="34"/>
      <c r="BD650" s="34"/>
      <c r="BE650" s="34"/>
      <c r="BF650" s="34"/>
      <c r="BG650" s="34"/>
      <c r="BH650" s="34"/>
      <c r="BI650" s="34"/>
      <c r="BJ650" s="34"/>
      <c r="BK650" s="34"/>
      <c r="BL650" s="34"/>
      <c r="BM650" s="34"/>
      <c r="BN650" s="1485">
        <f t="shared" si="31"/>
        <v>0</v>
      </c>
      <c r="BO650" s="1486"/>
      <c r="BP650" s="1486"/>
      <c r="BQ650" s="1486"/>
      <c r="BR650" s="1487"/>
      <c r="BS650" s="1488">
        <f t="shared" si="32"/>
        <v>0</v>
      </c>
      <c r="BT650" s="1488"/>
      <c r="BU650" s="1488"/>
      <c r="BV650" s="1488"/>
      <c r="BW650" s="1488"/>
      <c r="BX650" s="1488">
        <f t="shared" si="33"/>
        <v>0</v>
      </c>
      <c r="BY650" s="1488"/>
      <c r="BZ650" s="1488"/>
      <c r="CA650" s="1488"/>
      <c r="CB650" s="1488"/>
      <c r="CC650" s="1488">
        <f t="shared" si="34"/>
        <v>0</v>
      </c>
      <c r="CD650" s="1488"/>
      <c r="CE650" s="1488"/>
      <c r="CF650" s="1488"/>
      <c r="CG650" s="1488"/>
      <c r="CH650" s="1488">
        <f t="shared" si="35"/>
        <v>0</v>
      </c>
      <c r="CI650" s="1488"/>
      <c r="CJ650" s="1488"/>
      <c r="CK650" s="1488"/>
      <c r="CL650" s="1488"/>
      <c r="CM650" s="1488">
        <f t="shared" si="36"/>
        <v>0</v>
      </c>
      <c r="CN650" s="1488"/>
      <c r="CO650" s="1488"/>
      <c r="CP650" s="1488"/>
      <c r="CQ650" s="1488"/>
      <c r="CR650" s="6"/>
      <c r="CS650" s="1485">
        <f t="shared" si="37"/>
        <v>0</v>
      </c>
      <c r="CT650" s="1486"/>
      <c r="CU650" s="1486"/>
      <c r="CV650" s="1486"/>
      <c r="CW650" s="1487"/>
      <c r="CX650" s="1485">
        <f t="shared" si="38"/>
        <v>0</v>
      </c>
      <c r="CY650" s="1486"/>
      <c r="CZ650" s="1486"/>
      <c r="DA650" s="1486"/>
      <c r="DB650" s="1487"/>
      <c r="DC650" s="1485">
        <f t="shared" si="39"/>
        <v>0</v>
      </c>
      <c r="DD650" s="1486"/>
      <c r="DE650" s="1486"/>
      <c r="DF650" s="1486"/>
      <c r="DG650" s="1487"/>
      <c r="DH650" s="1485">
        <f t="shared" si="40"/>
        <v>0</v>
      </c>
      <c r="DI650" s="1486"/>
      <c r="DJ650" s="1486"/>
      <c r="DK650" s="1486"/>
      <c r="DL650" s="1487"/>
      <c r="DM650" s="1485">
        <f t="shared" si="41"/>
        <v>0</v>
      </c>
      <c r="DN650" s="1486"/>
      <c r="DO650" s="1486"/>
      <c r="DP650" s="1486"/>
      <c r="DQ650" s="1487"/>
      <c r="DR650" s="1485">
        <f t="shared" si="42"/>
        <v>0</v>
      </c>
      <c r="DS650" s="1486"/>
      <c r="DT650" s="1486"/>
      <c r="DU650" s="1486"/>
      <c r="DV650" s="1487"/>
      <c r="DX650" s="1484" t="e">
        <f t="shared" si="30"/>
        <v>#VALUE!</v>
      </c>
      <c r="DY650" s="1484"/>
      <c r="DZ650" s="1484"/>
      <c r="EA650" s="1484"/>
      <c r="EB650" s="1484"/>
      <c r="EC650" s="1484" t="e">
        <f t="shared" si="25"/>
        <v>#VALUE!</v>
      </c>
      <c r="ED650" s="1484"/>
      <c r="EE650" s="1484"/>
      <c r="EF650" s="1484"/>
      <c r="EG650" s="1484"/>
      <c r="EH650" s="1484" t="e">
        <f t="shared" si="26"/>
        <v>#VALUE!</v>
      </c>
      <c r="EI650" s="1484"/>
      <c r="EJ650" s="1484"/>
      <c r="EK650" s="1484"/>
      <c r="EL650" s="1484"/>
      <c r="EM650" s="1484">
        <f t="shared" si="27"/>
        <v>49.548387096774192</v>
      </c>
      <c r="EN650" s="1484"/>
      <c r="EO650" s="1484"/>
      <c r="EP650" s="1484"/>
      <c r="EQ650" s="1484"/>
      <c r="ER650" s="1484" t="e">
        <f t="shared" si="28"/>
        <v>#VALUE!</v>
      </c>
      <c r="ES650" s="1484"/>
      <c r="ET650" s="1484"/>
      <c r="EU650" s="1484"/>
      <c r="EV650" s="1484"/>
      <c r="EW650" s="1484" t="e">
        <f t="shared" si="29"/>
        <v>#VALUE!</v>
      </c>
      <c r="EX650" s="1484"/>
      <c r="EY650" s="1484"/>
      <c r="EZ650" s="1484"/>
      <c r="FA650" s="1484"/>
    </row>
    <row r="651" spans="1:157" ht="12.95" customHeight="1">
      <c r="A651" s="55" t="s">
        <v>119</v>
      </c>
      <c r="B651" t="s">
        <v>470</v>
      </c>
      <c r="G651" s="1355" t="str">
        <f>C629</f>
        <v>City of Santa Cruz - AHTF</v>
      </c>
      <c r="H651" s="1355"/>
      <c r="I651" s="1355"/>
      <c r="J651" s="1355"/>
      <c r="K651" s="1355"/>
      <c r="L651" s="1355"/>
      <c r="M651" s="1355"/>
      <c r="N651" s="1355"/>
      <c r="O651" s="1355"/>
      <c r="P651" s="1355"/>
      <c r="Q651" s="1355"/>
      <c r="R651" s="1355"/>
      <c r="T651" s="55" t="s">
        <v>588</v>
      </c>
      <c r="U651" t="s">
        <v>470</v>
      </c>
      <c r="Z651" s="1355" t="str">
        <f>C630</f>
        <v>City of Santa Cruz - LHTF</v>
      </c>
      <c r="AA651" s="1355"/>
      <c r="AB651" s="1355"/>
      <c r="AC651" s="1355"/>
      <c r="AD651" s="1355"/>
      <c r="AE651" s="1355"/>
      <c r="AF651" s="1355"/>
      <c r="AG651" s="1355"/>
      <c r="AH651" s="1355"/>
      <c r="AI651" s="1355"/>
      <c r="AJ651" s="1355"/>
      <c r="AK651" s="1355"/>
      <c r="AZ651" s="34"/>
      <c r="BA651" s="34"/>
      <c r="BB651" s="34"/>
      <c r="BC651" s="34"/>
      <c r="BD651" s="34"/>
      <c r="BE651" s="34"/>
      <c r="BF651" s="34"/>
      <c r="BG651" s="34"/>
      <c r="BH651" s="34"/>
      <c r="BI651" s="34"/>
      <c r="BJ651" s="34"/>
      <c r="BK651" s="34"/>
      <c r="BL651" s="34"/>
      <c r="BM651" s="34"/>
      <c r="BN651" s="1485">
        <f t="shared" si="31"/>
        <v>0</v>
      </c>
      <c r="BO651" s="1486"/>
      <c r="BP651" s="1486"/>
      <c r="BQ651" s="1486"/>
      <c r="BR651" s="1487"/>
      <c r="BS651" s="1488">
        <f t="shared" si="32"/>
        <v>0</v>
      </c>
      <c r="BT651" s="1488"/>
      <c r="BU651" s="1488"/>
      <c r="BV651" s="1488"/>
      <c r="BW651" s="1488"/>
      <c r="BX651" s="1488">
        <f t="shared" si="33"/>
        <v>0</v>
      </c>
      <c r="BY651" s="1488"/>
      <c r="BZ651" s="1488"/>
      <c r="CA651" s="1488"/>
      <c r="CB651" s="1488"/>
      <c r="CC651" s="1488">
        <f t="shared" si="34"/>
        <v>0</v>
      </c>
      <c r="CD651" s="1488"/>
      <c r="CE651" s="1488"/>
      <c r="CF651" s="1488"/>
      <c r="CG651" s="1488"/>
      <c r="CH651" s="1488">
        <f t="shared" si="35"/>
        <v>0</v>
      </c>
      <c r="CI651" s="1488"/>
      <c r="CJ651" s="1488"/>
      <c r="CK651" s="1488"/>
      <c r="CL651" s="1488"/>
      <c r="CM651" s="1488">
        <f t="shared" si="36"/>
        <v>0</v>
      </c>
      <c r="CN651" s="1488"/>
      <c r="CO651" s="1488"/>
      <c r="CP651" s="1488"/>
      <c r="CQ651" s="1488"/>
      <c r="CR651" s="6"/>
      <c r="CS651" s="1485">
        <f t="shared" si="37"/>
        <v>0</v>
      </c>
      <c r="CT651" s="1486"/>
      <c r="CU651" s="1486"/>
      <c r="CV651" s="1486"/>
      <c r="CW651" s="1487"/>
      <c r="CX651" s="1485">
        <f t="shared" si="38"/>
        <v>0</v>
      </c>
      <c r="CY651" s="1486"/>
      <c r="CZ651" s="1486"/>
      <c r="DA651" s="1486"/>
      <c r="DB651" s="1487"/>
      <c r="DC651" s="1485">
        <f t="shared" si="39"/>
        <v>0</v>
      </c>
      <c r="DD651" s="1486"/>
      <c r="DE651" s="1486"/>
      <c r="DF651" s="1486"/>
      <c r="DG651" s="1487"/>
      <c r="DH651" s="1485">
        <f t="shared" si="40"/>
        <v>0</v>
      </c>
      <c r="DI651" s="1486"/>
      <c r="DJ651" s="1486"/>
      <c r="DK651" s="1486"/>
      <c r="DL651" s="1487"/>
      <c r="DM651" s="1485">
        <f t="shared" si="41"/>
        <v>0</v>
      </c>
      <c r="DN651" s="1486"/>
      <c r="DO651" s="1486"/>
      <c r="DP651" s="1486"/>
      <c r="DQ651" s="1487"/>
      <c r="DR651" s="1485">
        <f t="shared" si="42"/>
        <v>0</v>
      </c>
      <c r="DS651" s="1486"/>
      <c r="DT651" s="1486"/>
      <c r="DU651" s="1486"/>
      <c r="DV651" s="1487"/>
      <c r="DX651" s="1484" t="e">
        <f t="shared" si="30"/>
        <v>#VALUE!</v>
      </c>
      <c r="DY651" s="1484"/>
      <c r="DZ651" s="1484"/>
      <c r="EA651" s="1484"/>
      <c r="EB651" s="1484"/>
      <c r="EC651" s="1484" t="e">
        <f t="shared" si="25"/>
        <v>#VALUE!</v>
      </c>
      <c r="ED651" s="1484"/>
      <c r="EE651" s="1484"/>
      <c r="EF651" s="1484"/>
      <c r="EG651" s="1484"/>
      <c r="EH651" s="1484" t="e">
        <f t="shared" si="26"/>
        <v>#VALUE!</v>
      </c>
      <c r="EI651" s="1484"/>
      <c r="EJ651" s="1484"/>
      <c r="EK651" s="1484"/>
      <c r="EL651" s="1484"/>
      <c r="EM651" s="1484">
        <f t="shared" si="27"/>
        <v>148.64516129032256</v>
      </c>
      <c r="EN651" s="1484"/>
      <c r="EO651" s="1484"/>
      <c r="EP651" s="1484"/>
      <c r="EQ651" s="1484"/>
      <c r="ER651" s="1484" t="e">
        <f t="shared" si="28"/>
        <v>#VALUE!</v>
      </c>
      <c r="ES651" s="1484"/>
      <c r="ET651" s="1484"/>
      <c r="EU651" s="1484"/>
      <c r="EV651" s="1484"/>
      <c r="EW651" s="1484" t="e">
        <f t="shared" si="29"/>
        <v>#VALUE!</v>
      </c>
      <c r="EX651" s="1484"/>
      <c r="EY651" s="1484"/>
      <c r="EZ651" s="1484"/>
      <c r="FA651" s="1484"/>
    </row>
    <row r="652" spans="1:157" ht="12.95" customHeight="1">
      <c r="A652" s="22"/>
      <c r="B652" t="s">
        <v>85</v>
      </c>
      <c r="G652" s="1357" t="s">
        <v>2692</v>
      </c>
      <c r="H652" s="1357"/>
      <c r="I652" s="1357"/>
      <c r="J652" s="1357"/>
      <c r="K652" s="1357"/>
      <c r="L652" s="1357"/>
      <c r="M652" s="1357"/>
      <c r="N652" s="1357"/>
      <c r="O652" s="1357"/>
      <c r="P652" s="1357"/>
      <c r="Q652" s="1357"/>
      <c r="R652" s="1357"/>
      <c r="T652" s="22"/>
      <c r="U652" t="s">
        <v>85</v>
      </c>
      <c r="Z652" s="1357" t="s">
        <v>2692</v>
      </c>
      <c r="AA652" s="1357"/>
      <c r="AB652" s="1357"/>
      <c r="AC652" s="1357"/>
      <c r="AD652" s="1357"/>
      <c r="AE652" s="1357"/>
      <c r="AF652" s="1357"/>
      <c r="AG652" s="1357"/>
      <c r="AH652" s="1357"/>
      <c r="AI652" s="1357"/>
      <c r="AJ652" s="1357"/>
      <c r="AK652" s="1357"/>
      <c r="AZ652" s="34"/>
      <c r="BA652" s="34"/>
      <c r="BB652" s="34"/>
      <c r="BC652" s="34"/>
      <c r="BD652" s="34"/>
      <c r="BE652" s="34"/>
      <c r="BF652" s="34"/>
      <c r="BG652" s="34"/>
      <c r="BH652" s="34"/>
      <c r="BI652" s="34"/>
      <c r="BJ652" s="34"/>
      <c r="BK652" s="34"/>
      <c r="BL652" s="34"/>
      <c r="BM652" s="34"/>
      <c r="BN652" s="1485">
        <f t="shared" si="31"/>
        <v>0</v>
      </c>
      <c r="BO652" s="1486"/>
      <c r="BP652" s="1486"/>
      <c r="BQ652" s="1486"/>
      <c r="BR652" s="1487"/>
      <c r="BS652" s="1488">
        <f t="shared" si="32"/>
        <v>0</v>
      </c>
      <c r="BT652" s="1488"/>
      <c r="BU652" s="1488"/>
      <c r="BV652" s="1488"/>
      <c r="BW652" s="1488"/>
      <c r="BX652" s="1488">
        <f t="shared" si="33"/>
        <v>0</v>
      </c>
      <c r="BY652" s="1488"/>
      <c r="BZ652" s="1488"/>
      <c r="CA652" s="1488"/>
      <c r="CB652" s="1488"/>
      <c r="CC652" s="1488">
        <f t="shared" si="34"/>
        <v>0</v>
      </c>
      <c r="CD652" s="1488"/>
      <c r="CE652" s="1488"/>
      <c r="CF652" s="1488"/>
      <c r="CG652" s="1488"/>
      <c r="CH652" s="1488">
        <f t="shared" si="35"/>
        <v>0</v>
      </c>
      <c r="CI652" s="1488"/>
      <c r="CJ652" s="1488"/>
      <c r="CK652" s="1488"/>
      <c r="CL652" s="1488"/>
      <c r="CM652" s="1488">
        <f t="shared" si="36"/>
        <v>0</v>
      </c>
      <c r="CN652" s="1488"/>
      <c r="CO652" s="1488"/>
      <c r="CP652" s="1488"/>
      <c r="CQ652" s="1488"/>
      <c r="CR652" s="6"/>
      <c r="CS652" s="1485">
        <f t="shared" si="37"/>
        <v>0</v>
      </c>
      <c r="CT652" s="1486"/>
      <c r="CU652" s="1486"/>
      <c r="CV652" s="1486"/>
      <c r="CW652" s="1487"/>
      <c r="CX652" s="1485">
        <f t="shared" si="38"/>
        <v>0</v>
      </c>
      <c r="CY652" s="1486"/>
      <c r="CZ652" s="1486"/>
      <c r="DA652" s="1486"/>
      <c r="DB652" s="1487"/>
      <c r="DC652" s="1485">
        <f t="shared" si="39"/>
        <v>0</v>
      </c>
      <c r="DD652" s="1486"/>
      <c r="DE652" s="1486"/>
      <c r="DF652" s="1486"/>
      <c r="DG652" s="1487"/>
      <c r="DH652" s="1485">
        <f t="shared" si="40"/>
        <v>0</v>
      </c>
      <c r="DI652" s="1486"/>
      <c r="DJ652" s="1486"/>
      <c r="DK652" s="1486"/>
      <c r="DL652" s="1487"/>
      <c r="DM652" s="1485">
        <f t="shared" si="41"/>
        <v>0</v>
      </c>
      <c r="DN652" s="1486"/>
      <c r="DO652" s="1486"/>
      <c r="DP652" s="1486"/>
      <c r="DQ652" s="1487"/>
      <c r="DR652" s="1485">
        <f t="shared" si="42"/>
        <v>0</v>
      </c>
      <c r="DS652" s="1486"/>
      <c r="DT652" s="1486"/>
      <c r="DU652" s="1486"/>
      <c r="DV652" s="1487"/>
      <c r="DX652" s="1484" t="e">
        <f t="shared" si="30"/>
        <v>#VALUE!</v>
      </c>
      <c r="DY652" s="1484"/>
      <c r="DZ652" s="1484"/>
      <c r="EA652" s="1484"/>
      <c r="EB652" s="1484"/>
      <c r="EC652" s="1484" t="e">
        <f t="shared" si="25"/>
        <v>#VALUE!</v>
      </c>
      <c r="ED652" s="1484"/>
      <c r="EE652" s="1484"/>
      <c r="EF652" s="1484"/>
      <c r="EG652" s="1484"/>
      <c r="EH652" s="1484" t="e">
        <f t="shared" si="26"/>
        <v>#VALUE!</v>
      </c>
      <c r="EI652" s="1484"/>
      <c r="EJ652" s="1484"/>
      <c r="EK652" s="1484"/>
      <c r="EL652" s="1484"/>
      <c r="EM652" s="1484">
        <f t="shared" si="27"/>
        <v>633.54838709677415</v>
      </c>
      <c r="EN652" s="1484"/>
      <c r="EO652" s="1484"/>
      <c r="EP652" s="1484"/>
      <c r="EQ652" s="1484"/>
      <c r="ER652" s="1484" t="e">
        <f t="shared" si="28"/>
        <v>#VALUE!</v>
      </c>
      <c r="ES652" s="1484"/>
      <c r="ET652" s="1484"/>
      <c r="EU652" s="1484"/>
      <c r="EV652" s="1484"/>
      <c r="EW652" s="1484" t="e">
        <f t="shared" si="29"/>
        <v>#VALUE!</v>
      </c>
      <c r="EX652" s="1484"/>
      <c r="EY652" s="1484"/>
      <c r="EZ652" s="1484"/>
      <c r="FA652" s="1484"/>
    </row>
    <row r="653" spans="1:157" ht="12.95" customHeight="1">
      <c r="A653" s="22"/>
      <c r="B653" t="s">
        <v>587</v>
      </c>
      <c r="G653" s="1371" t="s">
        <v>2727</v>
      </c>
      <c r="H653" s="1371"/>
      <c r="I653" s="1371"/>
      <c r="J653" s="1371"/>
      <c r="K653" s="1371"/>
      <c r="L653" s="1371"/>
      <c r="M653" s="1371"/>
      <c r="N653" s="1371"/>
      <c r="O653" s="1371"/>
      <c r="P653" s="1371"/>
      <c r="Q653" s="1371"/>
      <c r="R653" s="1371"/>
      <c r="T653" s="22"/>
      <c r="U653" t="s">
        <v>587</v>
      </c>
      <c r="Z653" s="1371" t="s">
        <v>2727</v>
      </c>
      <c r="AA653" s="1371"/>
      <c r="AB653" s="1371"/>
      <c r="AC653" s="1371"/>
      <c r="AD653" s="1371"/>
      <c r="AE653" s="1371"/>
      <c r="AF653" s="1371"/>
      <c r="AG653" s="1371"/>
      <c r="AH653" s="1371"/>
      <c r="AI653" s="1371"/>
      <c r="AJ653" s="1371"/>
      <c r="AK653" s="1371"/>
      <c r="AZ653" s="34"/>
      <c r="BA653" s="34"/>
      <c r="BB653" s="34"/>
      <c r="BC653" s="34"/>
      <c r="BD653" s="34"/>
      <c r="BE653" s="34"/>
      <c r="BF653" s="34"/>
      <c r="BG653" s="34"/>
      <c r="BH653" s="34"/>
      <c r="BI653" s="34"/>
      <c r="BJ653" s="34"/>
      <c r="BK653" s="34"/>
      <c r="BL653" s="34"/>
      <c r="BM653" s="34"/>
      <c r="BN653" s="1485">
        <f t="shared" si="31"/>
        <v>0</v>
      </c>
      <c r="BO653" s="1486"/>
      <c r="BP653" s="1486"/>
      <c r="BQ653" s="1486"/>
      <c r="BR653" s="1487"/>
      <c r="BS653" s="1488">
        <f t="shared" si="32"/>
        <v>0</v>
      </c>
      <c r="BT653" s="1488"/>
      <c r="BU653" s="1488"/>
      <c r="BV653" s="1488"/>
      <c r="BW653" s="1488"/>
      <c r="BX653" s="1488">
        <f t="shared" si="33"/>
        <v>0</v>
      </c>
      <c r="BY653" s="1488"/>
      <c r="BZ653" s="1488"/>
      <c r="CA653" s="1488"/>
      <c r="CB653" s="1488"/>
      <c r="CC653" s="1488">
        <f t="shared" si="34"/>
        <v>0</v>
      </c>
      <c r="CD653" s="1488"/>
      <c r="CE653" s="1488"/>
      <c r="CF653" s="1488"/>
      <c r="CG653" s="1488"/>
      <c r="CH653" s="1488">
        <f t="shared" si="35"/>
        <v>0</v>
      </c>
      <c r="CI653" s="1488"/>
      <c r="CJ653" s="1488"/>
      <c r="CK653" s="1488"/>
      <c r="CL653" s="1488"/>
      <c r="CM653" s="1488">
        <f t="shared" si="36"/>
        <v>0</v>
      </c>
      <c r="CN653" s="1488"/>
      <c r="CO653" s="1488"/>
      <c r="CP653" s="1488"/>
      <c r="CQ653" s="1488"/>
      <c r="CR653" s="6"/>
      <c r="CS653" s="1485">
        <f t="shared" si="37"/>
        <v>0</v>
      </c>
      <c r="CT653" s="1486"/>
      <c r="CU653" s="1486"/>
      <c r="CV653" s="1486"/>
      <c r="CW653" s="1487"/>
      <c r="CX653" s="1485">
        <f t="shared" si="38"/>
        <v>0</v>
      </c>
      <c r="CY653" s="1486"/>
      <c r="CZ653" s="1486"/>
      <c r="DA653" s="1486"/>
      <c r="DB653" s="1487"/>
      <c r="DC653" s="1485">
        <f t="shared" si="39"/>
        <v>0</v>
      </c>
      <c r="DD653" s="1486"/>
      <c r="DE653" s="1486"/>
      <c r="DF653" s="1486"/>
      <c r="DG653" s="1487"/>
      <c r="DH653" s="1485">
        <f t="shared" si="40"/>
        <v>0</v>
      </c>
      <c r="DI653" s="1486"/>
      <c r="DJ653" s="1486"/>
      <c r="DK653" s="1486"/>
      <c r="DL653" s="1487"/>
      <c r="DM653" s="1485">
        <f t="shared" si="41"/>
        <v>0</v>
      </c>
      <c r="DN653" s="1486"/>
      <c r="DO653" s="1486"/>
      <c r="DP653" s="1486"/>
      <c r="DQ653" s="1487"/>
      <c r="DR653" s="1485">
        <f t="shared" si="42"/>
        <v>0</v>
      </c>
      <c r="DS653" s="1486"/>
      <c r="DT653" s="1486"/>
      <c r="DU653" s="1486"/>
      <c r="DV653" s="1487"/>
      <c r="DX653" s="1484" t="e">
        <f t="shared" si="30"/>
        <v>#VALUE!</v>
      </c>
      <c r="DY653" s="1484"/>
      <c r="DZ653" s="1484"/>
      <c r="EA653" s="1484"/>
      <c r="EB653" s="1484"/>
      <c r="EC653" s="1484" t="e">
        <f t="shared" si="25"/>
        <v>#VALUE!</v>
      </c>
      <c r="ED653" s="1484"/>
      <c r="EE653" s="1484"/>
      <c r="EF653" s="1484"/>
      <c r="EG653" s="1484"/>
      <c r="EH653" s="1484" t="e">
        <f t="shared" si="26"/>
        <v>#VALUE!</v>
      </c>
      <c r="EI653" s="1484"/>
      <c r="EJ653" s="1484"/>
      <c r="EK653" s="1484"/>
      <c r="EL653" s="1484"/>
      <c r="EM653" s="1484">
        <f t="shared" si="27"/>
        <v>925.93548387096769</v>
      </c>
      <c r="EN653" s="1484"/>
      <c r="EO653" s="1484"/>
      <c r="EP653" s="1484"/>
      <c r="EQ653" s="1484"/>
      <c r="ER653" s="1484" t="e">
        <f t="shared" si="28"/>
        <v>#VALUE!</v>
      </c>
      <c r="ES653" s="1484"/>
      <c r="ET653" s="1484"/>
      <c r="EU653" s="1484"/>
      <c r="EV653" s="1484"/>
      <c r="EW653" s="1484" t="e">
        <f t="shared" si="29"/>
        <v>#VALUE!</v>
      </c>
      <c r="EX653" s="1484"/>
      <c r="EY653" s="1484"/>
      <c r="EZ653" s="1484"/>
      <c r="FA653" s="1484"/>
    </row>
    <row r="654" spans="1:157" ht="12.95" customHeight="1">
      <c r="A654" s="22"/>
      <c r="B654" t="s">
        <v>17</v>
      </c>
      <c r="G654" s="1371" t="s">
        <v>2728</v>
      </c>
      <c r="H654" s="1371"/>
      <c r="I654" s="1371"/>
      <c r="J654" s="1371"/>
      <c r="K654" s="1371"/>
      <c r="L654" s="1371"/>
      <c r="M654" s="1371"/>
      <c r="N654" s="1371"/>
      <c r="O654" s="1371"/>
      <c r="P654" s="1371"/>
      <c r="Q654" s="1371"/>
      <c r="R654" s="1371"/>
      <c r="T654" s="22"/>
      <c r="U654" t="s">
        <v>17</v>
      </c>
      <c r="Z654" s="1371" t="s">
        <v>2728</v>
      </c>
      <c r="AA654" s="1371"/>
      <c r="AB654" s="1371"/>
      <c r="AC654" s="1371"/>
      <c r="AD654" s="1371"/>
      <c r="AE654" s="1371"/>
      <c r="AF654" s="1371"/>
      <c r="AG654" s="1371"/>
      <c r="AH654" s="1371"/>
      <c r="AI654" s="1371"/>
      <c r="AJ654" s="1371"/>
      <c r="AK654" s="1371"/>
      <c r="AZ654" s="34"/>
      <c r="BA654" s="34"/>
      <c r="BB654" s="34"/>
      <c r="BC654" s="34"/>
      <c r="BD654" s="34"/>
      <c r="BE654" s="34"/>
      <c r="BF654" s="34"/>
      <c r="BG654" s="34"/>
      <c r="BH654" s="34"/>
      <c r="BI654" s="34"/>
      <c r="BJ654" s="34"/>
      <c r="BK654" s="34"/>
      <c r="BL654" s="34"/>
      <c r="BM654" s="34"/>
      <c r="BN654" s="1485">
        <f t="shared" si="31"/>
        <v>0</v>
      </c>
      <c r="BO654" s="1486"/>
      <c r="BP654" s="1486"/>
      <c r="BQ654" s="1486"/>
      <c r="BR654" s="1487"/>
      <c r="BS654" s="1488">
        <f t="shared" si="32"/>
        <v>0</v>
      </c>
      <c r="BT654" s="1488"/>
      <c r="BU654" s="1488"/>
      <c r="BV654" s="1488"/>
      <c r="BW654" s="1488"/>
      <c r="BX654" s="1488">
        <f t="shared" si="33"/>
        <v>0</v>
      </c>
      <c r="BY654" s="1488"/>
      <c r="BZ654" s="1488"/>
      <c r="CA654" s="1488"/>
      <c r="CB654" s="1488"/>
      <c r="CC654" s="1488">
        <f t="shared" si="34"/>
        <v>0</v>
      </c>
      <c r="CD654" s="1488"/>
      <c r="CE654" s="1488"/>
      <c r="CF654" s="1488"/>
      <c r="CG654" s="1488"/>
      <c r="CH654" s="1488">
        <f t="shared" si="35"/>
        <v>0</v>
      </c>
      <c r="CI654" s="1488"/>
      <c r="CJ654" s="1488"/>
      <c r="CK654" s="1488"/>
      <c r="CL654" s="1488"/>
      <c r="CM654" s="1488">
        <f t="shared" si="36"/>
        <v>0</v>
      </c>
      <c r="CN654" s="1488"/>
      <c r="CO654" s="1488"/>
      <c r="CP654" s="1488"/>
      <c r="CQ654" s="1488"/>
      <c r="CR654" s="6"/>
      <c r="CS654" s="1485">
        <f t="shared" si="37"/>
        <v>0</v>
      </c>
      <c r="CT654" s="1486"/>
      <c r="CU654" s="1486"/>
      <c r="CV654" s="1486"/>
      <c r="CW654" s="1487"/>
      <c r="CX654" s="1485">
        <f t="shared" si="38"/>
        <v>0</v>
      </c>
      <c r="CY654" s="1486"/>
      <c r="CZ654" s="1486"/>
      <c r="DA654" s="1486"/>
      <c r="DB654" s="1487"/>
      <c r="DC654" s="1485">
        <f t="shared" si="39"/>
        <v>0</v>
      </c>
      <c r="DD654" s="1486"/>
      <c r="DE654" s="1486"/>
      <c r="DF654" s="1486"/>
      <c r="DG654" s="1487"/>
      <c r="DH654" s="1485">
        <f t="shared" si="40"/>
        <v>0</v>
      </c>
      <c r="DI654" s="1486"/>
      <c r="DJ654" s="1486"/>
      <c r="DK654" s="1486"/>
      <c r="DL654" s="1487"/>
      <c r="DM654" s="1485">
        <f t="shared" si="41"/>
        <v>0</v>
      </c>
      <c r="DN654" s="1486"/>
      <c r="DO654" s="1486"/>
      <c r="DP654" s="1486"/>
      <c r="DQ654" s="1487"/>
      <c r="DR654" s="1485">
        <f t="shared" si="42"/>
        <v>0</v>
      </c>
      <c r="DS654" s="1486"/>
      <c r="DT654" s="1486"/>
      <c r="DU654" s="1486"/>
      <c r="DV654" s="1487"/>
      <c r="DX654" s="1484" t="e">
        <f t="shared" si="30"/>
        <v>#VALUE!</v>
      </c>
      <c r="DY654" s="1484"/>
      <c r="DZ654" s="1484"/>
      <c r="EA654" s="1484"/>
      <c r="EB654" s="1484"/>
      <c r="EC654" s="1484" t="e">
        <f t="shared" si="25"/>
        <v>#VALUE!</v>
      </c>
      <c r="ED654" s="1484"/>
      <c r="EE654" s="1484"/>
      <c r="EF654" s="1484"/>
      <c r="EG654" s="1484"/>
      <c r="EH654" s="1484" t="e">
        <f t="shared" si="26"/>
        <v>#VALUE!</v>
      </c>
      <c r="EI654" s="1484"/>
      <c r="EJ654" s="1484"/>
      <c r="EK654" s="1484"/>
      <c r="EL654" s="1484"/>
      <c r="EM654" s="1484" t="e">
        <f t="shared" si="27"/>
        <v>#VALUE!</v>
      </c>
      <c r="EN654" s="1484"/>
      <c r="EO654" s="1484"/>
      <c r="EP654" s="1484"/>
      <c r="EQ654" s="1484"/>
      <c r="ER654" s="1484" t="e">
        <f t="shared" si="28"/>
        <v>#VALUE!</v>
      </c>
      <c r="ES654" s="1484"/>
      <c r="ET654" s="1484"/>
      <c r="EU654" s="1484"/>
      <c r="EV654" s="1484"/>
      <c r="EW654" s="1484" t="e">
        <f t="shared" si="29"/>
        <v>#VALUE!</v>
      </c>
      <c r="EX654" s="1484"/>
      <c r="EY654" s="1484"/>
      <c r="EZ654" s="1484"/>
      <c r="FA654" s="1484"/>
    </row>
    <row r="655" spans="1:157" ht="12.95" customHeight="1">
      <c r="A655" s="22"/>
      <c r="B655" t="s">
        <v>316</v>
      </c>
      <c r="G655" s="1460" t="s">
        <v>2693</v>
      </c>
      <c r="H655" s="1460"/>
      <c r="I655" s="1460"/>
      <c r="J655" s="1460"/>
      <c r="K655" s="1460"/>
      <c r="L655" s="1460"/>
      <c r="O655" s="33" t="s">
        <v>206</v>
      </c>
      <c r="P655" s="1455"/>
      <c r="Q655" s="1455"/>
      <c r="R655" s="1455"/>
      <c r="T655" s="22"/>
      <c r="U655" t="s">
        <v>316</v>
      </c>
      <c r="Z655" s="1460" t="s">
        <v>2693</v>
      </c>
      <c r="AA655" s="1460"/>
      <c r="AB655" s="1460"/>
      <c r="AC655" s="1460"/>
      <c r="AD655" s="1460"/>
      <c r="AE655" s="1460"/>
      <c r="AH655" s="33" t="s">
        <v>206</v>
      </c>
      <c r="AI655" s="1455"/>
      <c r="AJ655" s="1455"/>
      <c r="AK655" s="1455"/>
      <c r="AZ655" s="34"/>
      <c r="BA655" s="34"/>
      <c r="BB655" s="34"/>
      <c r="BC655" s="34"/>
      <c r="BD655" s="34"/>
      <c r="BE655" s="34"/>
      <c r="BF655" s="34"/>
      <c r="BG655" s="34"/>
      <c r="BH655" s="34"/>
      <c r="BI655" s="34"/>
      <c r="BJ655" s="34"/>
      <c r="BK655" s="34"/>
      <c r="BL655" s="34"/>
      <c r="BM655" s="34"/>
      <c r="BN655" s="1489">
        <f>SUM(BN645:BR654)</f>
        <v>0</v>
      </c>
      <c r="BO655" s="1490"/>
      <c r="BP655" s="1490"/>
      <c r="BQ655" s="1490"/>
      <c r="BR655" s="1491"/>
      <c r="BS655" s="1492">
        <f>SUM(BS645:BW654)</f>
        <v>0</v>
      </c>
      <c r="BT655" s="1493"/>
      <c r="BU655" s="1493"/>
      <c r="BV655" s="1493"/>
      <c r="BW655" s="1494"/>
      <c r="BX655" s="1492">
        <f>SUM(BX645:CB654)</f>
        <v>0</v>
      </c>
      <c r="BY655" s="1493"/>
      <c r="BZ655" s="1493"/>
      <c r="CA655" s="1493"/>
      <c r="CB655" s="1494"/>
      <c r="CC655" s="1492">
        <f>SUM(CC645:CG654)</f>
        <v>0</v>
      </c>
      <c r="CD655" s="1493"/>
      <c r="CE655" s="1493"/>
      <c r="CF655" s="1493"/>
      <c r="CG655" s="1494"/>
      <c r="CH655" s="1492">
        <f>SUM(CH645:CL654)</f>
        <v>0</v>
      </c>
      <c r="CI655" s="1493"/>
      <c r="CJ655" s="1493"/>
      <c r="CK655" s="1493"/>
      <c r="CL655" s="1494"/>
      <c r="CM655" s="1492">
        <f>SUM(CM645:CQ654)</f>
        <v>0</v>
      </c>
      <c r="CN655" s="1493"/>
      <c r="CO655" s="1493"/>
      <c r="CP655" s="1493"/>
      <c r="CQ655" s="1494"/>
      <c r="CR655" s="1047"/>
      <c r="CS655" s="1495">
        <f>SUM(CS645:CW654)</f>
        <v>0</v>
      </c>
      <c r="CT655" s="1495"/>
      <c r="CU655" s="1495"/>
      <c r="CV655" s="1495"/>
      <c r="CW655" s="1495"/>
      <c r="CX655" s="1495">
        <f>SUM(CX645:DB654)</f>
        <v>0</v>
      </c>
      <c r="CY655" s="1495"/>
      <c r="CZ655" s="1495"/>
      <c r="DA655" s="1495"/>
      <c r="DB655" s="1495"/>
      <c r="DC655" s="1495">
        <f>SUM(DC645:DG654)</f>
        <v>0</v>
      </c>
      <c r="DD655" s="1495"/>
      <c r="DE655" s="1495"/>
      <c r="DF655" s="1495"/>
      <c r="DG655" s="1495"/>
      <c r="DH655" s="1495">
        <f>SUM(DH645:DL654)</f>
        <v>0</v>
      </c>
      <c r="DI655" s="1495"/>
      <c r="DJ655" s="1495"/>
      <c r="DK655" s="1495"/>
      <c r="DL655" s="1495"/>
      <c r="DM655" s="1495">
        <f>SUM(DM645:DQ654)</f>
        <v>0</v>
      </c>
      <c r="DN655" s="1495"/>
      <c r="DO655" s="1495"/>
      <c r="DP655" s="1495"/>
      <c r="DQ655" s="1495"/>
      <c r="DR655" s="1495">
        <f>SUM(DR645:DV654)</f>
        <v>0</v>
      </c>
      <c r="DS655" s="1495"/>
      <c r="DT655" s="1495"/>
      <c r="DU655" s="1495"/>
      <c r="DV655" s="1495"/>
      <c r="DX655" s="1484" t="e">
        <f t="shared" si="30"/>
        <v>#VALUE!</v>
      </c>
      <c r="DY655" s="1484"/>
      <c r="DZ655" s="1484"/>
      <c r="EA655" s="1484"/>
      <c r="EB655" s="1484"/>
      <c r="EC655" s="1484" t="e">
        <f t="shared" si="25"/>
        <v>#VALUE!</v>
      </c>
      <c r="ED655" s="1484"/>
      <c r="EE655" s="1484"/>
      <c r="EF655" s="1484"/>
      <c r="EG655" s="1484"/>
      <c r="EH655" s="1484" t="e">
        <f t="shared" si="26"/>
        <v>#VALUE!</v>
      </c>
      <c r="EI655" s="1484"/>
      <c r="EJ655" s="1484"/>
      <c r="EK655" s="1484"/>
      <c r="EL655" s="1484"/>
      <c r="EM655" s="1484" t="e">
        <f t="shared" si="27"/>
        <v>#VALUE!</v>
      </c>
      <c r="EN655" s="1484"/>
      <c r="EO655" s="1484"/>
      <c r="EP655" s="1484"/>
      <c r="EQ655" s="1484"/>
      <c r="ER655" s="1484" t="e">
        <f t="shared" si="28"/>
        <v>#VALUE!</v>
      </c>
      <c r="ES655" s="1484"/>
      <c r="ET655" s="1484"/>
      <c r="EU655" s="1484"/>
      <c r="EV655" s="1484"/>
      <c r="EW655" s="1484" t="e">
        <f t="shared" si="29"/>
        <v>#VALUE!</v>
      </c>
      <c r="EX655" s="1484"/>
      <c r="EY655" s="1484"/>
      <c r="EZ655" s="1484"/>
      <c r="FA655" s="1484"/>
    </row>
    <row r="656" spans="1:157" ht="12.95" customHeight="1">
      <c r="A656" s="22"/>
      <c r="B656" t="s">
        <v>18</v>
      </c>
      <c r="H656" s="1357" t="s">
        <v>2739</v>
      </c>
      <c r="I656" s="1357"/>
      <c r="J656" s="1357"/>
      <c r="K656" s="1357"/>
      <c r="L656" s="1357"/>
      <c r="M656" s="1357"/>
      <c r="N656" s="1357"/>
      <c r="O656" s="1357"/>
      <c r="P656" s="1357"/>
      <c r="Q656" s="1357"/>
      <c r="R656" s="1357"/>
      <c r="T656" s="22"/>
      <c r="U656" t="s">
        <v>18</v>
      </c>
      <c r="AA656" s="1357" t="s">
        <v>2739</v>
      </c>
      <c r="AB656" s="1357"/>
      <c r="AC656" s="1357"/>
      <c r="AD656" s="1357"/>
      <c r="AE656" s="1357"/>
      <c r="AF656" s="1357"/>
      <c r="AG656" s="1357"/>
      <c r="AH656" s="1357"/>
      <c r="AI656" s="1357"/>
      <c r="AJ656" s="1357"/>
      <c r="AK656" s="1357"/>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484" t="e">
        <f t="shared" si="30"/>
        <v>#VALUE!</v>
      </c>
      <c r="DY656" s="1484"/>
      <c r="DZ656" s="1484"/>
      <c r="EA656" s="1484"/>
      <c r="EB656" s="1484"/>
      <c r="EC656" s="1484" t="e">
        <f t="shared" si="25"/>
        <v>#VALUE!</v>
      </c>
      <c r="ED656" s="1484"/>
      <c r="EE656" s="1484"/>
      <c r="EF656" s="1484"/>
      <c r="EG656" s="1484"/>
      <c r="EH656" s="1484" t="e">
        <f t="shared" si="26"/>
        <v>#VALUE!</v>
      </c>
      <c r="EI656" s="1484"/>
      <c r="EJ656" s="1484"/>
      <c r="EK656" s="1484"/>
      <c r="EL656" s="1484"/>
      <c r="EM656" s="1484" t="e">
        <f t="shared" si="27"/>
        <v>#VALUE!</v>
      </c>
      <c r="EN656" s="1484"/>
      <c r="EO656" s="1484"/>
      <c r="EP656" s="1484"/>
      <c r="EQ656" s="1484"/>
      <c r="ER656" s="1484" t="e">
        <f t="shared" si="28"/>
        <v>#VALUE!</v>
      </c>
      <c r="ES656" s="1484"/>
      <c r="ET656" s="1484"/>
      <c r="EU656" s="1484"/>
      <c r="EV656" s="1484"/>
      <c r="EW656" s="1484" t="e">
        <f t="shared" si="29"/>
        <v>#VALUE!</v>
      </c>
      <c r="EX656" s="1484"/>
      <c r="EY656" s="1484"/>
      <c r="EZ656" s="1484"/>
      <c r="FA656" s="1484"/>
    </row>
    <row r="657" spans="1:157" ht="12.95" customHeight="1">
      <c r="A657" s="22"/>
      <c r="B657" t="s">
        <v>20</v>
      </c>
      <c r="N657" s="1358" t="s">
        <v>552</v>
      </c>
      <c r="O657" s="1358"/>
      <c r="T657" s="22"/>
      <c r="U657" t="s">
        <v>20</v>
      </c>
      <c r="AG657" s="1358" t="s">
        <v>552</v>
      </c>
      <c r="AH657" s="1358"/>
      <c r="AZ657" s="34"/>
      <c r="BA657" s="34"/>
      <c r="BB657" s="34"/>
      <c r="BC657" s="34"/>
      <c r="BD657" s="34"/>
      <c r="BE657" s="34"/>
      <c r="BF657" s="34"/>
      <c r="BG657" s="34"/>
      <c r="BH657" s="34"/>
      <c r="BI657" s="34"/>
      <c r="BJ657" s="34"/>
      <c r="BK657" s="34"/>
      <c r="BL657" s="34"/>
      <c r="BM657" s="34"/>
      <c r="CR657" s="3"/>
      <c r="CS657" s="895">
        <f>BN655+BS655+BX655+CC655+CH655+CM655</f>
        <v>0</v>
      </c>
      <c r="CT657" s="57" t="s">
        <v>2048</v>
      </c>
      <c r="CU657" s="3"/>
      <c r="CV657" s="3"/>
      <c r="CW657" s="3"/>
      <c r="CX657" s="3"/>
      <c r="CY657" s="3"/>
      <c r="CZ657" s="3"/>
      <c r="DA657" s="3"/>
      <c r="DB657" s="3"/>
      <c r="DC657" s="3"/>
      <c r="DD657" s="3"/>
      <c r="DE657" s="3"/>
      <c r="DF657" s="3"/>
      <c r="DQ657" s="56" t="s">
        <v>2057</v>
      </c>
      <c r="DR657" s="1484">
        <f>SUM(CS655:DV655)</f>
        <v>0</v>
      </c>
      <c r="DS657" s="1484"/>
      <c r="DT657" s="1484"/>
      <c r="DU657" s="1484"/>
      <c r="DV657" s="1484"/>
      <c r="DX657" s="1484" t="e">
        <f t="shared" si="30"/>
        <v>#VALUE!</v>
      </c>
      <c r="DY657" s="1484"/>
      <c r="DZ657" s="1484"/>
      <c r="EA657" s="1484"/>
      <c r="EB657" s="1484"/>
      <c r="EC657" s="1484" t="e">
        <f t="shared" si="25"/>
        <v>#VALUE!</v>
      </c>
      <c r="ED657" s="1484"/>
      <c r="EE657" s="1484"/>
      <c r="EF657" s="1484"/>
      <c r="EG657" s="1484"/>
      <c r="EH657" s="1484" t="e">
        <f t="shared" si="26"/>
        <v>#VALUE!</v>
      </c>
      <c r="EI657" s="1484"/>
      <c r="EJ657" s="1484"/>
      <c r="EK657" s="1484"/>
      <c r="EL657" s="1484"/>
      <c r="EM657" s="1484" t="e">
        <f t="shared" si="27"/>
        <v>#VALUE!</v>
      </c>
      <c r="EN657" s="1484"/>
      <c r="EO657" s="1484"/>
      <c r="EP657" s="1484"/>
      <c r="EQ657" s="1484"/>
      <c r="ER657" s="1484" t="e">
        <f t="shared" si="28"/>
        <v>#VALUE!</v>
      </c>
      <c r="ES657" s="1484"/>
      <c r="ET657" s="1484"/>
      <c r="EU657" s="1484"/>
      <c r="EV657" s="1484"/>
      <c r="EW657" s="1484" t="e">
        <f t="shared" si="29"/>
        <v>#VALUE!</v>
      </c>
      <c r="EX657" s="1484"/>
      <c r="EY657" s="1484"/>
      <c r="EZ657" s="1484"/>
      <c r="FA657" s="1484"/>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1741</v>
      </c>
      <c r="CU658" s="3"/>
      <c r="CV658" s="3"/>
      <c r="CW658" s="3"/>
      <c r="CX658" s="3"/>
      <c r="CY658" s="3"/>
      <c r="CZ658" s="3"/>
      <c r="DA658" s="3"/>
      <c r="DB658" s="3"/>
      <c r="DC658" s="3"/>
      <c r="DD658" s="3"/>
      <c r="DE658" s="3"/>
      <c r="DF658" s="3"/>
      <c r="DX658" s="1484" t="e">
        <f t="shared" ref="DX658:DX667" si="43">DX620*(BN620/$BN$632)</f>
        <v>#VALUE!</v>
      </c>
      <c r="DY658" s="1484"/>
      <c r="DZ658" s="1484"/>
      <c r="EA658" s="1484"/>
      <c r="EB658" s="1484"/>
      <c r="EC658" s="1484" t="e">
        <f t="shared" ref="EC658:EC667" si="44">EC620*(BS620/$BS$632)</f>
        <v>#VALUE!</v>
      </c>
      <c r="ED658" s="1484"/>
      <c r="EE658" s="1484"/>
      <c r="EF658" s="1484"/>
      <c r="EG658" s="1484"/>
      <c r="EH658" s="1484" t="e">
        <f t="shared" ref="EH658:EH667" si="45">EH620*(BX620/$BX$632)</f>
        <v>#VALUE!</v>
      </c>
      <c r="EI658" s="1484"/>
      <c r="EJ658" s="1484"/>
      <c r="EK658" s="1484"/>
      <c r="EL658" s="1484"/>
      <c r="EM658" s="1484" t="e">
        <f t="shared" ref="EM658:EM667" si="46">EM620*(CC620/$CC$632)</f>
        <v>#VALUE!</v>
      </c>
      <c r="EN658" s="1484"/>
      <c r="EO658" s="1484"/>
      <c r="EP658" s="1484"/>
      <c r="EQ658" s="1484"/>
      <c r="ER658" s="1484" t="e">
        <f t="shared" ref="ER658:ER667" si="47">ER620*(CH620/$CH$632)</f>
        <v>#VALUE!</v>
      </c>
      <c r="ES658" s="1484"/>
      <c r="ET658" s="1484"/>
      <c r="EU658" s="1484"/>
      <c r="EV658" s="1484"/>
      <c r="EW658" s="1484" t="e">
        <f t="shared" ref="EW658:EW667" si="48">EW620*(CM620/$CM$632)</f>
        <v>#VALUE!</v>
      </c>
      <c r="EX658" s="1484"/>
      <c r="EY658" s="1484"/>
      <c r="EZ658" s="1484"/>
      <c r="FA658" s="1484"/>
    </row>
    <row r="659" spans="1:157" ht="12.95" customHeight="1">
      <c r="A659" s="55" t="s">
        <v>771</v>
      </c>
      <c r="B659" t="s">
        <v>470</v>
      </c>
      <c r="G659" s="1355" t="str">
        <f>C631</f>
        <v>GP Loan - CCCE Grant</v>
      </c>
      <c r="H659" s="1355"/>
      <c r="I659" s="1355"/>
      <c r="J659" s="1355"/>
      <c r="K659" s="1355"/>
      <c r="L659" s="1355"/>
      <c r="M659" s="1355"/>
      <c r="N659" s="1355"/>
      <c r="O659" s="1355"/>
      <c r="P659" s="1355"/>
      <c r="Q659" s="1355"/>
      <c r="R659" s="1355"/>
      <c r="T659" s="55" t="s">
        <v>591</v>
      </c>
      <c r="U659" t="s">
        <v>470</v>
      </c>
      <c r="Z659" s="1355" t="str">
        <f>C632</f>
        <v>Deferred Developer Fee</v>
      </c>
      <c r="AA659" s="1355"/>
      <c r="AB659" s="1355"/>
      <c r="AC659" s="1355"/>
      <c r="AD659" s="1355"/>
      <c r="AE659" s="1355"/>
      <c r="AF659" s="1355"/>
      <c r="AG659" s="1355"/>
      <c r="AH659" s="1355"/>
      <c r="AI659" s="1355"/>
      <c r="AJ659" s="1355"/>
      <c r="AK659" s="1355"/>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484" t="e">
        <f t="shared" si="43"/>
        <v>#VALUE!</v>
      </c>
      <c r="DY659" s="1484"/>
      <c r="DZ659" s="1484"/>
      <c r="EA659" s="1484"/>
      <c r="EB659" s="1484"/>
      <c r="EC659" s="1484" t="e">
        <f t="shared" si="44"/>
        <v>#VALUE!</v>
      </c>
      <c r="ED659" s="1484"/>
      <c r="EE659" s="1484"/>
      <c r="EF659" s="1484"/>
      <c r="EG659" s="1484"/>
      <c r="EH659" s="1484" t="e">
        <f t="shared" si="45"/>
        <v>#VALUE!</v>
      </c>
      <c r="EI659" s="1484"/>
      <c r="EJ659" s="1484"/>
      <c r="EK659" s="1484"/>
      <c r="EL659" s="1484"/>
      <c r="EM659" s="1484" t="e">
        <f t="shared" si="46"/>
        <v>#VALUE!</v>
      </c>
      <c r="EN659" s="1484"/>
      <c r="EO659" s="1484"/>
      <c r="EP659" s="1484"/>
      <c r="EQ659" s="1484"/>
      <c r="ER659" s="1484" t="e">
        <f t="shared" si="47"/>
        <v>#VALUE!</v>
      </c>
      <c r="ES659" s="1484"/>
      <c r="ET659" s="1484"/>
      <c r="EU659" s="1484"/>
      <c r="EV659" s="1484"/>
      <c r="EW659" s="1484" t="e">
        <f t="shared" si="48"/>
        <v>#VALUE!</v>
      </c>
      <c r="EX659" s="1484"/>
      <c r="EY659" s="1484"/>
      <c r="EZ659" s="1484"/>
      <c r="FA659" s="1484"/>
    </row>
    <row r="660" spans="1:157" ht="12.95" customHeight="1">
      <c r="A660" s="22"/>
      <c r="B660" t="s">
        <v>85</v>
      </c>
      <c r="G660" s="1357" t="s">
        <v>2639</v>
      </c>
      <c r="H660" s="1357"/>
      <c r="I660" s="1357"/>
      <c r="J660" s="1357"/>
      <c r="K660" s="1357"/>
      <c r="L660" s="1357"/>
      <c r="M660" s="1357"/>
      <c r="N660" s="1357"/>
      <c r="O660" s="1357"/>
      <c r="P660" s="1357"/>
      <c r="Q660" s="1357"/>
      <c r="R660" s="1357"/>
      <c r="T660" s="22"/>
      <c r="U660" t="s">
        <v>85</v>
      </c>
      <c r="Z660" s="1357" t="s">
        <v>2639</v>
      </c>
      <c r="AA660" s="1357"/>
      <c r="AB660" s="1357"/>
      <c r="AC660" s="1357"/>
      <c r="AD660" s="1357"/>
      <c r="AE660" s="1357"/>
      <c r="AF660" s="1357"/>
      <c r="AG660" s="1357"/>
      <c r="AH660" s="1357"/>
      <c r="AI660" s="1357"/>
      <c r="AJ660" s="1357"/>
      <c r="AK660" s="1357"/>
      <c r="AZ660" s="34"/>
      <c r="BA660" s="34"/>
      <c r="BB660" s="34"/>
      <c r="BC660" s="34"/>
      <c r="BD660" s="34"/>
      <c r="BE660" s="34"/>
      <c r="BF660" s="34"/>
      <c r="BG660" s="34"/>
      <c r="BH660" s="34"/>
      <c r="BI660" s="34"/>
      <c r="BJ660" s="34"/>
      <c r="BK660" s="34"/>
      <c r="BL660" s="34"/>
      <c r="BM660" s="34"/>
      <c r="BN660" s="1492">
        <f>BN632+BN641+BN655</f>
        <v>11</v>
      </c>
      <c r="BO660" s="1493"/>
      <c r="BP660" s="1493"/>
      <c r="BQ660" s="1493"/>
      <c r="BR660" s="1494"/>
      <c r="BS660" s="1492">
        <f>BS632+BS641+BS655</f>
        <v>50</v>
      </c>
      <c r="BT660" s="1493"/>
      <c r="BU660" s="1493"/>
      <c r="BV660" s="1493"/>
      <c r="BW660" s="1494"/>
      <c r="BX660" s="1492">
        <f>BX632+BX641+BX655</f>
        <v>32</v>
      </c>
      <c r="BY660" s="1493"/>
      <c r="BZ660" s="1493"/>
      <c r="CA660" s="1493"/>
      <c r="CB660" s="1494"/>
      <c r="CC660" s="1492">
        <f>CC632+CC641+CC655</f>
        <v>31</v>
      </c>
      <c r="CD660" s="1493"/>
      <c r="CE660" s="1493"/>
      <c r="CF660" s="1493"/>
      <c r="CG660" s="1494"/>
      <c r="CH660" s="1492">
        <f>CH632+CH641+CH655</f>
        <v>0</v>
      </c>
      <c r="CI660" s="1493"/>
      <c r="CJ660" s="1493"/>
      <c r="CK660" s="1493"/>
      <c r="CL660" s="1494"/>
      <c r="CM660" s="1497">
        <f>CM655+CM641+CM632</f>
        <v>0</v>
      </c>
      <c r="CN660" s="1498"/>
      <c r="CO660" s="1498"/>
      <c r="CP660" s="1498"/>
      <c r="CQ660" s="1499"/>
      <c r="CR660" s="3"/>
      <c r="CS660" s="895">
        <f>CS634+CS658</f>
        <v>216</v>
      </c>
      <c r="CT660" s="57" t="s">
        <v>2053</v>
      </c>
      <c r="CU660" s="3"/>
      <c r="CV660" s="3"/>
      <c r="CW660" s="3"/>
      <c r="CX660" s="3"/>
      <c r="CY660" s="3"/>
      <c r="CZ660" s="3"/>
      <c r="DA660" s="3"/>
      <c r="DB660" s="3"/>
      <c r="DC660" s="3"/>
      <c r="DD660" s="3"/>
      <c r="DE660" s="3"/>
      <c r="DF660" s="3"/>
      <c r="DX660" s="1484" t="e">
        <f t="shared" si="43"/>
        <v>#VALUE!</v>
      </c>
      <c r="DY660" s="1484"/>
      <c r="DZ660" s="1484"/>
      <c r="EA660" s="1484"/>
      <c r="EB660" s="1484"/>
      <c r="EC660" s="1484" t="e">
        <f t="shared" si="44"/>
        <v>#VALUE!</v>
      </c>
      <c r="ED660" s="1484"/>
      <c r="EE660" s="1484"/>
      <c r="EF660" s="1484"/>
      <c r="EG660" s="1484"/>
      <c r="EH660" s="1484" t="e">
        <f t="shared" si="45"/>
        <v>#VALUE!</v>
      </c>
      <c r="EI660" s="1484"/>
      <c r="EJ660" s="1484"/>
      <c r="EK660" s="1484"/>
      <c r="EL660" s="1484"/>
      <c r="EM660" s="1484" t="e">
        <f t="shared" si="46"/>
        <v>#VALUE!</v>
      </c>
      <c r="EN660" s="1484"/>
      <c r="EO660" s="1484"/>
      <c r="EP660" s="1484"/>
      <c r="EQ660" s="1484"/>
      <c r="ER660" s="1484" t="e">
        <f t="shared" si="47"/>
        <v>#VALUE!</v>
      </c>
      <c r="ES660" s="1484"/>
      <c r="ET660" s="1484"/>
      <c r="EU660" s="1484"/>
      <c r="EV660" s="1484"/>
      <c r="EW660" s="1484" t="e">
        <f t="shared" si="48"/>
        <v>#VALUE!</v>
      </c>
      <c r="EX660" s="1484"/>
      <c r="EY660" s="1484"/>
      <c r="EZ660" s="1484"/>
      <c r="FA660" s="1484"/>
    </row>
    <row r="661" spans="1:157" ht="12.95" customHeight="1">
      <c r="A661" s="22"/>
      <c r="B661" t="s">
        <v>587</v>
      </c>
      <c r="G661" s="1357" t="s">
        <v>2672</v>
      </c>
      <c r="H661" s="1357"/>
      <c r="I661" s="1357"/>
      <c r="J661" s="1357"/>
      <c r="K661" s="1357"/>
      <c r="L661" s="1357"/>
      <c r="M661" s="1357"/>
      <c r="N661" s="1357"/>
      <c r="O661" s="1357"/>
      <c r="P661" s="1357"/>
      <c r="Q661" s="1357"/>
      <c r="R661" s="1357"/>
      <c r="T661" s="22"/>
      <c r="U661" t="s">
        <v>587</v>
      </c>
      <c r="Z661" s="1371" t="s">
        <v>2672</v>
      </c>
      <c r="AA661" s="1371"/>
      <c r="AB661" s="1371"/>
      <c r="AC661" s="1371"/>
      <c r="AD661" s="1371"/>
      <c r="AE661" s="1371"/>
      <c r="AF661" s="1371"/>
      <c r="AG661" s="1371"/>
      <c r="AH661" s="1371"/>
      <c r="AI661" s="1371"/>
      <c r="AJ661" s="1371"/>
      <c r="AK661" s="1371"/>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484" t="e">
        <f t="shared" si="43"/>
        <v>#VALUE!</v>
      </c>
      <c r="DY661" s="1484"/>
      <c r="DZ661" s="1484"/>
      <c r="EA661" s="1484"/>
      <c r="EB661" s="1484"/>
      <c r="EC661" s="1484" t="e">
        <f t="shared" si="44"/>
        <v>#VALUE!</v>
      </c>
      <c r="ED661" s="1484"/>
      <c r="EE661" s="1484"/>
      <c r="EF661" s="1484"/>
      <c r="EG661" s="1484"/>
      <c r="EH661" s="1484" t="e">
        <f t="shared" si="45"/>
        <v>#VALUE!</v>
      </c>
      <c r="EI661" s="1484"/>
      <c r="EJ661" s="1484"/>
      <c r="EK661" s="1484"/>
      <c r="EL661" s="1484"/>
      <c r="EM661" s="1484" t="e">
        <f t="shared" si="46"/>
        <v>#VALUE!</v>
      </c>
      <c r="EN661" s="1484"/>
      <c r="EO661" s="1484"/>
      <c r="EP661" s="1484"/>
      <c r="EQ661" s="1484"/>
      <c r="ER661" s="1484" t="e">
        <f t="shared" si="47"/>
        <v>#VALUE!</v>
      </c>
      <c r="ES661" s="1484"/>
      <c r="ET661" s="1484"/>
      <c r="EU661" s="1484"/>
      <c r="EV661" s="1484"/>
      <c r="EW661" s="1484" t="e">
        <f t="shared" si="48"/>
        <v>#VALUE!</v>
      </c>
      <c r="EX661" s="1484"/>
      <c r="EY661" s="1484"/>
      <c r="EZ661" s="1484"/>
      <c r="FA661" s="1484"/>
    </row>
    <row r="662" spans="1:157" ht="12.95" customHeight="1">
      <c r="A662" s="22"/>
      <c r="B662" t="s">
        <v>17</v>
      </c>
      <c r="G662" s="1357" t="s">
        <v>2642</v>
      </c>
      <c r="H662" s="1357"/>
      <c r="I662" s="1357"/>
      <c r="J662" s="1357"/>
      <c r="K662" s="1357"/>
      <c r="L662" s="1357"/>
      <c r="M662" s="1357"/>
      <c r="N662" s="1357"/>
      <c r="O662" s="1357"/>
      <c r="P662" s="1357"/>
      <c r="Q662" s="1357"/>
      <c r="R662" s="1357"/>
      <c r="T662" s="22"/>
      <c r="U662" t="s">
        <v>17</v>
      </c>
      <c r="Z662" s="1371" t="s">
        <v>2642</v>
      </c>
      <c r="AA662" s="1371"/>
      <c r="AB662" s="1371"/>
      <c r="AC662" s="1371"/>
      <c r="AD662" s="1371"/>
      <c r="AE662" s="1371"/>
      <c r="AF662" s="1371"/>
      <c r="AG662" s="1371"/>
      <c r="AH662" s="1371"/>
      <c r="AI662" s="1371"/>
      <c r="AJ662" s="1371"/>
      <c r="AK662" s="1371"/>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84" t="e">
        <f t="shared" si="43"/>
        <v>#VALUE!</v>
      </c>
      <c r="DY662" s="1484"/>
      <c r="DZ662" s="1484"/>
      <c r="EA662" s="1484"/>
      <c r="EB662" s="1484"/>
      <c r="EC662" s="1484" t="e">
        <f t="shared" si="44"/>
        <v>#VALUE!</v>
      </c>
      <c r="ED662" s="1484"/>
      <c r="EE662" s="1484"/>
      <c r="EF662" s="1484"/>
      <c r="EG662" s="1484"/>
      <c r="EH662" s="1484" t="e">
        <f t="shared" si="45"/>
        <v>#VALUE!</v>
      </c>
      <c r="EI662" s="1484"/>
      <c r="EJ662" s="1484"/>
      <c r="EK662" s="1484"/>
      <c r="EL662" s="1484"/>
      <c r="EM662" s="1484" t="e">
        <f t="shared" si="46"/>
        <v>#VALUE!</v>
      </c>
      <c r="EN662" s="1484"/>
      <c r="EO662" s="1484"/>
      <c r="EP662" s="1484"/>
      <c r="EQ662" s="1484"/>
      <c r="ER662" s="1484" t="e">
        <f t="shared" si="47"/>
        <v>#VALUE!</v>
      </c>
      <c r="ES662" s="1484"/>
      <c r="ET662" s="1484"/>
      <c r="EU662" s="1484"/>
      <c r="EV662" s="1484"/>
      <c r="EW662" s="1484" t="e">
        <f t="shared" si="48"/>
        <v>#VALUE!</v>
      </c>
      <c r="EX662" s="1484"/>
      <c r="EY662" s="1484"/>
      <c r="EZ662" s="1484"/>
      <c r="FA662" s="1484"/>
    </row>
    <row r="663" spans="1:157" ht="12.95" customHeight="1">
      <c r="A663" s="22"/>
      <c r="B663" t="s">
        <v>316</v>
      </c>
      <c r="G663" s="1460" t="s">
        <v>2731</v>
      </c>
      <c r="H663" s="1460"/>
      <c r="I663" s="1460"/>
      <c r="J663" s="1460"/>
      <c r="K663" s="1460"/>
      <c r="L663" s="1460"/>
      <c r="O663" s="33" t="s">
        <v>206</v>
      </c>
      <c r="P663" s="1455"/>
      <c r="Q663" s="1455"/>
      <c r="R663" s="1455"/>
      <c r="T663" s="22"/>
      <c r="U663" t="s">
        <v>316</v>
      </c>
      <c r="Z663" s="1460" t="s">
        <v>2731</v>
      </c>
      <c r="AA663" s="1460"/>
      <c r="AB663" s="1460"/>
      <c r="AC663" s="1460"/>
      <c r="AD663" s="1460"/>
      <c r="AE663" s="1460"/>
      <c r="AH663" s="33" t="s">
        <v>206</v>
      </c>
      <c r="AI663" s="1455"/>
      <c r="AJ663" s="1455"/>
      <c r="AK663" s="1455"/>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84" t="e">
        <f t="shared" si="43"/>
        <v>#VALUE!</v>
      </c>
      <c r="DY663" s="1484"/>
      <c r="DZ663" s="1484"/>
      <c r="EA663" s="1484"/>
      <c r="EB663" s="1484"/>
      <c r="EC663" s="1484" t="e">
        <f t="shared" si="44"/>
        <v>#VALUE!</v>
      </c>
      <c r="ED663" s="1484"/>
      <c r="EE663" s="1484"/>
      <c r="EF663" s="1484"/>
      <c r="EG663" s="1484"/>
      <c r="EH663" s="1484" t="e">
        <f t="shared" si="45"/>
        <v>#VALUE!</v>
      </c>
      <c r="EI663" s="1484"/>
      <c r="EJ663" s="1484"/>
      <c r="EK663" s="1484"/>
      <c r="EL663" s="1484"/>
      <c r="EM663" s="1484" t="e">
        <f t="shared" si="46"/>
        <v>#VALUE!</v>
      </c>
      <c r="EN663" s="1484"/>
      <c r="EO663" s="1484"/>
      <c r="EP663" s="1484"/>
      <c r="EQ663" s="1484"/>
      <c r="ER663" s="1484" t="e">
        <f t="shared" si="47"/>
        <v>#VALUE!</v>
      </c>
      <c r="ES663" s="1484"/>
      <c r="ET663" s="1484"/>
      <c r="EU663" s="1484"/>
      <c r="EV663" s="1484"/>
      <c r="EW663" s="1484" t="e">
        <f t="shared" si="48"/>
        <v>#VALUE!</v>
      </c>
      <c r="EX663" s="1484"/>
      <c r="EY663" s="1484"/>
      <c r="EZ663" s="1484"/>
      <c r="FA663" s="1484"/>
    </row>
    <row r="664" spans="1:157" ht="12.95" customHeight="1">
      <c r="A664" s="22"/>
      <c r="B664" t="s">
        <v>18</v>
      </c>
      <c r="H664" s="1356" t="s">
        <v>2763</v>
      </c>
      <c r="I664" s="1357"/>
      <c r="J664" s="1357"/>
      <c r="K664" s="1357"/>
      <c r="L664" s="1357"/>
      <c r="M664" s="1357"/>
      <c r="N664" s="1357"/>
      <c r="O664" s="1357"/>
      <c r="P664" s="1357"/>
      <c r="Q664" s="1357"/>
      <c r="R664" s="1357"/>
      <c r="T664" s="22"/>
      <c r="U664" t="s">
        <v>18</v>
      </c>
      <c r="AA664" s="1356" t="s">
        <v>2733</v>
      </c>
      <c r="AB664" s="1357"/>
      <c r="AC664" s="1357"/>
      <c r="AD664" s="1357"/>
      <c r="AE664" s="1357"/>
      <c r="AF664" s="1357"/>
      <c r="AG664" s="1357"/>
      <c r="AH664" s="1357"/>
      <c r="AI664" s="1357"/>
      <c r="AJ664" s="1357"/>
      <c r="AK664" s="1357"/>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84" t="e">
        <f t="shared" si="43"/>
        <v>#VALUE!</v>
      </c>
      <c r="DY664" s="1484"/>
      <c r="DZ664" s="1484"/>
      <c r="EA664" s="1484"/>
      <c r="EB664" s="1484"/>
      <c r="EC664" s="1484" t="e">
        <f t="shared" si="44"/>
        <v>#VALUE!</v>
      </c>
      <c r="ED664" s="1484"/>
      <c r="EE664" s="1484"/>
      <c r="EF664" s="1484"/>
      <c r="EG664" s="1484"/>
      <c r="EH664" s="1484" t="e">
        <f t="shared" si="45"/>
        <v>#VALUE!</v>
      </c>
      <c r="EI664" s="1484"/>
      <c r="EJ664" s="1484"/>
      <c r="EK664" s="1484"/>
      <c r="EL664" s="1484"/>
      <c r="EM664" s="1484" t="e">
        <f t="shared" si="46"/>
        <v>#VALUE!</v>
      </c>
      <c r="EN664" s="1484"/>
      <c r="EO664" s="1484"/>
      <c r="EP664" s="1484"/>
      <c r="EQ664" s="1484"/>
      <c r="ER664" s="1484" t="e">
        <f t="shared" si="47"/>
        <v>#VALUE!</v>
      </c>
      <c r="ES664" s="1484"/>
      <c r="ET664" s="1484"/>
      <c r="EU664" s="1484"/>
      <c r="EV664" s="1484"/>
      <c r="EW664" s="1484" t="e">
        <f t="shared" si="48"/>
        <v>#VALUE!</v>
      </c>
      <c r="EX664" s="1484"/>
      <c r="EY664" s="1484"/>
      <c r="EZ664" s="1484"/>
      <c r="FA664" s="1484"/>
    </row>
    <row r="665" spans="1:157" ht="12.95" customHeight="1">
      <c r="A665" s="22"/>
      <c r="B665" t="s">
        <v>20</v>
      </c>
      <c r="N665" s="1358" t="s">
        <v>552</v>
      </c>
      <c r="O665" s="1358"/>
      <c r="T665" s="22"/>
      <c r="U665" t="s">
        <v>20</v>
      </c>
      <c r="AG665" s="1358" t="s">
        <v>552</v>
      </c>
      <c r="AH665" s="1358"/>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84" t="e">
        <f t="shared" si="43"/>
        <v>#VALUE!</v>
      </c>
      <c r="DY665" s="1484"/>
      <c r="DZ665" s="1484"/>
      <c r="EA665" s="1484"/>
      <c r="EB665" s="1484"/>
      <c r="EC665" s="1484" t="e">
        <f t="shared" si="44"/>
        <v>#VALUE!</v>
      </c>
      <c r="ED665" s="1484"/>
      <c r="EE665" s="1484"/>
      <c r="EF665" s="1484"/>
      <c r="EG665" s="1484"/>
      <c r="EH665" s="1484" t="e">
        <f t="shared" si="45"/>
        <v>#VALUE!</v>
      </c>
      <c r="EI665" s="1484"/>
      <c r="EJ665" s="1484"/>
      <c r="EK665" s="1484"/>
      <c r="EL665" s="1484"/>
      <c r="EM665" s="1484" t="e">
        <f t="shared" si="46"/>
        <v>#VALUE!</v>
      </c>
      <c r="EN665" s="1484"/>
      <c r="EO665" s="1484"/>
      <c r="EP665" s="1484"/>
      <c r="EQ665" s="1484"/>
      <c r="ER665" s="1484" t="e">
        <f t="shared" si="47"/>
        <v>#VALUE!</v>
      </c>
      <c r="ES665" s="1484"/>
      <c r="ET665" s="1484"/>
      <c r="EU665" s="1484"/>
      <c r="EV665" s="1484"/>
      <c r="EW665" s="1484" t="e">
        <f t="shared" si="48"/>
        <v>#VALUE!</v>
      </c>
      <c r="EX665" s="1484"/>
      <c r="EY665" s="1484"/>
      <c r="EZ665" s="1484"/>
      <c r="FA665" s="1484"/>
    </row>
    <row r="666" spans="1:157" ht="12.95" customHeight="1">
      <c r="A666" s="22"/>
      <c r="T666" s="22"/>
      <c r="AZ666" s="3"/>
      <c r="BA666" s="166" t="s">
        <v>656</v>
      </c>
      <c r="BB666" s="3"/>
      <c r="BC666" s="3"/>
      <c r="BD666" s="3"/>
      <c r="BE666" s="3"/>
      <c r="BF666" s="218"/>
      <c r="BG666" s="219" t="s">
        <v>909</v>
      </c>
      <c r="BH666" s="218"/>
      <c r="BI666" s="218"/>
      <c r="BJ666" s="3"/>
      <c r="BK666" s="3"/>
      <c r="BL666" s="3"/>
      <c r="BM666" s="3"/>
      <c r="BN666" s="3"/>
      <c r="BO666" s="3"/>
      <c r="BT666" s="219" t="s">
        <v>1738</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84" t="e">
        <f t="shared" si="43"/>
        <v>#VALUE!</v>
      </c>
      <c r="DY666" s="1484"/>
      <c r="DZ666" s="1484"/>
      <c r="EA666" s="1484"/>
      <c r="EB666" s="1484"/>
      <c r="EC666" s="1484" t="e">
        <f t="shared" si="44"/>
        <v>#VALUE!</v>
      </c>
      <c r="ED666" s="1484"/>
      <c r="EE666" s="1484"/>
      <c r="EF666" s="1484"/>
      <c r="EG666" s="1484"/>
      <c r="EH666" s="1484" t="e">
        <f t="shared" si="45"/>
        <v>#VALUE!</v>
      </c>
      <c r="EI666" s="1484"/>
      <c r="EJ666" s="1484"/>
      <c r="EK666" s="1484"/>
      <c r="EL666" s="1484"/>
      <c r="EM666" s="1484" t="e">
        <f t="shared" si="46"/>
        <v>#VALUE!</v>
      </c>
      <c r="EN666" s="1484"/>
      <c r="EO666" s="1484"/>
      <c r="EP666" s="1484"/>
      <c r="EQ666" s="1484"/>
      <c r="ER666" s="1484" t="e">
        <f t="shared" si="47"/>
        <v>#VALUE!</v>
      </c>
      <c r="ES666" s="1484"/>
      <c r="ET666" s="1484"/>
      <c r="EU666" s="1484"/>
      <c r="EV666" s="1484"/>
      <c r="EW666" s="1484" t="e">
        <f t="shared" si="48"/>
        <v>#VALUE!</v>
      </c>
      <c r="EX666" s="1484"/>
      <c r="EY666" s="1484"/>
      <c r="EZ666" s="1484"/>
      <c r="FA666" s="1484"/>
    </row>
    <row r="667" spans="1:157" ht="12.95" customHeight="1">
      <c r="A667" s="55" t="s">
        <v>462</v>
      </c>
      <c r="B667" t="s">
        <v>470</v>
      </c>
      <c r="G667" s="1355">
        <f>C633</f>
        <v>0</v>
      </c>
      <c r="H667" s="1355"/>
      <c r="I667" s="1355"/>
      <c r="J667" s="1355"/>
      <c r="K667" s="1355"/>
      <c r="L667" s="1355"/>
      <c r="M667" s="1355"/>
      <c r="N667" s="1355"/>
      <c r="O667" s="1355"/>
      <c r="P667" s="1355"/>
      <c r="Q667" s="1355"/>
      <c r="R667" s="1355"/>
      <c r="T667" s="55" t="s">
        <v>463</v>
      </c>
      <c r="U667" t="s">
        <v>470</v>
      </c>
      <c r="Z667" s="1355">
        <f>C634</f>
        <v>0</v>
      </c>
      <c r="AA667" s="1355"/>
      <c r="AB667" s="1355"/>
      <c r="AC667" s="1355"/>
      <c r="AD667" s="1355"/>
      <c r="AE667" s="1355"/>
      <c r="AF667" s="1355"/>
      <c r="AG667" s="1355"/>
      <c r="AH667" s="1355"/>
      <c r="AI667" s="1355"/>
      <c r="AJ667" s="1355"/>
      <c r="AK667" s="1355"/>
      <c r="AZ667" s="3"/>
      <c r="BA667" s="118">
        <f t="shared" ref="BA667:BA699" si="49">IF($G718=0,"N/A",VLOOKUP($T$189,TC_Rent,(MATCH($B718,bedrooms,FALSE))))</f>
        <v>2882</v>
      </c>
      <c r="BB667" s="3"/>
      <c r="BC667" s="3"/>
      <c r="BD667" s="3"/>
      <c r="BE667" s="3"/>
      <c r="BF667" s="218"/>
      <c r="BG667" s="313" t="s">
        <v>910</v>
      </c>
      <c r="BH667" s="318" t="s">
        <v>911</v>
      </c>
      <c r="BI667" s="317" t="s">
        <v>912</v>
      </c>
      <c r="BJ667" s="3"/>
      <c r="BK667" s="3"/>
      <c r="BL667" s="3"/>
      <c r="BM667" s="3"/>
      <c r="BN667" s="3"/>
      <c r="BO667" s="3"/>
      <c r="BT667" s="313" t="s">
        <v>910</v>
      </c>
      <c r="BU667" s="318" t="s">
        <v>911</v>
      </c>
      <c r="BV667" s="317" t="s">
        <v>912</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84" t="e">
        <f t="shared" si="43"/>
        <v>#VALUE!</v>
      </c>
      <c r="DY667" s="1484"/>
      <c r="DZ667" s="1484"/>
      <c r="EA667" s="1484"/>
      <c r="EB667" s="1484"/>
      <c r="EC667" s="1484" t="e">
        <f t="shared" si="44"/>
        <v>#VALUE!</v>
      </c>
      <c r="ED667" s="1484"/>
      <c r="EE667" s="1484"/>
      <c r="EF667" s="1484"/>
      <c r="EG667" s="1484"/>
      <c r="EH667" s="1484" t="e">
        <f t="shared" si="45"/>
        <v>#VALUE!</v>
      </c>
      <c r="EI667" s="1484"/>
      <c r="EJ667" s="1484"/>
      <c r="EK667" s="1484"/>
      <c r="EL667" s="1484"/>
      <c r="EM667" s="1484" t="e">
        <f t="shared" si="46"/>
        <v>#VALUE!</v>
      </c>
      <c r="EN667" s="1484"/>
      <c r="EO667" s="1484"/>
      <c r="EP667" s="1484"/>
      <c r="EQ667" s="1484"/>
      <c r="ER667" s="1484" t="e">
        <f t="shared" si="47"/>
        <v>#VALUE!</v>
      </c>
      <c r="ES667" s="1484"/>
      <c r="ET667" s="1484"/>
      <c r="EU667" s="1484"/>
      <c r="EV667" s="1484"/>
      <c r="EW667" s="1484" t="e">
        <f t="shared" si="48"/>
        <v>#VALUE!</v>
      </c>
      <c r="EX667" s="1484"/>
      <c r="EY667" s="1484"/>
      <c r="EZ667" s="1484"/>
      <c r="FA667" s="1484"/>
    </row>
    <row r="668" spans="1:157" ht="12.95" customHeight="1">
      <c r="A668" s="22"/>
      <c r="B668" t="s">
        <v>85</v>
      </c>
      <c r="G668" s="1357"/>
      <c r="H668" s="1357"/>
      <c r="I668" s="1357"/>
      <c r="J668" s="1357"/>
      <c r="K668" s="1357"/>
      <c r="L668" s="1357"/>
      <c r="M668" s="1357"/>
      <c r="N668" s="1357"/>
      <c r="O668" s="1357"/>
      <c r="P668" s="1357"/>
      <c r="Q668" s="1357"/>
      <c r="R668" s="1357"/>
      <c r="T668" s="22"/>
      <c r="U668" t="s">
        <v>85</v>
      </c>
      <c r="Z668" s="1357"/>
      <c r="AA668" s="1357"/>
      <c r="AB668" s="1357"/>
      <c r="AC668" s="1357"/>
      <c r="AD668" s="1357"/>
      <c r="AE668" s="1357"/>
      <c r="AF668" s="1357"/>
      <c r="AG668" s="1357"/>
      <c r="AH668" s="1357"/>
      <c r="AI668" s="1357"/>
      <c r="AJ668" s="1357"/>
      <c r="AK668" s="1357"/>
      <c r="AZ668" s="3"/>
      <c r="BA668" s="118">
        <f t="shared" si="49"/>
        <v>2882</v>
      </c>
      <c r="BB668" s="3"/>
      <c r="BC668" s="3"/>
      <c r="BD668" s="3"/>
      <c r="BE668" s="3"/>
      <c r="BF668" s="218"/>
      <c r="BG668" s="315">
        <f t="shared" ref="BG668:BG700" si="50">G718</f>
        <v>1</v>
      </c>
      <c r="BH668" s="319">
        <f t="shared" ref="BH668:BH702" si="51">IF($BG$703=0,0,BG668/$BG$703)</f>
        <v>8.130081300813009E-3</v>
      </c>
      <c r="BI668" s="320">
        <f t="shared" ref="BI668:BI691" si="52">IF(BH668=0,"",BH668*AC718)</f>
        <v>2.4390243902439024E-3</v>
      </c>
      <c r="BJ668" s="3"/>
      <c r="BK668" s="3"/>
      <c r="BL668" s="3"/>
      <c r="BM668" s="3"/>
      <c r="BN668" s="3"/>
      <c r="BO668" s="3"/>
      <c r="BT668" s="315">
        <f t="shared" ref="BT668:BT700" si="53">G718</f>
        <v>1</v>
      </c>
      <c r="BU668" s="319">
        <f t="shared" ref="BU668:BU702" si="54">IF($BT$703=0,0,BT668/$BT$703)</f>
        <v>8.130081300813009E-3</v>
      </c>
      <c r="BV668" s="320">
        <f t="shared" ref="BV668:BV700" si="55">IF(BU668=0,"",BU668*AH718)</f>
        <v>2.4373317987170157E-3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84" t="e">
        <f>DX630*(BN630/$BN$632)</f>
        <v>#VALUE!</v>
      </c>
      <c r="DY668" s="1484"/>
      <c r="DZ668" s="1484"/>
      <c r="EA668" s="1484"/>
      <c r="EB668" s="1484"/>
      <c r="EC668" s="1484" t="e">
        <f>EC630*(BS630/$BS$632)</f>
        <v>#VALUE!</v>
      </c>
      <c r="ED668" s="1484"/>
      <c r="EE668" s="1484"/>
      <c r="EF668" s="1484"/>
      <c r="EG668" s="1484"/>
      <c r="EH668" s="1484" t="e">
        <f>EH630*(BX630/$BX$632)</f>
        <v>#VALUE!</v>
      </c>
      <c r="EI668" s="1484"/>
      <c r="EJ668" s="1484"/>
      <c r="EK668" s="1484"/>
      <c r="EL668" s="1484"/>
      <c r="EM668" s="1484" t="e">
        <f>EM630*(CC630/$CC$632)</f>
        <v>#VALUE!</v>
      </c>
      <c r="EN668" s="1484"/>
      <c r="EO668" s="1484"/>
      <c r="EP668" s="1484"/>
      <c r="EQ668" s="1484"/>
      <c r="ER668" s="1484" t="e">
        <f>ER630*(CH630/$CH$632)</f>
        <v>#VALUE!</v>
      </c>
      <c r="ES668" s="1484"/>
      <c r="ET668" s="1484"/>
      <c r="EU668" s="1484"/>
      <c r="EV668" s="1484"/>
      <c r="EW668" s="1484" t="e">
        <f>EW630*(CM630/$CM$632)</f>
        <v>#VALUE!</v>
      </c>
      <c r="EX668" s="1484"/>
      <c r="EY668" s="1484"/>
      <c r="EZ668" s="1484"/>
      <c r="FA668" s="1484"/>
    </row>
    <row r="669" spans="1:157" ht="12.95" customHeight="1">
      <c r="A669" s="22"/>
      <c r="B669" t="s">
        <v>587</v>
      </c>
      <c r="G669" s="1357"/>
      <c r="H669" s="1357"/>
      <c r="I669" s="1357"/>
      <c r="J669" s="1357"/>
      <c r="K669" s="1357"/>
      <c r="L669" s="1357"/>
      <c r="M669" s="1357"/>
      <c r="N669" s="1357"/>
      <c r="O669" s="1357"/>
      <c r="P669" s="1357"/>
      <c r="Q669" s="1357"/>
      <c r="R669" s="1357"/>
      <c r="T669" s="22"/>
      <c r="U669" t="s">
        <v>587</v>
      </c>
      <c r="Z669" s="1371"/>
      <c r="AA669" s="1371"/>
      <c r="AB669" s="1371"/>
      <c r="AC669" s="1371"/>
      <c r="AD669" s="1371"/>
      <c r="AE669" s="1371"/>
      <c r="AF669" s="1371"/>
      <c r="AG669" s="1371"/>
      <c r="AH669" s="1371"/>
      <c r="AI669" s="1371"/>
      <c r="AJ669" s="1371"/>
      <c r="AK669" s="1371"/>
      <c r="AZ669" s="3"/>
      <c r="BA669" s="118">
        <f t="shared" si="49"/>
        <v>2882</v>
      </c>
      <c r="BB669" s="3"/>
      <c r="BC669" s="3"/>
      <c r="BD669" s="3"/>
      <c r="BE669" s="3"/>
      <c r="BF669" s="218"/>
      <c r="BG669" s="316">
        <f t="shared" si="50"/>
        <v>1</v>
      </c>
      <c r="BH669" s="319">
        <f t="shared" si="51"/>
        <v>8.130081300813009E-3</v>
      </c>
      <c r="BI669" s="320">
        <f t="shared" si="52"/>
        <v>3.2520325203252037E-3</v>
      </c>
      <c r="BJ669" s="3"/>
      <c r="BK669" s="3"/>
      <c r="BL669" s="3"/>
      <c r="BM669" s="3"/>
      <c r="BN669" s="3"/>
      <c r="BO669" s="3"/>
      <c r="BT669" s="316">
        <f t="shared" si="53"/>
        <v>1</v>
      </c>
      <c r="BU669" s="319">
        <f t="shared" si="54"/>
        <v>8.130081300813009E-3</v>
      </c>
      <c r="BV669" s="320">
        <f t="shared" si="55"/>
        <v>3.2525967175008326E-3</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84" t="e">
        <f>DX631*(BN631/$BN$632)</f>
        <v>#VALUE!</v>
      </c>
      <c r="DY669" s="1484"/>
      <c r="DZ669" s="1484"/>
      <c r="EA669" s="1484"/>
      <c r="EB669" s="1484"/>
      <c r="EC669" s="1484" t="e">
        <f>EC631*(BS631/$BS$632)</f>
        <v>#VALUE!</v>
      </c>
      <c r="ED669" s="1484"/>
      <c r="EE669" s="1484"/>
      <c r="EF669" s="1484"/>
      <c r="EG669" s="1484"/>
      <c r="EH669" s="1484" t="e">
        <f>EH631*(BX631/$BX$632)</f>
        <v>#VALUE!</v>
      </c>
      <c r="EI669" s="1484"/>
      <c r="EJ669" s="1484"/>
      <c r="EK669" s="1484"/>
      <c r="EL669" s="1484"/>
      <c r="EM669" s="1484" t="e">
        <f>EM631*(CC631/$CC$632)</f>
        <v>#VALUE!</v>
      </c>
      <c r="EN669" s="1484"/>
      <c r="EO669" s="1484"/>
      <c r="EP669" s="1484"/>
      <c r="EQ669" s="1484"/>
      <c r="ER669" s="1484" t="e">
        <f>ER631*(CH631/$CH$632)</f>
        <v>#VALUE!</v>
      </c>
      <c r="ES669" s="1484"/>
      <c r="ET669" s="1484"/>
      <c r="EU669" s="1484"/>
      <c r="EV669" s="1484"/>
      <c r="EW669" s="1484" t="e">
        <f>EW631*(CM631/$CM$632)</f>
        <v>#VALUE!</v>
      </c>
      <c r="EX669" s="1484"/>
      <c r="EY669" s="1484"/>
      <c r="EZ669" s="1484"/>
      <c r="FA669" s="1484"/>
    </row>
    <row r="670" spans="1:157" ht="12.95" customHeight="1">
      <c r="A670" s="22"/>
      <c r="B670" t="s">
        <v>17</v>
      </c>
      <c r="G670" s="1357"/>
      <c r="H670" s="1357"/>
      <c r="I670" s="1357"/>
      <c r="J670" s="1357"/>
      <c r="K670" s="1357"/>
      <c r="L670" s="1357"/>
      <c r="M670" s="1357"/>
      <c r="N670" s="1357"/>
      <c r="O670" s="1357"/>
      <c r="P670" s="1357"/>
      <c r="Q670" s="1357"/>
      <c r="R670" s="1357"/>
      <c r="T670" s="22"/>
      <c r="U670" t="s">
        <v>17</v>
      </c>
      <c r="Z670" s="1371"/>
      <c r="AA670" s="1371"/>
      <c r="AB670" s="1371"/>
      <c r="AC670" s="1371"/>
      <c r="AD670" s="1371"/>
      <c r="AE670" s="1371"/>
      <c r="AF670" s="1371"/>
      <c r="AG670" s="1371"/>
      <c r="AH670" s="1371"/>
      <c r="AI670" s="1371"/>
      <c r="AJ670" s="1371"/>
      <c r="AK670" s="1371"/>
      <c r="AZ670" s="3"/>
      <c r="BA670" s="118">
        <f t="shared" si="49"/>
        <v>2882</v>
      </c>
      <c r="BB670" s="3"/>
      <c r="BC670" s="3"/>
      <c r="BD670" s="3"/>
      <c r="BE670" s="3"/>
      <c r="BF670" s="218"/>
      <c r="BG670" s="316">
        <f t="shared" si="50"/>
        <v>4</v>
      </c>
      <c r="BH670" s="319">
        <f t="shared" si="51"/>
        <v>3.2520325203252036E-2</v>
      </c>
      <c r="BI670" s="320">
        <f t="shared" si="52"/>
        <v>1.6260162601626018E-2</v>
      </c>
      <c r="BJ670" s="3"/>
      <c r="BK670" s="3"/>
      <c r="BL670" s="3"/>
      <c r="BM670" s="3"/>
      <c r="BN670" s="3"/>
      <c r="BO670" s="3"/>
      <c r="BT670" s="316">
        <f t="shared" si="53"/>
        <v>4</v>
      </c>
      <c r="BU670" s="319">
        <f t="shared" si="54"/>
        <v>3.2520325203252036E-2</v>
      </c>
      <c r="BV670" s="320">
        <f t="shared" si="55"/>
        <v>1.6260162601626018E-2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84">
        <f>SUMIF(DX635:EB669,"&gt;0")</f>
        <v>1409.2727272727275</v>
      </c>
      <c r="DY670" s="1484"/>
      <c r="DZ670" s="1484"/>
      <c r="EA670" s="1484"/>
      <c r="EB670" s="1484"/>
      <c r="EC670" s="1484">
        <f>SUMIF(EC635:EG669,"&gt;0")</f>
        <v>1382.2</v>
      </c>
      <c r="ED670" s="1484"/>
      <c r="EE670" s="1484"/>
      <c r="EF670" s="1484"/>
      <c r="EG670" s="1484"/>
      <c r="EH670" s="1484">
        <f>SUMIF(EH635:EL669,"&gt;0")</f>
        <v>1692.3548387096776</v>
      </c>
      <c r="EI670" s="1484"/>
      <c r="EJ670" s="1484"/>
      <c r="EK670" s="1484"/>
      <c r="EL670" s="1484"/>
      <c r="EM670" s="1484">
        <f>SUMIF(EM635:EQ669,"&gt;0")</f>
        <v>1936.2258064516127</v>
      </c>
      <c r="EN670" s="1484"/>
      <c r="EO670" s="1484"/>
      <c r="EP670" s="1484"/>
      <c r="EQ670" s="1484"/>
      <c r="ER670" s="1484">
        <f>SUMIF(ER635:EV669,"&gt;0")</f>
        <v>0</v>
      </c>
      <c r="ES670" s="1484"/>
      <c r="ET670" s="1484"/>
      <c r="EU670" s="1484"/>
      <c r="EV670" s="1484"/>
      <c r="EW670" s="1484">
        <f>SUMIF(EW635:FA669,"&gt;0")</f>
        <v>0</v>
      </c>
      <c r="EX670" s="1484"/>
      <c r="EY670" s="1484"/>
      <c r="EZ670" s="1484"/>
      <c r="FA670" s="1484"/>
    </row>
    <row r="671" spans="1:157" ht="12.95" customHeight="1">
      <c r="A671" s="22"/>
      <c r="B671" t="s">
        <v>316</v>
      </c>
      <c r="G671" s="1482"/>
      <c r="H671" s="1460"/>
      <c r="I671" s="1460"/>
      <c r="J671" s="1460"/>
      <c r="K671" s="1460"/>
      <c r="L671" s="1460"/>
      <c r="O671" s="33" t="s">
        <v>206</v>
      </c>
      <c r="P671" s="1455"/>
      <c r="Q671" s="1455"/>
      <c r="R671" s="1455"/>
      <c r="T671" s="22"/>
      <c r="U671" t="s">
        <v>316</v>
      </c>
      <c r="Z671" s="1460"/>
      <c r="AA671" s="1460"/>
      <c r="AB671" s="1460"/>
      <c r="AC671" s="1460"/>
      <c r="AD671" s="1460"/>
      <c r="AE671" s="1460"/>
      <c r="AH671" s="33" t="s">
        <v>206</v>
      </c>
      <c r="AI671" s="1455"/>
      <c r="AJ671" s="1455"/>
      <c r="AK671" s="1455"/>
      <c r="AZ671" s="3"/>
      <c r="BA671" s="118">
        <f t="shared" si="49"/>
        <v>3088</v>
      </c>
      <c r="BB671" s="3"/>
      <c r="BC671" s="3"/>
      <c r="BD671" s="3"/>
      <c r="BE671" s="3"/>
      <c r="BF671" s="218"/>
      <c r="BG671" s="316">
        <f t="shared" si="50"/>
        <v>5</v>
      </c>
      <c r="BH671" s="319">
        <f t="shared" si="51"/>
        <v>4.065040650406504E-2</v>
      </c>
      <c r="BI671" s="320">
        <f t="shared" si="52"/>
        <v>2.4390243902439022E-2</v>
      </c>
      <c r="BJ671" s="3"/>
      <c r="BK671" s="3"/>
      <c r="BL671" s="3"/>
      <c r="BM671" s="3"/>
      <c r="BN671" s="3"/>
      <c r="BO671" s="3"/>
      <c r="BT671" s="316">
        <f t="shared" si="53"/>
        <v>5</v>
      </c>
      <c r="BU671" s="319">
        <f t="shared" si="54"/>
        <v>4.065040650406504E-2</v>
      </c>
      <c r="BV671" s="320">
        <f t="shared" si="55"/>
        <v>2.4387422916560878E-2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57"/>
      <c r="I672" s="1357"/>
      <c r="J672" s="1357"/>
      <c r="K672" s="1357"/>
      <c r="L672" s="1357"/>
      <c r="M672" s="1357"/>
      <c r="N672" s="1357"/>
      <c r="O672" s="1357"/>
      <c r="P672" s="1357"/>
      <c r="Q672" s="1357"/>
      <c r="R672" s="1357"/>
      <c r="T672" s="22"/>
      <c r="U672" t="s">
        <v>18</v>
      </c>
      <c r="AA672" s="1357"/>
      <c r="AB672" s="1357"/>
      <c r="AC672" s="1357"/>
      <c r="AD672" s="1357"/>
      <c r="AE672" s="1357"/>
      <c r="AF672" s="1357"/>
      <c r="AG672" s="1357"/>
      <c r="AH672" s="1357"/>
      <c r="AI672" s="1357"/>
      <c r="AJ672" s="1357"/>
      <c r="AK672" s="1357"/>
      <c r="AZ672" s="3"/>
      <c r="BA672" s="118">
        <f t="shared" si="49"/>
        <v>3088</v>
      </c>
      <c r="BB672" s="3"/>
      <c r="BC672" s="3"/>
      <c r="BD672" s="3"/>
      <c r="BE672" s="3"/>
      <c r="BF672" s="218"/>
      <c r="BG672" s="316">
        <f t="shared" si="50"/>
        <v>8</v>
      </c>
      <c r="BH672" s="319">
        <f t="shared" si="51"/>
        <v>6.5040650406504072E-2</v>
      </c>
      <c r="BI672" s="320">
        <f t="shared" si="52"/>
        <v>1.9512195121951219E-2</v>
      </c>
      <c r="BJ672" s="3"/>
      <c r="BK672" s="3"/>
      <c r="BL672" s="3"/>
      <c r="BM672" s="3"/>
      <c r="BN672" s="3"/>
      <c r="BO672" s="3"/>
      <c r="BT672" s="316">
        <f t="shared" si="53"/>
        <v>8</v>
      </c>
      <c r="BU672" s="319">
        <f t="shared" si="54"/>
        <v>6.5040650406504072E-2</v>
      </c>
      <c r="BV672" s="320">
        <f t="shared" si="55"/>
        <v>1.9503770167235354E-2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358" t="s">
        <v>676</v>
      </c>
      <c r="O673" s="1358"/>
      <c r="T673" s="22"/>
      <c r="U673" t="s">
        <v>20</v>
      </c>
      <c r="AG673" s="1358"/>
      <c r="AH673" s="1358"/>
      <c r="AZ673" s="3"/>
      <c r="BA673" s="118">
        <f t="shared" si="49"/>
        <v>3088</v>
      </c>
      <c r="BB673" s="3"/>
      <c r="BC673" s="3"/>
      <c r="BD673" s="3"/>
      <c r="BE673" s="3"/>
      <c r="BF673" s="218"/>
      <c r="BG673" s="316">
        <f t="shared" si="50"/>
        <v>3</v>
      </c>
      <c r="BH673" s="319">
        <f t="shared" si="51"/>
        <v>2.4390243902439025E-2</v>
      </c>
      <c r="BI673" s="320">
        <f t="shared" si="52"/>
        <v>9.7560975609756115E-3</v>
      </c>
      <c r="BJ673" s="3"/>
      <c r="BK673" s="3"/>
      <c r="BL673" s="3"/>
      <c r="BM673" s="3"/>
      <c r="BN673" s="3"/>
      <c r="BO673" s="3"/>
      <c r="BT673" s="316">
        <f t="shared" si="53"/>
        <v>3</v>
      </c>
      <c r="BU673" s="319">
        <f t="shared" si="54"/>
        <v>2.4390243902439025E-2</v>
      </c>
      <c r="BV673" s="320">
        <f t="shared" si="55"/>
        <v>9.7545178819663843E-3</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f t="shared" si="49"/>
        <v>3088</v>
      </c>
      <c r="BB674" s="3"/>
      <c r="BC674" s="3"/>
      <c r="BD674" s="3"/>
      <c r="BE674" s="3"/>
      <c r="BF674" s="218"/>
      <c r="BG674" s="316">
        <f t="shared" si="50"/>
        <v>7</v>
      </c>
      <c r="BH674" s="319">
        <f t="shared" si="51"/>
        <v>5.6910569105691054E-2</v>
      </c>
      <c r="BI674" s="320">
        <f t="shared" si="52"/>
        <v>2.2764227642276424E-2</v>
      </c>
      <c r="BJ674" s="3"/>
      <c r="BK674" s="3"/>
      <c r="BL674" s="3"/>
      <c r="BM674" s="3"/>
      <c r="BN674" s="3"/>
      <c r="BO674" s="3"/>
      <c r="BT674" s="316">
        <f t="shared" si="53"/>
        <v>7</v>
      </c>
      <c r="BU674" s="319">
        <f t="shared" si="54"/>
        <v>5.6910569105691054E-2</v>
      </c>
      <c r="BV674" s="320">
        <f t="shared" si="55"/>
        <v>2.2760541724588228E-2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468</v>
      </c>
      <c r="B675" t="s">
        <v>470</v>
      </c>
      <c r="G675" s="1355">
        <f>C635</f>
        <v>0</v>
      </c>
      <c r="H675" s="1355"/>
      <c r="I675" s="1355"/>
      <c r="J675" s="1355"/>
      <c r="K675" s="1355"/>
      <c r="L675" s="1355"/>
      <c r="M675" s="1355"/>
      <c r="N675" s="1355"/>
      <c r="O675" s="1355"/>
      <c r="P675" s="1355"/>
      <c r="Q675" s="1355"/>
      <c r="R675" s="1355"/>
      <c r="T675" s="55" t="s">
        <v>653</v>
      </c>
      <c r="U675" t="s">
        <v>470</v>
      </c>
      <c r="Z675" s="1355">
        <f>C636</f>
        <v>0</v>
      </c>
      <c r="AA675" s="1355"/>
      <c r="AB675" s="1355"/>
      <c r="AC675" s="1355"/>
      <c r="AD675" s="1355"/>
      <c r="AE675" s="1355"/>
      <c r="AF675" s="1355"/>
      <c r="AG675" s="1355"/>
      <c r="AH675" s="1355"/>
      <c r="AI675" s="1355"/>
      <c r="AJ675" s="1355"/>
      <c r="AK675" s="1355"/>
      <c r="AZ675" s="3"/>
      <c r="BA675" s="118">
        <f t="shared" si="49"/>
        <v>3088</v>
      </c>
      <c r="BB675" s="3"/>
      <c r="BC675" s="3"/>
      <c r="BD675" s="3"/>
      <c r="BE675" s="3"/>
      <c r="BF675" s="218"/>
      <c r="BG675" s="316">
        <f t="shared" si="50"/>
        <v>16</v>
      </c>
      <c r="BH675" s="319">
        <f t="shared" si="51"/>
        <v>0.13008130081300814</v>
      </c>
      <c r="BI675" s="320">
        <f t="shared" si="52"/>
        <v>6.5040650406504072E-2</v>
      </c>
      <c r="BJ675" s="3"/>
      <c r="BK675" s="3"/>
      <c r="BL675" s="3"/>
      <c r="BM675" s="3"/>
      <c r="BN675" s="3"/>
      <c r="BO675" s="3"/>
      <c r="BT675" s="316">
        <f t="shared" si="53"/>
        <v>16</v>
      </c>
      <c r="BU675" s="319">
        <f t="shared" si="54"/>
        <v>0.13008130081300814</v>
      </c>
      <c r="BV675" s="320">
        <f t="shared" si="55"/>
        <v>6.5040650406504072E-2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357"/>
      <c r="H676" s="1357"/>
      <c r="I676" s="1357"/>
      <c r="J676" s="1357"/>
      <c r="K676" s="1357"/>
      <c r="L676" s="1357"/>
      <c r="M676" s="1357"/>
      <c r="N676" s="1357"/>
      <c r="O676" s="1357"/>
      <c r="P676" s="1357"/>
      <c r="Q676" s="1357"/>
      <c r="R676" s="1357"/>
      <c r="T676" s="22"/>
      <c r="U676" t="s">
        <v>85</v>
      </c>
      <c r="Z676" s="1357"/>
      <c r="AA676" s="1357"/>
      <c r="AB676" s="1357"/>
      <c r="AC676" s="1357"/>
      <c r="AD676" s="1357"/>
      <c r="AE676" s="1357"/>
      <c r="AF676" s="1357"/>
      <c r="AG676" s="1357"/>
      <c r="AH676" s="1357"/>
      <c r="AI676" s="1357"/>
      <c r="AJ676" s="1357"/>
      <c r="AK676" s="1357"/>
      <c r="AZ676" s="3"/>
      <c r="BA676" s="118">
        <f t="shared" si="49"/>
        <v>3706</v>
      </c>
      <c r="BB676" s="3"/>
      <c r="BC676" s="3"/>
      <c r="BD676" s="3"/>
      <c r="BE676" s="3"/>
      <c r="BF676" s="218"/>
      <c r="BG676" s="316">
        <f t="shared" si="50"/>
        <v>16</v>
      </c>
      <c r="BH676" s="319">
        <f t="shared" si="51"/>
        <v>0.13008130081300814</v>
      </c>
      <c r="BI676" s="320">
        <f t="shared" si="52"/>
        <v>7.8048780487804878E-2</v>
      </c>
      <c r="BJ676" s="3"/>
      <c r="BK676" s="3"/>
      <c r="BL676" s="3"/>
      <c r="BM676" s="3"/>
      <c r="BN676" s="3"/>
      <c r="BO676" s="3"/>
      <c r="BT676" s="316">
        <f t="shared" si="53"/>
        <v>16</v>
      </c>
      <c r="BU676" s="319">
        <f t="shared" si="54"/>
        <v>0.13008130081300814</v>
      </c>
      <c r="BV676" s="320">
        <f t="shared" si="55"/>
        <v>7.8057205442520761E-2</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587</v>
      </c>
      <c r="G677" s="1357"/>
      <c r="H677" s="1357"/>
      <c r="I677" s="1357"/>
      <c r="J677" s="1357"/>
      <c r="K677" s="1357"/>
      <c r="L677" s="1357"/>
      <c r="M677" s="1357"/>
      <c r="N677" s="1357"/>
      <c r="O677" s="1357"/>
      <c r="P677" s="1357"/>
      <c r="Q677" s="1357"/>
      <c r="R677" s="1357"/>
      <c r="T677" s="22"/>
      <c r="U677" t="s">
        <v>587</v>
      </c>
      <c r="Z677" s="1371"/>
      <c r="AA677" s="1371"/>
      <c r="AB677" s="1371"/>
      <c r="AC677" s="1371"/>
      <c r="AD677" s="1371"/>
      <c r="AE677" s="1371"/>
      <c r="AF677" s="1371"/>
      <c r="AG677" s="1371"/>
      <c r="AH677" s="1371"/>
      <c r="AI677" s="1371"/>
      <c r="AJ677" s="1371"/>
      <c r="AK677" s="1371"/>
      <c r="AZ677" s="3"/>
      <c r="BA677" s="118">
        <f t="shared" si="49"/>
        <v>3706</v>
      </c>
      <c r="BB677" s="3"/>
      <c r="BC677" s="3"/>
      <c r="BD677" s="3"/>
      <c r="BE677" s="3"/>
      <c r="BF677" s="218"/>
      <c r="BG677" s="316">
        <f t="shared" si="50"/>
        <v>5</v>
      </c>
      <c r="BH677" s="319">
        <f t="shared" si="51"/>
        <v>4.065040650406504E-2</v>
      </c>
      <c r="BI677" s="320">
        <f t="shared" si="52"/>
        <v>1.2195121951219511E-2</v>
      </c>
      <c r="BJ677" s="3"/>
      <c r="BK677" s="3"/>
      <c r="BL677" s="3"/>
      <c r="BM677" s="3"/>
      <c r="BN677" s="3"/>
      <c r="BO677" s="3"/>
      <c r="BT677" s="316">
        <f t="shared" si="53"/>
        <v>5</v>
      </c>
      <c r="BU677" s="319">
        <f t="shared" si="54"/>
        <v>4.065040650406504E-2</v>
      </c>
      <c r="BV677" s="320">
        <f t="shared" si="55"/>
        <v>1.2197315713038403E-2</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357"/>
      <c r="H678" s="1357"/>
      <c r="I678" s="1357"/>
      <c r="J678" s="1357"/>
      <c r="K678" s="1357"/>
      <c r="L678" s="1357"/>
      <c r="M678" s="1357"/>
      <c r="N678" s="1357"/>
      <c r="O678" s="1357"/>
      <c r="P678" s="1357"/>
      <c r="Q678" s="1357"/>
      <c r="R678" s="1357"/>
      <c r="T678" s="22"/>
      <c r="U678" t="s">
        <v>17</v>
      </c>
      <c r="Z678" s="1371"/>
      <c r="AA678" s="1371"/>
      <c r="AB678" s="1371"/>
      <c r="AC678" s="1371"/>
      <c r="AD678" s="1371"/>
      <c r="AE678" s="1371"/>
      <c r="AF678" s="1371"/>
      <c r="AG678" s="1371"/>
      <c r="AH678" s="1371"/>
      <c r="AI678" s="1371"/>
      <c r="AJ678" s="1371"/>
      <c r="AK678" s="1371"/>
      <c r="AZ678" s="3"/>
      <c r="BA678" s="118">
        <f t="shared" si="49"/>
        <v>3706</v>
      </c>
      <c r="BB678" s="3"/>
      <c r="BC678" s="3"/>
      <c r="BD678" s="3"/>
      <c r="BE678" s="3"/>
      <c r="BF678" s="218"/>
      <c r="BG678" s="316">
        <f t="shared" si="50"/>
        <v>1</v>
      </c>
      <c r="BH678" s="319">
        <f t="shared" si="51"/>
        <v>8.130081300813009E-3</v>
      </c>
      <c r="BI678" s="320">
        <f t="shared" si="52"/>
        <v>3.2520325203252037E-3</v>
      </c>
      <c r="BJ678" s="3"/>
      <c r="BK678" s="3"/>
      <c r="BL678" s="3"/>
      <c r="BM678" s="3"/>
      <c r="BN678" s="3"/>
      <c r="BO678" s="3"/>
      <c r="BT678" s="316">
        <f t="shared" si="53"/>
        <v>1</v>
      </c>
      <c r="BU678" s="319">
        <f t="shared" si="54"/>
        <v>8.130081300813009E-3</v>
      </c>
      <c r="BV678" s="320">
        <f t="shared" si="55"/>
        <v>3.2533487774165384E-3</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316</v>
      </c>
      <c r="G679" s="1460"/>
      <c r="H679" s="1460"/>
      <c r="I679" s="1460"/>
      <c r="J679" s="1460"/>
      <c r="K679" s="1460"/>
      <c r="L679" s="1460"/>
      <c r="O679" s="33" t="s">
        <v>206</v>
      </c>
      <c r="P679" s="1455"/>
      <c r="Q679" s="1455"/>
      <c r="R679" s="1455"/>
      <c r="T679" s="22"/>
      <c r="U679" t="s">
        <v>316</v>
      </c>
      <c r="Z679" s="1460"/>
      <c r="AA679" s="1460"/>
      <c r="AB679" s="1460"/>
      <c r="AC679" s="1460"/>
      <c r="AD679" s="1460"/>
      <c r="AE679" s="1460"/>
      <c r="AH679" s="33" t="s">
        <v>206</v>
      </c>
      <c r="AI679" s="1455"/>
      <c r="AJ679" s="1455"/>
      <c r="AK679" s="1455"/>
      <c r="AZ679" s="3"/>
      <c r="BA679" s="118">
        <f t="shared" si="49"/>
        <v>3706</v>
      </c>
      <c r="BB679" s="3"/>
      <c r="BC679" s="3"/>
      <c r="BD679" s="3"/>
      <c r="BE679" s="3"/>
      <c r="BF679" s="218"/>
      <c r="BG679" s="316">
        <f t="shared" si="50"/>
        <v>3</v>
      </c>
      <c r="BH679" s="319">
        <f t="shared" si="51"/>
        <v>2.4390243902439025E-2</v>
      </c>
      <c r="BI679" s="320">
        <f t="shared" si="52"/>
        <v>9.7560975609756115E-3</v>
      </c>
      <c r="BJ679" s="3"/>
      <c r="BK679" s="3"/>
      <c r="BL679" s="3"/>
      <c r="BM679" s="3"/>
      <c r="BN679" s="3"/>
      <c r="BO679" s="3"/>
      <c r="BT679" s="316">
        <f t="shared" si="53"/>
        <v>3</v>
      </c>
      <c r="BU679" s="319">
        <f t="shared" si="54"/>
        <v>2.4390243902439025E-2</v>
      </c>
      <c r="BV679" s="320">
        <f t="shared" si="55"/>
        <v>9.7600463322496146E-3</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357"/>
      <c r="I680" s="1357"/>
      <c r="J680" s="1357"/>
      <c r="K680" s="1357"/>
      <c r="L680" s="1357"/>
      <c r="M680" s="1357"/>
      <c r="N680" s="1357"/>
      <c r="O680" s="1357"/>
      <c r="P680" s="1357"/>
      <c r="Q680" s="1357"/>
      <c r="R680" s="1357"/>
      <c r="T680" s="22"/>
      <c r="U680" t="s">
        <v>18</v>
      </c>
      <c r="AA680" s="1357"/>
      <c r="AB680" s="1357"/>
      <c r="AC680" s="1357"/>
      <c r="AD680" s="1357"/>
      <c r="AE680" s="1357"/>
      <c r="AF680" s="1357"/>
      <c r="AG680" s="1357"/>
      <c r="AH680" s="1357"/>
      <c r="AI680" s="1357"/>
      <c r="AJ680" s="1357"/>
      <c r="AK680" s="1357"/>
      <c r="AZ680" s="3"/>
      <c r="BA680" s="118">
        <f t="shared" si="49"/>
        <v>3706</v>
      </c>
      <c r="BB680" s="3"/>
      <c r="BC680" s="3"/>
      <c r="BD680" s="3"/>
      <c r="BE680" s="3"/>
      <c r="BF680" s="218"/>
      <c r="BG680" s="316">
        <f t="shared" si="50"/>
        <v>10</v>
      </c>
      <c r="BH680" s="319">
        <f t="shared" si="51"/>
        <v>8.1300813008130079E-2</v>
      </c>
      <c r="BI680" s="320">
        <f t="shared" si="52"/>
        <v>4.065040650406504E-2</v>
      </c>
      <c r="BJ680" s="3"/>
      <c r="BK680" s="3"/>
      <c r="BL680" s="3"/>
      <c r="BM680" s="3"/>
      <c r="BN680" s="3"/>
      <c r="BO680" s="3"/>
      <c r="BT680" s="316">
        <f t="shared" si="53"/>
        <v>10</v>
      </c>
      <c r="BU680" s="319">
        <f t="shared" si="54"/>
        <v>8.1300813008130079E-2</v>
      </c>
      <c r="BV680" s="320">
        <f t="shared" si="55"/>
        <v>4.065040650406504E-2</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358" t="s">
        <v>676</v>
      </c>
      <c r="O681" s="1358"/>
      <c r="T681" s="22"/>
      <c r="U681" t="s">
        <v>20</v>
      </c>
      <c r="AG681" s="1358" t="s">
        <v>676</v>
      </c>
      <c r="AH681" s="1358"/>
      <c r="AZ681" s="3"/>
      <c r="BA681" s="118">
        <f t="shared" si="49"/>
        <v>4282</v>
      </c>
      <c r="BB681" s="3"/>
      <c r="BC681" s="3"/>
      <c r="BD681" s="3"/>
      <c r="BE681" s="3"/>
      <c r="BF681" s="218"/>
      <c r="BG681" s="316">
        <f t="shared" si="50"/>
        <v>12</v>
      </c>
      <c r="BH681" s="319">
        <f t="shared" si="51"/>
        <v>9.7560975609756101E-2</v>
      </c>
      <c r="BI681" s="320">
        <f t="shared" si="52"/>
        <v>5.8536585365853655E-2</v>
      </c>
      <c r="BJ681" s="3"/>
      <c r="BK681" s="3"/>
      <c r="BL681" s="3"/>
      <c r="BM681" s="3"/>
      <c r="BN681" s="3"/>
      <c r="BO681" s="3"/>
      <c r="BT681" s="316">
        <f t="shared" si="53"/>
        <v>12</v>
      </c>
      <c r="BU681" s="319">
        <f t="shared" si="54"/>
        <v>9.7560975609756101E-2</v>
      </c>
      <c r="BV681" s="320">
        <f t="shared" si="55"/>
        <v>5.8547115422584339E-2</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f t="shared" si="49"/>
        <v>4282</v>
      </c>
      <c r="BB682" s="3"/>
      <c r="BC682" s="3"/>
      <c r="BD682" s="3"/>
      <c r="BE682" s="3"/>
      <c r="BF682" s="218"/>
      <c r="BG682" s="316">
        <f t="shared" si="50"/>
        <v>5</v>
      </c>
      <c r="BH682" s="319">
        <f t="shared" si="51"/>
        <v>4.065040650406504E-2</v>
      </c>
      <c r="BI682" s="320">
        <f t="shared" si="52"/>
        <v>1.2195121951219511E-2</v>
      </c>
      <c r="BJ682" s="3"/>
      <c r="BK682" s="3"/>
      <c r="BL682" s="3"/>
      <c r="BM682" s="3"/>
      <c r="BN682" s="3"/>
      <c r="BO682" s="3"/>
      <c r="BT682" s="316">
        <f t="shared" si="53"/>
        <v>5</v>
      </c>
      <c r="BU682" s="319">
        <f t="shared" si="54"/>
        <v>4.065040650406504E-2</v>
      </c>
      <c r="BV682" s="320">
        <f t="shared" si="55"/>
        <v>1.2189425957781296E-2</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362</v>
      </c>
      <c r="B683" t="s">
        <v>470</v>
      </c>
      <c r="G683" s="1355">
        <f>C637</f>
        <v>0</v>
      </c>
      <c r="H683" s="1355"/>
      <c r="I683" s="1355"/>
      <c r="J683" s="1355"/>
      <c r="K683" s="1355"/>
      <c r="L683" s="1355"/>
      <c r="M683" s="1355"/>
      <c r="N683" s="1355"/>
      <c r="O683" s="1355"/>
      <c r="P683" s="1355"/>
      <c r="Q683" s="1355"/>
      <c r="R683" s="1355"/>
      <c r="T683" s="55" t="s">
        <v>363</v>
      </c>
      <c r="U683" t="s">
        <v>470</v>
      </c>
      <c r="Z683" s="1355">
        <f>C638</f>
        <v>0</v>
      </c>
      <c r="AA683" s="1355"/>
      <c r="AB683" s="1355"/>
      <c r="AC683" s="1355"/>
      <c r="AD683" s="1355"/>
      <c r="AE683" s="1355"/>
      <c r="AF683" s="1355"/>
      <c r="AG683" s="1355"/>
      <c r="AH683" s="1355"/>
      <c r="AI683" s="1355"/>
      <c r="AJ683" s="1355"/>
      <c r="AK683" s="1355"/>
      <c r="AZ683" s="3"/>
      <c r="BA683" s="118">
        <f t="shared" si="49"/>
        <v>4282</v>
      </c>
      <c r="BB683" s="3"/>
      <c r="BC683" s="3"/>
      <c r="BD683" s="3"/>
      <c r="BE683" s="3"/>
      <c r="BF683" s="218"/>
      <c r="BG683" s="316">
        <f t="shared" si="50"/>
        <v>1</v>
      </c>
      <c r="BH683" s="319">
        <f t="shared" si="51"/>
        <v>8.130081300813009E-3</v>
      </c>
      <c r="BI683" s="320">
        <f t="shared" si="52"/>
        <v>3.2520325203252037E-3</v>
      </c>
      <c r="BJ683" s="3"/>
      <c r="BK683" s="3"/>
      <c r="BL683" s="3"/>
      <c r="BM683" s="3"/>
      <c r="BN683" s="3"/>
      <c r="BO683" s="3"/>
      <c r="BT683" s="316">
        <f t="shared" si="53"/>
        <v>1</v>
      </c>
      <c r="BU683" s="319">
        <f t="shared" si="54"/>
        <v>8.130081300813009E-3</v>
      </c>
      <c r="BV683" s="320">
        <f t="shared" si="55"/>
        <v>3.2524122532210848E-3</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357"/>
      <c r="H684" s="1357"/>
      <c r="I684" s="1357"/>
      <c r="J684" s="1357"/>
      <c r="K684" s="1357"/>
      <c r="L684" s="1357"/>
      <c r="M684" s="1357"/>
      <c r="N684" s="1357"/>
      <c r="O684" s="1357"/>
      <c r="P684" s="1357"/>
      <c r="Q684" s="1357"/>
      <c r="R684" s="1357"/>
      <c r="T684" s="22"/>
      <c r="U684" t="s">
        <v>85</v>
      </c>
      <c r="Z684" s="1357"/>
      <c r="AA684" s="1357"/>
      <c r="AB684" s="1357"/>
      <c r="AC684" s="1357"/>
      <c r="AD684" s="1357"/>
      <c r="AE684" s="1357"/>
      <c r="AF684" s="1357"/>
      <c r="AG684" s="1357"/>
      <c r="AH684" s="1357"/>
      <c r="AI684" s="1357"/>
      <c r="AJ684" s="1357"/>
      <c r="AK684" s="1357"/>
      <c r="AZ684" s="3"/>
      <c r="BA684" s="118">
        <f t="shared" si="49"/>
        <v>4282</v>
      </c>
      <c r="BB684" s="3"/>
      <c r="BC684" s="3"/>
      <c r="BD684" s="3"/>
      <c r="BE684" s="3"/>
      <c r="BF684" s="218"/>
      <c r="BG684" s="316">
        <f t="shared" si="50"/>
        <v>3</v>
      </c>
      <c r="BH684" s="319">
        <f t="shared" si="51"/>
        <v>2.4390243902439025E-2</v>
      </c>
      <c r="BI684" s="320">
        <f t="shared" si="52"/>
        <v>9.7560975609756115E-3</v>
      </c>
      <c r="BJ684" s="3"/>
      <c r="BK684" s="3"/>
      <c r="BL684" s="3"/>
      <c r="BM684" s="3"/>
      <c r="BN684" s="3"/>
      <c r="BO684" s="3"/>
      <c r="BT684" s="316">
        <f t="shared" si="53"/>
        <v>3</v>
      </c>
      <c r="BU684" s="319">
        <f t="shared" si="54"/>
        <v>2.4390243902439025E-2</v>
      </c>
      <c r="BV684" s="320">
        <f t="shared" si="55"/>
        <v>9.7572367596632532E-3</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587</v>
      </c>
      <c r="G685" s="1357"/>
      <c r="H685" s="1357"/>
      <c r="I685" s="1357"/>
      <c r="J685" s="1357"/>
      <c r="K685" s="1357"/>
      <c r="L685" s="1357"/>
      <c r="M685" s="1357"/>
      <c r="N685" s="1357"/>
      <c r="O685" s="1357"/>
      <c r="P685" s="1357"/>
      <c r="Q685" s="1357"/>
      <c r="R685" s="1357"/>
      <c r="U685" t="s">
        <v>587</v>
      </c>
      <c r="Z685" s="1371"/>
      <c r="AA685" s="1371"/>
      <c r="AB685" s="1371"/>
      <c r="AC685" s="1371"/>
      <c r="AD685" s="1371"/>
      <c r="AE685" s="1371"/>
      <c r="AF685" s="1371"/>
      <c r="AG685" s="1371"/>
      <c r="AH685" s="1371"/>
      <c r="AI685" s="1371"/>
      <c r="AJ685" s="1371"/>
      <c r="AK685" s="1371"/>
      <c r="AZ685" s="3"/>
      <c r="BA685" s="118">
        <f t="shared" si="49"/>
        <v>4282</v>
      </c>
      <c r="BB685" s="3"/>
      <c r="BC685" s="3"/>
      <c r="BD685" s="3"/>
      <c r="BE685" s="3"/>
      <c r="BF685" s="218"/>
      <c r="BG685" s="316">
        <f t="shared" si="50"/>
        <v>10</v>
      </c>
      <c r="BH685" s="319">
        <f t="shared" si="51"/>
        <v>8.1300813008130079E-2</v>
      </c>
      <c r="BI685" s="320">
        <f t="shared" si="52"/>
        <v>4.065040650406504E-2</v>
      </c>
      <c r="BJ685" s="3"/>
      <c r="BK685" s="3"/>
      <c r="BL685" s="3"/>
      <c r="BM685" s="3"/>
      <c r="BN685" s="3"/>
      <c r="BO685" s="3"/>
      <c r="BT685" s="316">
        <f t="shared" si="53"/>
        <v>10</v>
      </c>
      <c r="BU685" s="319">
        <f t="shared" si="54"/>
        <v>8.1300813008130079E-2</v>
      </c>
      <c r="BV685" s="320">
        <f t="shared" si="55"/>
        <v>4.065040650406504E-2</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357"/>
      <c r="H686" s="1357"/>
      <c r="I686" s="1357"/>
      <c r="J686" s="1357"/>
      <c r="K686" s="1357"/>
      <c r="L686" s="1357"/>
      <c r="M686" s="1357"/>
      <c r="N686" s="1357"/>
      <c r="O686" s="1357"/>
      <c r="P686" s="1357"/>
      <c r="Q686" s="1357"/>
      <c r="R686" s="1357"/>
      <c r="U686" t="s">
        <v>17</v>
      </c>
      <c r="Z686" s="1371"/>
      <c r="AA686" s="1371"/>
      <c r="AB686" s="1371"/>
      <c r="AC686" s="1371"/>
      <c r="AD686" s="1371"/>
      <c r="AE686" s="1371"/>
      <c r="AF686" s="1371"/>
      <c r="AG686" s="1371"/>
      <c r="AH686" s="1371"/>
      <c r="AI686" s="1371"/>
      <c r="AJ686" s="1371"/>
      <c r="AK686" s="1371"/>
      <c r="AZ686" s="3"/>
      <c r="BA686" s="118" t="str">
        <f t="shared" si="49"/>
        <v>N/A</v>
      </c>
      <c r="BB686" s="3"/>
      <c r="BC686" s="3"/>
      <c r="BD686" s="3"/>
      <c r="BE686" s="3"/>
      <c r="BF686" s="218"/>
      <c r="BG686" s="316">
        <f t="shared" si="50"/>
        <v>12</v>
      </c>
      <c r="BH686" s="319">
        <f t="shared" si="51"/>
        <v>9.7560975609756101E-2</v>
      </c>
      <c r="BI686" s="320">
        <f t="shared" si="52"/>
        <v>5.8536585365853655E-2</v>
      </c>
      <c r="BJ686" s="3"/>
      <c r="BK686" s="3"/>
      <c r="BL686" s="3"/>
      <c r="BM686" s="3"/>
      <c r="BN686" s="3"/>
      <c r="BO686" s="3"/>
      <c r="BT686" s="316">
        <f t="shared" si="53"/>
        <v>12</v>
      </c>
      <c r="BU686" s="319">
        <f t="shared" si="54"/>
        <v>9.7560975609756101E-2</v>
      </c>
      <c r="BV686" s="320">
        <f t="shared" si="55"/>
        <v>5.8532028571103088E-2</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316</v>
      </c>
      <c r="G687" s="1460"/>
      <c r="H687" s="1460"/>
      <c r="I687" s="1460"/>
      <c r="J687" s="1460"/>
      <c r="K687" s="1460"/>
      <c r="L687" s="1460"/>
      <c r="O687" s="33" t="s">
        <v>206</v>
      </c>
      <c r="P687" s="1455"/>
      <c r="Q687" s="1455"/>
      <c r="R687" s="1455"/>
      <c r="U687" t="s">
        <v>316</v>
      </c>
      <c r="Z687" s="1460"/>
      <c r="AA687" s="1460"/>
      <c r="AB687" s="1460"/>
      <c r="AC687" s="1460"/>
      <c r="AD687" s="1460"/>
      <c r="AE687" s="1460"/>
      <c r="AH687" s="33" t="s">
        <v>206</v>
      </c>
      <c r="AI687" s="1455"/>
      <c r="AJ687" s="1455"/>
      <c r="AK687" s="1455"/>
      <c r="AZ687" s="3"/>
      <c r="BA687" s="118" t="str">
        <f t="shared" si="49"/>
        <v>N/A</v>
      </c>
      <c r="BB687" s="3"/>
      <c r="BC687" s="3"/>
      <c r="BD687" s="3"/>
      <c r="BE687" s="3"/>
      <c r="BF687" s="218"/>
      <c r="BG687" s="316">
        <f t="shared" si="50"/>
        <v>0</v>
      </c>
      <c r="BH687" s="319">
        <f t="shared" si="51"/>
        <v>0</v>
      </c>
      <c r="BI687" s="320" t="str">
        <f t="shared" si="52"/>
        <v/>
      </c>
      <c r="BJ687" s="3"/>
      <c r="BK687" s="3"/>
      <c r="BL687" s="3"/>
      <c r="BM687" s="3"/>
      <c r="BN687" s="3"/>
      <c r="BO687" s="3"/>
      <c r="BT687" s="316">
        <f t="shared" si="53"/>
        <v>0</v>
      </c>
      <c r="BU687" s="319">
        <f t="shared" si="54"/>
        <v>0</v>
      </c>
      <c r="BV687" s="320" t="str">
        <f t="shared" si="55"/>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357"/>
      <c r="I688" s="1357"/>
      <c r="J688" s="1357"/>
      <c r="K688" s="1357"/>
      <c r="L688" s="1357"/>
      <c r="M688" s="1357"/>
      <c r="N688" s="1357"/>
      <c r="O688" s="1357"/>
      <c r="P688" s="1357"/>
      <c r="Q688" s="1357"/>
      <c r="R688" s="1357"/>
      <c r="U688" t="s">
        <v>18</v>
      </c>
      <c r="AA688" s="1357"/>
      <c r="AB688" s="1357"/>
      <c r="AC688" s="1357"/>
      <c r="AD688" s="1357"/>
      <c r="AE688" s="1357"/>
      <c r="AF688" s="1357"/>
      <c r="AG688" s="1357"/>
      <c r="AH688" s="1357"/>
      <c r="AI688" s="1357"/>
      <c r="AJ688" s="1357"/>
      <c r="AK688" s="1357"/>
      <c r="AZ688" s="3"/>
      <c r="BA688" s="118" t="str">
        <f t="shared" si="49"/>
        <v>N/A</v>
      </c>
      <c r="BB688" s="3"/>
      <c r="BF688" s="218"/>
      <c r="BG688" s="316">
        <f t="shared" si="50"/>
        <v>0</v>
      </c>
      <c r="BH688" s="319">
        <f t="shared" si="51"/>
        <v>0</v>
      </c>
      <c r="BI688" s="320" t="str">
        <f t="shared" si="52"/>
        <v/>
      </c>
      <c r="BL688" s="3"/>
      <c r="BM688" s="3"/>
      <c r="BN688" s="3"/>
      <c r="BO688" s="3"/>
      <c r="BT688" s="316">
        <f t="shared" si="53"/>
        <v>0</v>
      </c>
      <c r="BU688" s="319">
        <f t="shared" si="54"/>
        <v>0</v>
      </c>
      <c r="BV688" s="320" t="str">
        <f t="shared" si="55"/>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358" t="s">
        <v>676</v>
      </c>
      <c r="O689" s="1358"/>
      <c r="U689" t="s">
        <v>20</v>
      </c>
      <c r="AG689" s="1358" t="s">
        <v>676</v>
      </c>
      <c r="AH689" s="1358"/>
      <c r="AZ689" s="3"/>
      <c r="BA689" s="118" t="str">
        <f t="shared" si="49"/>
        <v>N/A</v>
      </c>
      <c r="BB689" s="3"/>
      <c r="BF689" s="218"/>
      <c r="BG689" s="316">
        <f t="shared" si="50"/>
        <v>0</v>
      </c>
      <c r="BH689" s="319">
        <f t="shared" si="51"/>
        <v>0</v>
      </c>
      <c r="BI689" s="320" t="str">
        <f t="shared" si="52"/>
        <v/>
      </c>
      <c r="BL689" s="3"/>
      <c r="BM689" s="3"/>
      <c r="BN689" s="3"/>
      <c r="BO689" s="3"/>
      <c r="BT689" s="316">
        <f t="shared" si="53"/>
        <v>0</v>
      </c>
      <c r="BU689" s="319">
        <f t="shared" si="54"/>
        <v>0</v>
      </c>
      <c r="BV689" s="320" t="str">
        <f t="shared" si="55"/>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9"/>
        <v>N/A</v>
      </c>
      <c r="BB690" s="3"/>
      <c r="BF690" s="218"/>
      <c r="BG690" s="316">
        <f t="shared" si="50"/>
        <v>0</v>
      </c>
      <c r="BH690" s="319">
        <f t="shared" si="51"/>
        <v>0</v>
      </c>
      <c r="BI690" s="320" t="str">
        <f t="shared" si="52"/>
        <v/>
      </c>
      <c r="BL690" s="3"/>
      <c r="BM690" s="3"/>
      <c r="BN690" s="3"/>
      <c r="BO690" s="3"/>
      <c r="BT690" s="316">
        <f t="shared" si="53"/>
        <v>0</v>
      </c>
      <c r="BU690" s="319">
        <f t="shared" si="54"/>
        <v>0</v>
      </c>
      <c r="BV690" s="320" t="str">
        <f t="shared" si="55"/>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583</v>
      </c>
      <c r="C691" s="2" t="s">
        <v>327</v>
      </c>
      <c r="E691" s="130"/>
      <c r="F691" s="130"/>
      <c r="G691" s="130"/>
      <c r="H691" s="130"/>
      <c r="AZ691" s="3"/>
      <c r="BA691" s="118" t="str">
        <f t="shared" si="49"/>
        <v>N/A</v>
      </c>
      <c r="BB691" s="3"/>
      <c r="BF691" s="218"/>
      <c r="BG691" s="316">
        <f t="shared" si="50"/>
        <v>0</v>
      </c>
      <c r="BH691" s="319">
        <f t="shared" si="51"/>
        <v>0</v>
      </c>
      <c r="BI691" s="320" t="str">
        <f t="shared" si="52"/>
        <v/>
      </c>
      <c r="BL691" s="3"/>
      <c r="BM691" s="3"/>
      <c r="BN691" s="3"/>
      <c r="BO691" s="3"/>
      <c r="BT691" s="316">
        <f t="shared" si="53"/>
        <v>0</v>
      </c>
      <c r="BU691" s="319">
        <f t="shared" si="54"/>
        <v>0</v>
      </c>
      <c r="BV691" s="320" t="str">
        <f t="shared" si="55"/>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435</v>
      </c>
      <c r="E692" s="135"/>
      <c r="F692" s="135"/>
      <c r="G692" s="135"/>
      <c r="H692" s="135"/>
      <c r="AZ692" s="3"/>
      <c r="BA692" s="118" t="str">
        <f t="shared" si="49"/>
        <v>N/A</v>
      </c>
      <c r="BB692" s="3"/>
      <c r="BC692" s="3"/>
      <c r="BF692" s="218"/>
      <c r="BG692" s="316">
        <f t="shared" si="50"/>
        <v>0</v>
      </c>
      <c r="BH692" s="319">
        <f t="shared" si="51"/>
        <v>0</v>
      </c>
      <c r="BI692" s="320" t="str">
        <f t="shared" ref="BI692:BI697" si="56">IF(BH692=0,"",BH692*AC752)</f>
        <v/>
      </c>
      <c r="BM692" s="3"/>
      <c r="BN692" s="3"/>
      <c r="BO692" s="3"/>
      <c r="BT692" s="316">
        <f t="shared" si="53"/>
        <v>0</v>
      </c>
      <c r="BU692" s="319">
        <f t="shared" si="54"/>
        <v>0</v>
      </c>
      <c r="BV692" s="320" t="str">
        <f t="shared" si="55"/>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436</v>
      </c>
      <c r="F693" s="135"/>
      <c r="G693" s="135"/>
      <c r="H693" s="135"/>
      <c r="AE693" s="1358" t="s">
        <v>552</v>
      </c>
      <c r="AF693" s="1358"/>
      <c r="AZ693" s="3"/>
      <c r="BA693" s="118" t="str">
        <f t="shared" si="49"/>
        <v>N/A</v>
      </c>
      <c r="BB693" s="3"/>
      <c r="BC693" s="3"/>
      <c r="BD693" s="3"/>
      <c r="BG693" s="316">
        <f t="shared" si="50"/>
        <v>0</v>
      </c>
      <c r="BH693" s="319">
        <f t="shared" si="51"/>
        <v>0</v>
      </c>
      <c r="BI693" s="320" t="str">
        <f t="shared" si="56"/>
        <v/>
      </c>
      <c r="BT693" s="316">
        <f t="shared" si="53"/>
        <v>0</v>
      </c>
      <c r="BU693" s="319">
        <f t="shared" si="54"/>
        <v>0</v>
      </c>
      <c r="BV693" s="320" t="str">
        <f t="shared" si="55"/>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439</v>
      </c>
      <c r="E694" s="135"/>
      <c r="F694" s="135"/>
      <c r="G694" s="135"/>
      <c r="H694" s="135"/>
      <c r="AE694" s="1358" t="s">
        <v>676</v>
      </c>
      <c r="AF694" s="1358"/>
      <c r="AZ694" s="3"/>
      <c r="BA694" s="118" t="str">
        <f t="shared" si="49"/>
        <v>N/A</v>
      </c>
      <c r="BB694" s="3"/>
      <c r="BC694" s="3"/>
      <c r="BD694" s="3"/>
      <c r="BE694" s="3"/>
      <c r="BF694" s="3"/>
      <c r="BG694" s="316">
        <f t="shared" si="50"/>
        <v>0</v>
      </c>
      <c r="BH694" s="319">
        <f t="shared" si="51"/>
        <v>0</v>
      </c>
      <c r="BI694" s="320" t="str">
        <f t="shared" si="56"/>
        <v/>
      </c>
      <c r="BJ694" s="3"/>
      <c r="BK694" s="3"/>
      <c r="BL694" s="3"/>
      <c r="BM694" s="3"/>
      <c r="BN694" s="3"/>
      <c r="BO694" s="3"/>
      <c r="BT694" s="316">
        <f t="shared" si="53"/>
        <v>0</v>
      </c>
      <c r="BU694" s="319">
        <f t="shared" si="54"/>
        <v>0</v>
      </c>
      <c r="BV694" s="320" t="str">
        <f t="shared" si="55"/>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938</v>
      </c>
      <c r="E695" s="135"/>
      <c r="F695" s="135"/>
      <c r="G695" s="135"/>
      <c r="H695" s="135"/>
      <c r="AE695" s="1496">
        <v>45405</v>
      </c>
      <c r="AF695" s="1496"/>
      <c r="AG695" s="1496"/>
      <c r="AH695" s="1496"/>
      <c r="AI695" s="1496"/>
      <c r="AZ695" s="3"/>
      <c r="BA695" s="118" t="str">
        <f t="shared" si="49"/>
        <v>N/A</v>
      </c>
      <c r="BB695" s="3"/>
      <c r="BC695" s="3"/>
      <c r="BD695" s="3"/>
      <c r="BE695" s="3"/>
      <c r="BF695" s="3"/>
      <c r="BG695" s="316">
        <f t="shared" si="50"/>
        <v>0</v>
      </c>
      <c r="BH695" s="319">
        <f t="shared" si="51"/>
        <v>0</v>
      </c>
      <c r="BI695" s="320" t="str">
        <f t="shared" si="56"/>
        <v/>
      </c>
      <c r="BJ695" s="3"/>
      <c r="BK695" s="3"/>
      <c r="BL695" s="3"/>
      <c r="BM695" s="3"/>
      <c r="BN695" s="3"/>
      <c r="BO695" s="3"/>
      <c r="BT695" s="316">
        <f t="shared" si="53"/>
        <v>0</v>
      </c>
      <c r="BU695" s="319">
        <f t="shared" si="54"/>
        <v>0</v>
      </c>
      <c r="BV695" s="320" t="str">
        <f t="shared" si="55"/>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1000</v>
      </c>
      <c r="E696" s="135"/>
      <c r="F696" s="135"/>
      <c r="G696" s="135"/>
      <c r="H696" s="135"/>
      <c r="AE696" s="1778">
        <v>45511</v>
      </c>
      <c r="AF696" s="1778"/>
      <c r="AG696" s="1778"/>
      <c r="AH696" s="1778"/>
      <c r="AI696" s="1778"/>
      <c r="AZ696" s="34"/>
      <c r="BA696" s="118" t="str">
        <f t="shared" si="49"/>
        <v>N/A</v>
      </c>
      <c r="BB696" s="34"/>
      <c r="BC696" s="34"/>
      <c r="BD696" s="34"/>
      <c r="BE696" s="34"/>
      <c r="BF696" s="34"/>
      <c r="BG696" s="316">
        <f t="shared" si="50"/>
        <v>0</v>
      </c>
      <c r="BH696" s="319">
        <f t="shared" si="51"/>
        <v>0</v>
      </c>
      <c r="BI696" s="320" t="str">
        <f t="shared" si="56"/>
        <v/>
      </c>
      <c r="BJ696" s="34"/>
      <c r="BK696" s="34"/>
      <c r="BL696" s="34"/>
      <c r="BM696" s="34"/>
      <c r="BN696" s="34"/>
      <c r="BO696" s="34"/>
      <c r="BT696" s="316">
        <f t="shared" si="53"/>
        <v>0</v>
      </c>
      <c r="BU696" s="319">
        <f t="shared" si="54"/>
        <v>0</v>
      </c>
      <c r="BV696" s="320" t="str">
        <f t="shared" si="55"/>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9"/>
        <v>N/A</v>
      </c>
      <c r="BB697" s="34"/>
      <c r="BC697" s="34"/>
      <c r="BD697" s="34"/>
      <c r="BE697" s="34"/>
      <c r="BF697" s="34"/>
      <c r="BG697" s="316">
        <f t="shared" si="50"/>
        <v>0</v>
      </c>
      <c r="BH697" s="319">
        <f t="shared" si="51"/>
        <v>0</v>
      </c>
      <c r="BI697" s="320" t="str">
        <f t="shared" si="56"/>
        <v/>
      </c>
      <c r="BJ697" s="34"/>
      <c r="BK697" s="34"/>
      <c r="BL697" s="34"/>
      <c r="BM697" s="34"/>
      <c r="BN697" s="34"/>
      <c r="BO697" s="34"/>
      <c r="BT697" s="316">
        <f t="shared" si="53"/>
        <v>0</v>
      </c>
      <c r="BU697" s="319">
        <f t="shared" si="54"/>
        <v>0</v>
      </c>
      <c r="BV697" s="320" t="str">
        <f t="shared" si="55"/>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824</v>
      </c>
      <c r="E698" s="135"/>
      <c r="F698" s="135"/>
      <c r="G698" s="135"/>
      <c r="H698" s="135"/>
      <c r="AE698" s="1496">
        <v>45689</v>
      </c>
      <c r="AF698" s="1496"/>
      <c r="AG698" s="1496"/>
      <c r="AH698" s="1496"/>
      <c r="AI698" s="1496"/>
      <c r="AZ698" s="34"/>
      <c r="BA698" s="118" t="str">
        <f t="shared" si="49"/>
        <v>N/A</v>
      </c>
      <c r="BB698" s="34"/>
      <c r="BC698" s="34"/>
      <c r="BD698" s="34"/>
      <c r="BE698" s="34"/>
      <c r="BF698" s="34"/>
      <c r="BG698" s="316">
        <f t="shared" si="50"/>
        <v>0</v>
      </c>
      <c r="BH698" s="319">
        <f t="shared" si="51"/>
        <v>0</v>
      </c>
      <c r="BI698" s="320" t="str">
        <f>IF(BH698=0,"",BH698*AC759)</f>
        <v/>
      </c>
      <c r="BJ698" s="3"/>
      <c r="BK698" s="34"/>
      <c r="BL698" s="34"/>
      <c r="BM698" s="34"/>
      <c r="BN698" s="34"/>
      <c r="BO698" s="34"/>
      <c r="BT698" s="316">
        <f t="shared" si="53"/>
        <v>0</v>
      </c>
      <c r="BU698" s="319">
        <f t="shared" si="54"/>
        <v>0</v>
      </c>
      <c r="BV698" s="320" t="str">
        <f t="shared" si="55"/>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437</v>
      </c>
      <c r="E699" s="135"/>
      <c r="F699" s="135"/>
      <c r="G699" s="135"/>
      <c r="H699" s="135"/>
      <c r="AE699" s="1777">
        <v>0.54120000000000001</v>
      </c>
      <c r="AF699" s="1777"/>
      <c r="AG699" s="1777"/>
      <c r="AH699" s="1777"/>
      <c r="AI699" s="1777"/>
      <c r="AZ699" s="34"/>
      <c r="BA699" s="118" t="str">
        <f t="shared" si="49"/>
        <v>N/A</v>
      </c>
      <c r="BB699" s="34"/>
      <c r="BC699" s="34"/>
      <c r="BD699" s="34"/>
      <c r="BE699" s="34"/>
      <c r="BF699" s="34"/>
      <c r="BG699" s="316">
        <f t="shared" si="50"/>
        <v>0</v>
      </c>
      <c r="BH699" s="319">
        <f t="shared" si="51"/>
        <v>0</v>
      </c>
      <c r="BI699" s="320" t="str">
        <f>IF(BH699=0,"",BH699*AC760)</f>
        <v/>
      </c>
      <c r="BJ699" s="3"/>
      <c r="BK699" s="34"/>
      <c r="BL699" s="34"/>
      <c r="BM699" s="34"/>
      <c r="BN699" s="34"/>
      <c r="BO699" s="34"/>
      <c r="BT699" s="316">
        <f t="shared" si="53"/>
        <v>0</v>
      </c>
      <c r="BU699" s="319">
        <f t="shared" si="54"/>
        <v>0</v>
      </c>
      <c r="BV699" s="320" t="str">
        <f t="shared" si="55"/>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438</v>
      </c>
      <c r="E700" s="135"/>
      <c r="F700" s="135"/>
      <c r="G700" s="135"/>
      <c r="H700" s="135"/>
      <c r="W700" s="1355" t="str">
        <f>H335</f>
        <v>California Municipal Finance Authority</v>
      </c>
      <c r="X700" s="1355"/>
      <c r="Y700" s="1355"/>
      <c r="Z700" s="1355"/>
      <c r="AA700" s="1355"/>
      <c r="AB700" s="1355"/>
      <c r="AC700" s="1355"/>
      <c r="AD700" s="1355"/>
      <c r="AE700" s="1355"/>
      <c r="AF700" s="1355"/>
      <c r="AG700" s="1355"/>
      <c r="AH700" s="1355"/>
      <c r="AI700" s="1355"/>
      <c r="AJ700" s="1355"/>
      <c r="AK700" s="1355"/>
      <c r="AZ700" s="34"/>
      <c r="BA700" s="118" t="str">
        <f>IF($G751=0,"N/A",VLOOKUP($T$189,TC_Rent,(MATCH($B751,bedrooms,FALSE))))</f>
        <v>N/A</v>
      </c>
      <c r="BB700" s="34"/>
      <c r="BC700" s="34"/>
      <c r="BD700" s="34"/>
      <c r="BE700" s="34"/>
      <c r="BF700" s="34"/>
      <c r="BG700" s="316">
        <f t="shared" si="50"/>
        <v>0</v>
      </c>
      <c r="BH700" s="319">
        <f t="shared" si="51"/>
        <v>0</v>
      </c>
      <c r="BI700" s="320" t="str">
        <f>IF(BH700=0,"",BH700*AC761)</f>
        <v/>
      </c>
      <c r="BJ700" s="3"/>
      <c r="BK700" s="34"/>
      <c r="BL700" s="34"/>
      <c r="BM700" s="34"/>
      <c r="BN700" s="34"/>
      <c r="BO700" s="34"/>
      <c r="BT700" s="316">
        <f t="shared" si="53"/>
        <v>0</v>
      </c>
      <c r="BU700" s="319">
        <f t="shared" si="54"/>
        <v>0</v>
      </c>
      <c r="BV700" s="320" t="str">
        <f t="shared" si="55"/>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7">G751</f>
        <v>0</v>
      </c>
      <c r="BH701" s="319">
        <f t="shared" si="51"/>
        <v>0</v>
      </c>
      <c r="BI701" s="320" t="str">
        <f>IF(BH701=0,"",BH701*AC762)</f>
        <v/>
      </c>
      <c r="BJ701" s="3"/>
      <c r="BK701" s="34"/>
      <c r="BL701" s="34"/>
      <c r="BM701" s="34"/>
      <c r="BN701" s="34"/>
      <c r="BO701" s="34"/>
      <c r="BT701" s="316">
        <f t="shared" ref="BT701" si="58">G751</f>
        <v>0</v>
      </c>
      <c r="BU701" s="319">
        <f t="shared" si="54"/>
        <v>0</v>
      </c>
      <c r="BV701" s="320" t="str">
        <f t="shared" ref="BV701" si="59">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440</v>
      </c>
      <c r="E702" s="135"/>
      <c r="F702" s="135"/>
      <c r="G702" s="135"/>
      <c r="H702" s="135"/>
      <c r="AE702" s="1358" t="s">
        <v>676</v>
      </c>
      <c r="AF702" s="1358"/>
      <c r="AZ702" s="34"/>
      <c r="BA702" s="34"/>
      <c r="BB702" s="34"/>
      <c r="BC702" s="34"/>
      <c r="BD702" s="34"/>
      <c r="BE702" s="3"/>
      <c r="BG702" s="316">
        <f>G752</f>
        <v>0</v>
      </c>
      <c r="BH702" s="319">
        <f t="shared" si="51"/>
        <v>0</v>
      </c>
      <c r="BI702" s="320" t="str">
        <f>IF(BH702=0,"",BH702*AC762)</f>
        <v/>
      </c>
      <c r="BJ702" s="3"/>
      <c r="BK702" s="34"/>
      <c r="BL702" s="34"/>
      <c r="BM702" s="34"/>
      <c r="BN702" s="34"/>
      <c r="BO702" s="34"/>
      <c r="BT702" s="894">
        <f>G752</f>
        <v>0</v>
      </c>
      <c r="BU702" s="319">
        <f t="shared" si="54"/>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443</v>
      </c>
      <c r="E703" s="135"/>
      <c r="F703" s="135"/>
      <c r="G703" s="135"/>
      <c r="H703" s="135"/>
      <c r="W703" s="1357"/>
      <c r="X703" s="1357"/>
      <c r="Y703" s="1357"/>
      <c r="Z703" s="1357"/>
      <c r="AA703" s="1357"/>
      <c r="AB703" s="1357"/>
      <c r="AC703" s="1357"/>
      <c r="AD703" s="1357"/>
      <c r="AE703" s="1357"/>
      <c r="AF703" s="1357"/>
      <c r="AG703" s="1357"/>
      <c r="AH703" s="1357"/>
      <c r="AI703" s="1357"/>
      <c r="AJ703" s="1357"/>
      <c r="AK703" s="1357"/>
      <c r="AZ703" s="34"/>
      <c r="BA703" s="34"/>
      <c r="BB703" s="34"/>
      <c r="BC703" s="34"/>
      <c r="BD703" s="34"/>
      <c r="BE703" s="3"/>
      <c r="BF703" s="312" t="s">
        <v>913</v>
      </c>
      <c r="BG703" s="321">
        <f>SUM(BG668:BG702)</f>
        <v>123</v>
      </c>
      <c r="BH703" s="322">
        <f>SUM(BH668:BH702)</f>
        <v>1.0000000000000002</v>
      </c>
      <c r="BI703" s="322">
        <f>SUM(BI668:BI702)</f>
        <v>0.49024390243902444</v>
      </c>
      <c r="BN703" s="3"/>
      <c r="BO703" s="3"/>
      <c r="BT703" s="893">
        <f>SUM(BT668:BT702)</f>
        <v>123</v>
      </c>
      <c r="BU703" s="322">
        <f>SUM(BU668:BU702)</f>
        <v>1.0000000000000002</v>
      </c>
      <c r="BV703" s="322">
        <f>SUM(BV668:BV702)</f>
        <v>0.49024394245240727</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357"/>
      <c r="K704" s="1357"/>
      <c r="L704" s="1357"/>
      <c r="M704" s="1357"/>
      <c r="N704" s="1357"/>
      <c r="O704" s="1357"/>
      <c r="P704" s="1357"/>
      <c r="Q704" s="1357"/>
      <c r="R704" s="1357"/>
      <c r="S704" s="1357"/>
      <c r="T704" s="1357"/>
      <c r="U704" s="1357"/>
      <c r="V704" s="1357"/>
      <c r="W704" s="1357"/>
      <c r="X704" s="1357"/>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460"/>
      <c r="K705" s="1460"/>
      <c r="L705" s="1460"/>
      <c r="M705" s="1460"/>
      <c r="N705" s="1460"/>
      <c r="O705" s="1460"/>
      <c r="P705" s="4" t="s">
        <v>206</v>
      </c>
      <c r="Q705" s="4"/>
      <c r="R705" s="1455"/>
      <c r="S705" s="1455"/>
      <c r="T705" s="1455"/>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444</v>
      </c>
      <c r="W706" s="1357" t="s">
        <v>307</v>
      </c>
      <c r="X706" s="1357"/>
      <c r="Y706" s="1357"/>
      <c r="Z706" s="1357"/>
      <c r="AA706" s="1357"/>
      <c r="AB706" s="1357"/>
      <c r="AC706" s="1357"/>
      <c r="AD706" s="1357"/>
      <c r="AE706" s="1357"/>
      <c r="AF706" s="1357"/>
      <c r="AG706" s="1357"/>
      <c r="AH706" s="1357"/>
      <c r="AI706" s="1357"/>
      <c r="AJ706" s="1357"/>
      <c r="AK706" s="1357"/>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357" t="s">
        <v>334</v>
      </c>
      <c r="F707" s="1357"/>
      <c r="G707" s="1357"/>
      <c r="H707" s="1357"/>
      <c r="I707" s="1357"/>
      <c r="J707" s="1357"/>
      <c r="K707" s="1357"/>
      <c r="L707" s="1357"/>
      <c r="M707" s="1357"/>
      <c r="N707" s="1357"/>
      <c r="O707" s="1357"/>
      <c r="P707" s="1357"/>
      <c r="Q707" s="1357"/>
      <c r="R707" s="1357"/>
      <c r="S707" s="1357"/>
      <c r="T707" s="1357"/>
      <c r="U707" s="1357"/>
      <c r="V707" s="1357"/>
      <c r="W707" s="1357"/>
      <c r="X707" s="1357"/>
      <c r="Y707" s="1357"/>
      <c r="Z707" s="1357"/>
      <c r="AA707" s="1357"/>
      <c r="AB707" s="1357"/>
      <c r="AC707" s="1357"/>
      <c r="AD707" s="1357"/>
      <c r="AE707" s="1357"/>
      <c r="AF707" s="1357"/>
      <c r="AG707" s="1357"/>
      <c r="AH707" s="1357"/>
      <c r="AI707" s="1357"/>
      <c r="AJ707" s="1357"/>
      <c r="AK707" s="1357"/>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66" t="s">
        <v>95</v>
      </c>
      <c r="B709" s="1266"/>
      <c r="C709" s="1266"/>
      <c r="D709" s="1266"/>
      <c r="E709" s="1266"/>
      <c r="F709" s="1266"/>
      <c r="G709" s="1266"/>
      <c r="H709" s="1266"/>
      <c r="I709" s="1266"/>
      <c r="J709" s="1266"/>
      <c r="K709" s="1266"/>
      <c r="L709" s="1266"/>
      <c r="M709" s="1266"/>
      <c r="N709" s="1266"/>
      <c r="O709" s="1266"/>
      <c r="P709" s="1266"/>
      <c r="Q709" s="1266"/>
      <c r="R709" s="1266"/>
      <c r="S709" s="1266"/>
      <c r="T709" s="1266"/>
      <c r="U709" s="1266"/>
      <c r="V709" s="1266"/>
      <c r="W709" s="1266"/>
      <c r="X709" s="1266"/>
      <c r="Y709" s="1266"/>
      <c r="Z709" s="1266"/>
      <c r="AA709" s="1266"/>
      <c r="AB709" s="1266"/>
      <c r="AC709" s="1266"/>
      <c r="AD709" s="1266"/>
      <c r="AE709" s="1266"/>
      <c r="AF709" s="1266"/>
      <c r="AG709" s="1266"/>
      <c r="AH709" s="1266"/>
      <c r="AI709" s="1266"/>
      <c r="AJ709" s="1266"/>
      <c r="AK709" s="1266"/>
      <c r="AL709" s="1266"/>
      <c r="AM709" s="1266"/>
      <c r="AN709" s="1266"/>
      <c r="AO709" s="1266"/>
      <c r="AP709" s="1266"/>
      <c r="AQ709" s="1266"/>
      <c r="AR709" s="1266"/>
      <c r="AS709" s="1266"/>
      <c r="AT709" s="1266"/>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66"/>
      <c r="B710" s="1266"/>
      <c r="C710" s="1266"/>
      <c r="D710" s="1266"/>
      <c r="E710" s="1266"/>
      <c r="F710" s="1266"/>
      <c r="G710" s="1266"/>
      <c r="H710" s="1266"/>
      <c r="I710" s="1266"/>
      <c r="J710" s="1266"/>
      <c r="K710" s="1266"/>
      <c r="L710" s="1266"/>
      <c r="M710" s="1266"/>
      <c r="N710" s="1266"/>
      <c r="O710" s="1266"/>
      <c r="P710" s="1266"/>
      <c r="Q710" s="1266"/>
      <c r="R710" s="1266"/>
      <c r="S710" s="1266"/>
      <c r="T710" s="1266"/>
      <c r="U710" s="1266"/>
      <c r="V710" s="1266"/>
      <c r="W710" s="1266"/>
      <c r="X710" s="1266"/>
      <c r="Y710" s="1266"/>
      <c r="Z710" s="1266"/>
      <c r="AA710" s="1266"/>
      <c r="AB710" s="1266"/>
      <c r="AC710" s="1266"/>
      <c r="AD710" s="1266"/>
      <c r="AE710" s="1266"/>
      <c r="AF710" s="1266"/>
      <c r="AG710" s="1266"/>
      <c r="AH710" s="1266"/>
      <c r="AI710" s="1266"/>
      <c r="AJ710" s="1266"/>
      <c r="AK710" s="1266"/>
      <c r="AL710" s="1266"/>
      <c r="AM710" s="1266"/>
      <c r="AN710" s="1266"/>
      <c r="AO710" s="1266"/>
      <c r="AP710" s="1266"/>
      <c r="AQ710" s="1266"/>
      <c r="AR710" s="1266"/>
      <c r="AS710" s="1266"/>
      <c r="AT710" s="1266"/>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66"/>
      <c r="B711" s="1266"/>
      <c r="C711" s="1266"/>
      <c r="D711" s="1266"/>
      <c r="E711" s="1266"/>
      <c r="F711" s="1266"/>
      <c r="G711" s="1266"/>
      <c r="H711" s="1266"/>
      <c r="I711" s="1266"/>
      <c r="J711" s="1266"/>
      <c r="K711" s="1266"/>
      <c r="L711" s="1266"/>
      <c r="M711" s="1266"/>
      <c r="N711" s="1266"/>
      <c r="O711" s="1266"/>
      <c r="P711" s="1266"/>
      <c r="Q711" s="1266"/>
      <c r="R711" s="1266"/>
      <c r="S711" s="1266"/>
      <c r="T711" s="1266"/>
      <c r="U711" s="1266"/>
      <c r="V711" s="1266"/>
      <c r="W711" s="1266"/>
      <c r="X711" s="1266"/>
      <c r="Y711" s="1266"/>
      <c r="Z711" s="1266"/>
      <c r="AA711" s="1266"/>
      <c r="AB711" s="1266"/>
      <c r="AC711" s="1266"/>
      <c r="AD711" s="1266"/>
      <c r="AE711" s="1266"/>
      <c r="AF711" s="1266"/>
      <c r="AG711" s="1266"/>
      <c r="AH711" s="1266"/>
      <c r="AI711" s="1266"/>
      <c r="AJ711" s="1266"/>
      <c r="AK711" s="1266"/>
      <c r="AL711" s="1266"/>
      <c r="AM711" s="1266"/>
      <c r="AN711" s="1266"/>
      <c r="AO711" s="1266"/>
      <c r="AP711" s="1266"/>
      <c r="AQ711" s="1266"/>
      <c r="AR711" s="1266"/>
      <c r="AS711" s="1266"/>
      <c r="AT711" s="1266"/>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467" t="s">
        <v>389</v>
      </c>
      <c r="C714" s="1468"/>
      <c r="D714" s="1468"/>
      <c r="E714" s="1468"/>
      <c r="F714" s="1469"/>
      <c r="G714" s="1467" t="s">
        <v>285</v>
      </c>
      <c r="H714" s="1468"/>
      <c r="I714" s="1468"/>
      <c r="J714" s="1469"/>
      <c r="K714" s="1476" t="s">
        <v>1866</v>
      </c>
      <c r="L714" s="1477"/>
      <c r="M714" s="1477"/>
      <c r="N714" s="1478"/>
      <c r="O714" s="1467" t="s">
        <v>454</v>
      </c>
      <c r="P714" s="1468"/>
      <c r="Q714" s="1468"/>
      <c r="R714" s="1468"/>
      <c r="S714" s="1469"/>
      <c r="T714" s="1483" t="s">
        <v>2250</v>
      </c>
      <c r="U714" s="1468"/>
      <c r="V714" s="1468"/>
      <c r="W714" s="1469"/>
      <c r="X714" s="1483" t="s">
        <v>2252</v>
      </c>
      <c r="Y714" s="1468"/>
      <c r="Z714" s="1468"/>
      <c r="AA714" s="1468"/>
      <c r="AB714" s="1469"/>
      <c r="AC714" s="1483" t="s">
        <v>2251</v>
      </c>
      <c r="AD714" s="1468"/>
      <c r="AE714" s="1468"/>
      <c r="AF714" s="1468"/>
      <c r="AG714" s="1469"/>
      <c r="AH714" s="1483" t="s">
        <v>2253</v>
      </c>
      <c r="AI714" s="1468"/>
      <c r="AJ714" s="1469"/>
      <c r="AK714" s="1483" t="s">
        <v>2287</v>
      </c>
      <c r="AL714" s="1468"/>
      <c r="AM714" s="1468"/>
      <c r="AN714" s="1468"/>
      <c r="AO714" s="1469"/>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470"/>
      <c r="C715" s="1471"/>
      <c r="D715" s="1471"/>
      <c r="E715" s="1471"/>
      <c r="F715" s="1472"/>
      <c r="G715" s="1470"/>
      <c r="H715" s="1471"/>
      <c r="I715" s="1471"/>
      <c r="J715" s="1472"/>
      <c r="K715" s="1479"/>
      <c r="L715" s="1480"/>
      <c r="M715" s="1480"/>
      <c r="N715" s="1481"/>
      <c r="O715" s="1470"/>
      <c r="P715" s="1471"/>
      <c r="Q715" s="1471"/>
      <c r="R715" s="1471"/>
      <c r="S715" s="1472"/>
      <c r="T715" s="1470"/>
      <c r="U715" s="1471"/>
      <c r="V715" s="1471"/>
      <c r="W715" s="1472"/>
      <c r="X715" s="1470"/>
      <c r="Y715" s="1471"/>
      <c r="Z715" s="1471"/>
      <c r="AA715" s="1471"/>
      <c r="AB715" s="1472"/>
      <c r="AC715" s="1470"/>
      <c r="AD715" s="1471"/>
      <c r="AE715" s="1471"/>
      <c r="AF715" s="1471"/>
      <c r="AG715" s="1472"/>
      <c r="AH715" s="1470"/>
      <c r="AI715" s="1471"/>
      <c r="AJ715" s="1472"/>
      <c r="AK715" s="1470"/>
      <c r="AL715" s="1471"/>
      <c r="AM715" s="1471"/>
      <c r="AN715" s="1471"/>
      <c r="AO715" s="1472"/>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470"/>
      <c r="C716" s="1471"/>
      <c r="D716" s="1471"/>
      <c r="E716" s="1471"/>
      <c r="F716" s="1472"/>
      <c r="G716" s="1470"/>
      <c r="H716" s="1471"/>
      <c r="I716" s="1471"/>
      <c r="J716" s="1472"/>
      <c r="K716" s="1479"/>
      <c r="L716" s="1480"/>
      <c r="M716" s="1480"/>
      <c r="N716" s="1481"/>
      <c r="O716" s="1470"/>
      <c r="P716" s="1471"/>
      <c r="Q716" s="1471"/>
      <c r="R716" s="1471"/>
      <c r="S716" s="1472"/>
      <c r="T716" s="1470"/>
      <c r="U716" s="1471"/>
      <c r="V716" s="1471"/>
      <c r="W716" s="1472"/>
      <c r="X716" s="1470"/>
      <c r="Y716" s="1471"/>
      <c r="Z716" s="1471"/>
      <c r="AA716" s="1471"/>
      <c r="AB716" s="1472"/>
      <c r="AC716" s="1470"/>
      <c r="AD716" s="1471"/>
      <c r="AE716" s="1471"/>
      <c r="AF716" s="1471"/>
      <c r="AG716" s="1472"/>
      <c r="AH716" s="1470"/>
      <c r="AI716" s="1471"/>
      <c r="AJ716" s="1472"/>
      <c r="AK716" s="1470"/>
      <c r="AL716" s="1471"/>
      <c r="AM716" s="1471"/>
      <c r="AN716" s="1471"/>
      <c r="AO716" s="1472"/>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473"/>
      <c r="C717" s="1474"/>
      <c r="D717" s="1474"/>
      <c r="E717" s="1474"/>
      <c r="F717" s="1475"/>
      <c r="G717" s="1473"/>
      <c r="H717" s="1474"/>
      <c r="I717" s="1474"/>
      <c r="J717" s="1475"/>
      <c r="K717" s="1479"/>
      <c r="L717" s="1480"/>
      <c r="M717" s="1480"/>
      <c r="N717" s="1481"/>
      <c r="O717" s="1473"/>
      <c r="P717" s="1474"/>
      <c r="Q717" s="1474"/>
      <c r="R717" s="1474"/>
      <c r="S717" s="1475"/>
      <c r="T717" s="1473"/>
      <c r="U717" s="1474"/>
      <c r="V717" s="1474"/>
      <c r="W717" s="1475"/>
      <c r="X717" s="1473"/>
      <c r="Y717" s="1474"/>
      <c r="Z717" s="1474"/>
      <c r="AA717" s="1474"/>
      <c r="AB717" s="1475"/>
      <c r="AC717" s="1473"/>
      <c r="AD717" s="1474"/>
      <c r="AE717" s="1474"/>
      <c r="AF717" s="1474"/>
      <c r="AG717" s="1475"/>
      <c r="AH717" s="1473"/>
      <c r="AI717" s="1474"/>
      <c r="AJ717" s="1475"/>
      <c r="AK717" s="1473"/>
      <c r="AL717" s="1474"/>
      <c r="AM717" s="1474"/>
      <c r="AN717" s="1474"/>
      <c r="AO717" s="1475"/>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68" t="s">
        <v>324</v>
      </c>
      <c r="C718" s="1369"/>
      <c r="D718" s="1369"/>
      <c r="E718" s="1369"/>
      <c r="F718" s="1370"/>
      <c r="G718" s="1406">
        <v>1</v>
      </c>
      <c r="H718" s="1407"/>
      <c r="I718" s="1407"/>
      <c r="J718" s="1408"/>
      <c r="K718" s="1365">
        <v>520</v>
      </c>
      <c r="L718" s="1366"/>
      <c r="M718" s="1366"/>
      <c r="N718" s="1367"/>
      <c r="O718" s="1362">
        <v>780</v>
      </c>
      <c r="P718" s="1363"/>
      <c r="Q718" s="1363"/>
      <c r="R718" s="1363"/>
      <c r="S718" s="1364"/>
      <c r="T718" s="1362">
        <v>84</v>
      </c>
      <c r="U718" s="1363"/>
      <c r="V718" s="1363"/>
      <c r="W718" s="1364"/>
      <c r="X718" s="1381">
        <f t="shared" ref="X718:X741" si="60">O718+T718</f>
        <v>864</v>
      </c>
      <c r="Y718" s="1382"/>
      <c r="Z718" s="1382"/>
      <c r="AA718" s="1382"/>
      <c r="AB718" s="1383"/>
      <c r="AC718" s="1373">
        <v>0.3</v>
      </c>
      <c r="AD718" s="1374"/>
      <c r="AE718" s="1374"/>
      <c r="AF718" s="1374"/>
      <c r="AG718" s="1375"/>
      <c r="AH718" s="1464">
        <f t="shared" ref="AH718:AH751" si="61">IF($AC718&gt;0,($X718/$BA667), "")</f>
        <v>0.2997918112421929</v>
      </c>
      <c r="AI718" s="1465"/>
      <c r="AJ718" s="1466"/>
      <c r="AK718" s="1368" t="s">
        <v>598</v>
      </c>
      <c r="AL718" s="1369"/>
      <c r="AM718" s="1369"/>
      <c r="AN718" s="1369"/>
      <c r="AO718" s="1370"/>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68" t="s">
        <v>324</v>
      </c>
      <c r="C719" s="1369"/>
      <c r="D719" s="1369"/>
      <c r="E719" s="1369"/>
      <c r="F719" s="1370"/>
      <c r="G719" s="1406">
        <v>1</v>
      </c>
      <c r="H719" s="1407"/>
      <c r="I719" s="1407"/>
      <c r="J719" s="1408"/>
      <c r="K719" s="1365">
        <f>K718</f>
        <v>520</v>
      </c>
      <c r="L719" s="1366"/>
      <c r="M719" s="1366"/>
      <c r="N719" s="1367"/>
      <c r="O719" s="1362">
        <v>1069</v>
      </c>
      <c r="P719" s="1363"/>
      <c r="Q719" s="1363"/>
      <c r="R719" s="1363"/>
      <c r="S719" s="1364"/>
      <c r="T719" s="1362">
        <v>84</v>
      </c>
      <c r="U719" s="1363"/>
      <c r="V719" s="1363"/>
      <c r="W719" s="1364"/>
      <c r="X719" s="1381">
        <f t="shared" si="60"/>
        <v>1153</v>
      </c>
      <c r="Y719" s="1382"/>
      <c r="Z719" s="1382"/>
      <c r="AA719" s="1382"/>
      <c r="AB719" s="1383"/>
      <c r="AC719" s="1373">
        <v>0.4</v>
      </c>
      <c r="AD719" s="1374"/>
      <c r="AE719" s="1374"/>
      <c r="AF719" s="1374"/>
      <c r="AG719" s="1375"/>
      <c r="AH719" s="1464">
        <f t="shared" si="61"/>
        <v>0.40006939625260235</v>
      </c>
      <c r="AI719" s="1465"/>
      <c r="AJ719" s="1466"/>
      <c r="AK719" s="1368" t="s">
        <v>598</v>
      </c>
      <c r="AL719" s="1369"/>
      <c r="AM719" s="1369"/>
      <c r="AN719" s="1369"/>
      <c r="AO719" s="1370"/>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68" t="s">
        <v>324</v>
      </c>
      <c r="C720" s="1369"/>
      <c r="D720" s="1369"/>
      <c r="E720" s="1369"/>
      <c r="F720" s="1370"/>
      <c r="G720" s="1406">
        <v>4</v>
      </c>
      <c r="H720" s="1407"/>
      <c r="I720" s="1407"/>
      <c r="J720" s="1408"/>
      <c r="K720" s="1365">
        <f>K719</f>
        <v>520</v>
      </c>
      <c r="L720" s="1366"/>
      <c r="M720" s="1366"/>
      <c r="N720" s="1367"/>
      <c r="O720" s="1362">
        <v>1357</v>
      </c>
      <c r="P720" s="1363"/>
      <c r="Q720" s="1363"/>
      <c r="R720" s="1363"/>
      <c r="S720" s="1364"/>
      <c r="T720" s="1362">
        <v>84</v>
      </c>
      <c r="U720" s="1363"/>
      <c r="V720" s="1363"/>
      <c r="W720" s="1364"/>
      <c r="X720" s="1381">
        <f t="shared" si="60"/>
        <v>1441</v>
      </c>
      <c r="Y720" s="1382"/>
      <c r="Z720" s="1382"/>
      <c r="AA720" s="1382"/>
      <c r="AB720" s="1383"/>
      <c r="AC720" s="1373">
        <v>0.5</v>
      </c>
      <c r="AD720" s="1374"/>
      <c r="AE720" s="1374"/>
      <c r="AF720" s="1374"/>
      <c r="AG720" s="1375"/>
      <c r="AH720" s="1464">
        <f t="shared" si="61"/>
        <v>0.5</v>
      </c>
      <c r="AI720" s="1465"/>
      <c r="AJ720" s="1466"/>
      <c r="AK720" s="1368" t="s">
        <v>598</v>
      </c>
      <c r="AL720" s="1369"/>
      <c r="AM720" s="1369"/>
      <c r="AN720" s="1369"/>
      <c r="AO720" s="1370"/>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68" t="s">
        <v>324</v>
      </c>
      <c r="C721" s="1369"/>
      <c r="D721" s="1369"/>
      <c r="E721" s="1369"/>
      <c r="F721" s="1370"/>
      <c r="G721" s="1406">
        <v>5</v>
      </c>
      <c r="H721" s="1407"/>
      <c r="I721" s="1407"/>
      <c r="J721" s="1408"/>
      <c r="K721" s="1365">
        <f>K720</f>
        <v>520</v>
      </c>
      <c r="L721" s="1366"/>
      <c r="M721" s="1366"/>
      <c r="N721" s="1367"/>
      <c r="O721" s="1362">
        <v>1645</v>
      </c>
      <c r="P721" s="1363"/>
      <c r="Q721" s="1363"/>
      <c r="R721" s="1363"/>
      <c r="S721" s="1364"/>
      <c r="T721" s="1362">
        <v>84</v>
      </c>
      <c r="U721" s="1363"/>
      <c r="V721" s="1363"/>
      <c r="W721" s="1364"/>
      <c r="X721" s="1381">
        <f t="shared" si="60"/>
        <v>1729</v>
      </c>
      <c r="Y721" s="1382"/>
      <c r="Z721" s="1382"/>
      <c r="AA721" s="1382"/>
      <c r="AB721" s="1383"/>
      <c r="AC721" s="1373">
        <v>0.6</v>
      </c>
      <c r="AD721" s="1374"/>
      <c r="AE721" s="1374"/>
      <c r="AF721" s="1374"/>
      <c r="AG721" s="1375"/>
      <c r="AH721" s="1464">
        <f t="shared" si="61"/>
        <v>0.59993060374739759</v>
      </c>
      <c r="AI721" s="1465"/>
      <c r="AJ721" s="1466"/>
      <c r="AK721" s="1368" t="s">
        <v>598</v>
      </c>
      <c r="AL721" s="1369"/>
      <c r="AM721" s="1369"/>
      <c r="AN721" s="1369"/>
      <c r="AO721" s="1370"/>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68" t="s">
        <v>325</v>
      </c>
      <c r="C722" s="1369"/>
      <c r="D722" s="1369"/>
      <c r="E722" s="1369"/>
      <c r="F722" s="1370"/>
      <c r="G722" s="1406">
        <v>8</v>
      </c>
      <c r="H722" s="1407"/>
      <c r="I722" s="1407"/>
      <c r="J722" s="1408"/>
      <c r="K722" s="1365">
        <v>465</v>
      </c>
      <c r="L722" s="1366"/>
      <c r="M722" s="1366"/>
      <c r="N722" s="1367"/>
      <c r="O722" s="1362">
        <v>826</v>
      </c>
      <c r="P722" s="1363"/>
      <c r="Q722" s="1363"/>
      <c r="R722" s="1363"/>
      <c r="S722" s="1364"/>
      <c r="T722" s="1362">
        <v>100</v>
      </c>
      <c r="U722" s="1363"/>
      <c r="V722" s="1363"/>
      <c r="W722" s="1364"/>
      <c r="X722" s="1381">
        <f t="shared" si="60"/>
        <v>926</v>
      </c>
      <c r="Y722" s="1382"/>
      <c r="Z722" s="1382"/>
      <c r="AA722" s="1382"/>
      <c r="AB722" s="1383"/>
      <c r="AC722" s="1373">
        <v>0.3</v>
      </c>
      <c r="AD722" s="1374"/>
      <c r="AE722" s="1374"/>
      <c r="AF722" s="1374"/>
      <c r="AG722" s="1375"/>
      <c r="AH722" s="1464">
        <f t="shared" si="61"/>
        <v>0.29987046632124353</v>
      </c>
      <c r="AI722" s="1465"/>
      <c r="AJ722" s="1466"/>
      <c r="AK722" s="1368" t="s">
        <v>598</v>
      </c>
      <c r="AL722" s="1369"/>
      <c r="AM722" s="1369"/>
      <c r="AN722" s="1369"/>
      <c r="AO722" s="1370"/>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68" t="s">
        <v>325</v>
      </c>
      <c r="C723" s="1369"/>
      <c r="D723" s="1369"/>
      <c r="E723" s="1369"/>
      <c r="F723" s="1370"/>
      <c r="G723" s="1406">
        <v>3</v>
      </c>
      <c r="H723" s="1407"/>
      <c r="I723" s="1407"/>
      <c r="J723" s="1408"/>
      <c r="K723" s="1365">
        <f>K722</f>
        <v>465</v>
      </c>
      <c r="L723" s="1366"/>
      <c r="M723" s="1366"/>
      <c r="N723" s="1367"/>
      <c r="O723" s="1362">
        <v>1135</v>
      </c>
      <c r="P723" s="1363"/>
      <c r="Q723" s="1363"/>
      <c r="R723" s="1363"/>
      <c r="S723" s="1364"/>
      <c r="T723" s="1362">
        <v>100</v>
      </c>
      <c r="U723" s="1363"/>
      <c r="V723" s="1363"/>
      <c r="W723" s="1364"/>
      <c r="X723" s="1381">
        <f t="shared" si="60"/>
        <v>1235</v>
      </c>
      <c r="Y723" s="1382"/>
      <c r="Z723" s="1382"/>
      <c r="AA723" s="1382"/>
      <c r="AB723" s="1383"/>
      <c r="AC723" s="1373">
        <v>0.4</v>
      </c>
      <c r="AD723" s="1374"/>
      <c r="AE723" s="1374"/>
      <c r="AF723" s="1374"/>
      <c r="AG723" s="1375"/>
      <c r="AH723" s="1464">
        <f t="shared" si="61"/>
        <v>0.39993523316062174</v>
      </c>
      <c r="AI723" s="1465"/>
      <c r="AJ723" s="1466"/>
      <c r="AK723" s="1368" t="s">
        <v>598</v>
      </c>
      <c r="AL723" s="1369"/>
      <c r="AM723" s="1369"/>
      <c r="AN723" s="1369"/>
      <c r="AO723" s="1370"/>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68" t="s">
        <v>325</v>
      </c>
      <c r="C724" s="1369"/>
      <c r="D724" s="1369"/>
      <c r="E724" s="1369"/>
      <c r="F724" s="1370"/>
      <c r="G724" s="1406">
        <v>7</v>
      </c>
      <c r="H724" s="1407"/>
      <c r="I724" s="1407"/>
      <c r="J724" s="1408"/>
      <c r="K724" s="1365">
        <f>K723</f>
        <v>465</v>
      </c>
      <c r="L724" s="1366"/>
      <c r="M724" s="1366"/>
      <c r="N724" s="1367"/>
      <c r="O724" s="1362">
        <v>1135</v>
      </c>
      <c r="P724" s="1363"/>
      <c r="Q724" s="1363"/>
      <c r="R724" s="1363"/>
      <c r="S724" s="1364"/>
      <c r="T724" s="1362">
        <v>100</v>
      </c>
      <c r="U724" s="1363"/>
      <c r="V724" s="1363"/>
      <c r="W724" s="1364"/>
      <c r="X724" s="1381">
        <f t="shared" si="60"/>
        <v>1235</v>
      </c>
      <c r="Y724" s="1382"/>
      <c r="Z724" s="1382"/>
      <c r="AA724" s="1382"/>
      <c r="AB724" s="1383"/>
      <c r="AC724" s="1373">
        <v>0.4</v>
      </c>
      <c r="AD724" s="1374"/>
      <c r="AE724" s="1374"/>
      <c r="AF724" s="1374"/>
      <c r="AG724" s="1375"/>
      <c r="AH724" s="1464">
        <f t="shared" si="61"/>
        <v>0.39993523316062174</v>
      </c>
      <c r="AI724" s="1465"/>
      <c r="AJ724" s="1466"/>
      <c r="AK724" s="1368" t="s">
        <v>598</v>
      </c>
      <c r="AL724" s="1369"/>
      <c r="AM724" s="1369"/>
      <c r="AN724" s="1369"/>
      <c r="AO724" s="1370"/>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68" t="s">
        <v>325</v>
      </c>
      <c r="C725" s="1369"/>
      <c r="D725" s="1369"/>
      <c r="E725" s="1369"/>
      <c r="F725" s="1370"/>
      <c r="G725" s="1406">
        <v>16</v>
      </c>
      <c r="H725" s="1407"/>
      <c r="I725" s="1407"/>
      <c r="J725" s="1408"/>
      <c r="K725" s="1365">
        <f>K724</f>
        <v>465</v>
      </c>
      <c r="L725" s="1366"/>
      <c r="M725" s="1366"/>
      <c r="N725" s="1367"/>
      <c r="O725" s="1362">
        <v>1444</v>
      </c>
      <c r="P725" s="1363"/>
      <c r="Q725" s="1363"/>
      <c r="R725" s="1363"/>
      <c r="S725" s="1364"/>
      <c r="T725" s="1362">
        <v>100</v>
      </c>
      <c r="U725" s="1363"/>
      <c r="V725" s="1363"/>
      <c r="W725" s="1364"/>
      <c r="X725" s="1381">
        <f t="shared" si="60"/>
        <v>1544</v>
      </c>
      <c r="Y725" s="1382"/>
      <c r="Z725" s="1382"/>
      <c r="AA725" s="1382"/>
      <c r="AB725" s="1383"/>
      <c r="AC725" s="1373">
        <v>0.5</v>
      </c>
      <c r="AD725" s="1374"/>
      <c r="AE725" s="1374"/>
      <c r="AF725" s="1374"/>
      <c r="AG725" s="1375"/>
      <c r="AH725" s="1464">
        <f t="shared" si="61"/>
        <v>0.5</v>
      </c>
      <c r="AI725" s="1465"/>
      <c r="AJ725" s="1466"/>
      <c r="AK725" s="1368" t="s">
        <v>598</v>
      </c>
      <c r="AL725" s="1369"/>
      <c r="AM725" s="1369"/>
      <c r="AN725" s="1369"/>
      <c r="AO725" s="1370"/>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68" t="s">
        <v>325</v>
      </c>
      <c r="C726" s="1369"/>
      <c r="D726" s="1369"/>
      <c r="E726" s="1369"/>
      <c r="F726" s="1370"/>
      <c r="G726" s="1406">
        <v>16</v>
      </c>
      <c r="H726" s="1407"/>
      <c r="I726" s="1407"/>
      <c r="J726" s="1408"/>
      <c r="K726" s="1365">
        <f>K725</f>
        <v>465</v>
      </c>
      <c r="L726" s="1366"/>
      <c r="M726" s="1366"/>
      <c r="N726" s="1367"/>
      <c r="O726" s="1362">
        <v>1753</v>
      </c>
      <c r="P726" s="1363"/>
      <c r="Q726" s="1363"/>
      <c r="R726" s="1363"/>
      <c r="S726" s="1364"/>
      <c r="T726" s="1362">
        <v>100</v>
      </c>
      <c r="U726" s="1363"/>
      <c r="V726" s="1363"/>
      <c r="W726" s="1364"/>
      <c r="X726" s="1381">
        <f t="shared" si="60"/>
        <v>1853</v>
      </c>
      <c r="Y726" s="1382"/>
      <c r="Z726" s="1382"/>
      <c r="AA726" s="1382"/>
      <c r="AB726" s="1383"/>
      <c r="AC726" s="1373">
        <v>0.6</v>
      </c>
      <c r="AD726" s="1374"/>
      <c r="AE726" s="1374"/>
      <c r="AF726" s="1374"/>
      <c r="AG726" s="1375"/>
      <c r="AH726" s="1464">
        <f t="shared" si="61"/>
        <v>0.60006476683937826</v>
      </c>
      <c r="AI726" s="1465"/>
      <c r="AJ726" s="1466"/>
      <c r="AK726" s="1368" t="s">
        <v>598</v>
      </c>
      <c r="AL726" s="1369"/>
      <c r="AM726" s="1369"/>
      <c r="AN726" s="1369"/>
      <c r="AO726" s="1370"/>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68" t="s">
        <v>163</v>
      </c>
      <c r="C727" s="1369"/>
      <c r="D727" s="1369"/>
      <c r="E727" s="1369"/>
      <c r="F727" s="1370"/>
      <c r="G727" s="1406">
        <v>5</v>
      </c>
      <c r="H727" s="1407"/>
      <c r="I727" s="1407"/>
      <c r="J727" s="1408"/>
      <c r="K727" s="1365">
        <v>783</v>
      </c>
      <c r="L727" s="1366"/>
      <c r="M727" s="1366"/>
      <c r="N727" s="1367"/>
      <c r="O727" s="1362">
        <v>975</v>
      </c>
      <c r="P727" s="1363"/>
      <c r="Q727" s="1363"/>
      <c r="R727" s="1363"/>
      <c r="S727" s="1364"/>
      <c r="T727" s="1362">
        <v>137</v>
      </c>
      <c r="U727" s="1363"/>
      <c r="V727" s="1363"/>
      <c r="W727" s="1364"/>
      <c r="X727" s="1381">
        <f t="shared" si="60"/>
        <v>1112</v>
      </c>
      <c r="Y727" s="1382"/>
      <c r="Z727" s="1382"/>
      <c r="AA727" s="1382"/>
      <c r="AB727" s="1383"/>
      <c r="AC727" s="1373">
        <v>0.3</v>
      </c>
      <c r="AD727" s="1374"/>
      <c r="AE727" s="1374"/>
      <c r="AF727" s="1374"/>
      <c r="AG727" s="1375"/>
      <c r="AH727" s="1464">
        <f t="shared" si="61"/>
        <v>0.30005396654074473</v>
      </c>
      <c r="AI727" s="1465"/>
      <c r="AJ727" s="1466"/>
      <c r="AK727" s="1368" t="s">
        <v>598</v>
      </c>
      <c r="AL727" s="1369"/>
      <c r="AM727" s="1369"/>
      <c r="AN727" s="1369"/>
      <c r="AO727" s="1370"/>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68" t="s">
        <v>163</v>
      </c>
      <c r="C728" s="1369"/>
      <c r="D728" s="1369"/>
      <c r="E728" s="1369"/>
      <c r="F728" s="1370"/>
      <c r="G728" s="1406">
        <v>1</v>
      </c>
      <c r="H728" s="1407"/>
      <c r="I728" s="1407"/>
      <c r="J728" s="1408"/>
      <c r="K728" s="1365">
        <f>K727</f>
        <v>783</v>
      </c>
      <c r="L728" s="1366"/>
      <c r="M728" s="1366"/>
      <c r="N728" s="1367"/>
      <c r="O728" s="1362">
        <v>1346</v>
      </c>
      <c r="P728" s="1363"/>
      <c r="Q728" s="1363"/>
      <c r="R728" s="1363"/>
      <c r="S728" s="1364"/>
      <c r="T728" s="1362">
        <v>137</v>
      </c>
      <c r="U728" s="1363"/>
      <c r="V728" s="1363"/>
      <c r="W728" s="1364"/>
      <c r="X728" s="1381">
        <f t="shared" si="60"/>
        <v>1483</v>
      </c>
      <c r="Y728" s="1382"/>
      <c r="Z728" s="1382"/>
      <c r="AA728" s="1382"/>
      <c r="AB728" s="1383"/>
      <c r="AC728" s="1373">
        <v>0.4</v>
      </c>
      <c r="AD728" s="1374"/>
      <c r="AE728" s="1374"/>
      <c r="AF728" s="1374"/>
      <c r="AG728" s="1375"/>
      <c r="AH728" s="1464">
        <f t="shared" si="61"/>
        <v>0.4001618996222342</v>
      </c>
      <c r="AI728" s="1465"/>
      <c r="AJ728" s="1466"/>
      <c r="AK728" s="1368" t="s">
        <v>598</v>
      </c>
      <c r="AL728" s="1369"/>
      <c r="AM728" s="1369"/>
      <c r="AN728" s="1369"/>
      <c r="AO728" s="1370"/>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68" t="s">
        <v>163</v>
      </c>
      <c r="C729" s="1369"/>
      <c r="D729" s="1369"/>
      <c r="E729" s="1369"/>
      <c r="F729" s="1370"/>
      <c r="G729" s="1406">
        <v>3</v>
      </c>
      <c r="H729" s="1407"/>
      <c r="I729" s="1407"/>
      <c r="J729" s="1408"/>
      <c r="K729" s="1365">
        <f>K728</f>
        <v>783</v>
      </c>
      <c r="L729" s="1366"/>
      <c r="M729" s="1366"/>
      <c r="N729" s="1367"/>
      <c r="O729" s="1362">
        <v>1346</v>
      </c>
      <c r="P729" s="1363"/>
      <c r="Q729" s="1363"/>
      <c r="R729" s="1363"/>
      <c r="S729" s="1364"/>
      <c r="T729" s="1362">
        <v>137</v>
      </c>
      <c r="U729" s="1363"/>
      <c r="V729" s="1363"/>
      <c r="W729" s="1364"/>
      <c r="X729" s="1381">
        <f t="shared" si="60"/>
        <v>1483</v>
      </c>
      <c r="Y729" s="1382"/>
      <c r="Z729" s="1382"/>
      <c r="AA729" s="1382"/>
      <c r="AB729" s="1383"/>
      <c r="AC729" s="1373">
        <v>0.4</v>
      </c>
      <c r="AD729" s="1374"/>
      <c r="AE729" s="1374"/>
      <c r="AF729" s="1374"/>
      <c r="AG729" s="1375"/>
      <c r="AH729" s="1464">
        <f t="shared" si="61"/>
        <v>0.4001618996222342</v>
      </c>
      <c r="AI729" s="1465"/>
      <c r="AJ729" s="1466"/>
      <c r="AK729" s="1368" t="s">
        <v>598</v>
      </c>
      <c r="AL729" s="1369"/>
      <c r="AM729" s="1369"/>
      <c r="AN729" s="1369"/>
      <c r="AO729" s="1370"/>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68" t="s">
        <v>163</v>
      </c>
      <c r="C730" s="1369"/>
      <c r="D730" s="1369"/>
      <c r="E730" s="1369"/>
      <c r="F730" s="1370"/>
      <c r="G730" s="1406">
        <v>10</v>
      </c>
      <c r="H730" s="1407"/>
      <c r="I730" s="1407"/>
      <c r="J730" s="1408"/>
      <c r="K730" s="1365">
        <f>K729</f>
        <v>783</v>
      </c>
      <c r="L730" s="1366"/>
      <c r="M730" s="1366"/>
      <c r="N730" s="1367"/>
      <c r="O730" s="1362">
        <v>1716</v>
      </c>
      <c r="P730" s="1363"/>
      <c r="Q730" s="1363"/>
      <c r="R730" s="1363"/>
      <c r="S730" s="1364"/>
      <c r="T730" s="1362">
        <v>137</v>
      </c>
      <c r="U730" s="1363"/>
      <c r="V730" s="1363"/>
      <c r="W730" s="1364"/>
      <c r="X730" s="1381">
        <f t="shared" si="60"/>
        <v>1853</v>
      </c>
      <c r="Y730" s="1382"/>
      <c r="Z730" s="1382"/>
      <c r="AA730" s="1382"/>
      <c r="AB730" s="1383"/>
      <c r="AC730" s="1373">
        <v>0.5</v>
      </c>
      <c r="AD730" s="1374"/>
      <c r="AE730" s="1374"/>
      <c r="AF730" s="1374"/>
      <c r="AG730" s="1375"/>
      <c r="AH730" s="1464">
        <f t="shared" si="61"/>
        <v>0.5</v>
      </c>
      <c r="AI730" s="1465"/>
      <c r="AJ730" s="1466"/>
      <c r="AK730" s="1368" t="s">
        <v>598</v>
      </c>
      <c r="AL730" s="1369"/>
      <c r="AM730" s="1369"/>
      <c r="AN730" s="1369"/>
      <c r="AO730" s="1370"/>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68" t="s">
        <v>163</v>
      </c>
      <c r="C731" s="1369"/>
      <c r="D731" s="1369"/>
      <c r="E731" s="1369"/>
      <c r="F731" s="1370"/>
      <c r="G731" s="1406">
        <v>12</v>
      </c>
      <c r="H731" s="1407"/>
      <c r="I731" s="1407"/>
      <c r="J731" s="1408"/>
      <c r="K731" s="1365">
        <f>K730</f>
        <v>783</v>
      </c>
      <c r="L731" s="1366"/>
      <c r="M731" s="1366"/>
      <c r="N731" s="1367"/>
      <c r="O731" s="1362">
        <v>2087</v>
      </c>
      <c r="P731" s="1363"/>
      <c r="Q731" s="1363"/>
      <c r="R731" s="1363"/>
      <c r="S731" s="1364"/>
      <c r="T731" s="1362">
        <v>137</v>
      </c>
      <c r="U731" s="1363"/>
      <c r="V731" s="1363"/>
      <c r="W731" s="1364"/>
      <c r="X731" s="1381">
        <f t="shared" si="60"/>
        <v>2224</v>
      </c>
      <c r="Y731" s="1382"/>
      <c r="Z731" s="1382"/>
      <c r="AA731" s="1382"/>
      <c r="AB731" s="1383"/>
      <c r="AC731" s="1373">
        <v>0.6</v>
      </c>
      <c r="AD731" s="1374"/>
      <c r="AE731" s="1374"/>
      <c r="AF731" s="1374"/>
      <c r="AG731" s="1375"/>
      <c r="AH731" s="1464">
        <f t="shared" si="61"/>
        <v>0.60010793308148946</v>
      </c>
      <c r="AI731" s="1465"/>
      <c r="AJ731" s="1466"/>
      <c r="AK731" s="1368" t="s">
        <v>598</v>
      </c>
      <c r="AL731" s="1369"/>
      <c r="AM731" s="1369"/>
      <c r="AN731" s="1369"/>
      <c r="AO731" s="1370"/>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68" t="s">
        <v>164</v>
      </c>
      <c r="C732" s="1369"/>
      <c r="D732" s="1369"/>
      <c r="E732" s="1369"/>
      <c r="F732" s="1370"/>
      <c r="G732" s="1406">
        <v>5</v>
      </c>
      <c r="H732" s="1407"/>
      <c r="I732" s="1407"/>
      <c r="J732" s="1408"/>
      <c r="K732" s="1365">
        <v>955</v>
      </c>
      <c r="L732" s="1366"/>
      <c r="M732" s="1366"/>
      <c r="N732" s="1367"/>
      <c r="O732" s="1362">
        <v>1107</v>
      </c>
      <c r="P732" s="1363"/>
      <c r="Q732" s="1363"/>
      <c r="R732" s="1363"/>
      <c r="S732" s="1364"/>
      <c r="T732" s="1362">
        <v>177</v>
      </c>
      <c r="U732" s="1363"/>
      <c r="V732" s="1363"/>
      <c r="W732" s="1364"/>
      <c r="X732" s="1381">
        <f t="shared" si="60"/>
        <v>1284</v>
      </c>
      <c r="Y732" s="1382"/>
      <c r="Z732" s="1382"/>
      <c r="AA732" s="1382"/>
      <c r="AB732" s="1383"/>
      <c r="AC732" s="1373">
        <v>0.3</v>
      </c>
      <c r="AD732" s="1374"/>
      <c r="AE732" s="1374"/>
      <c r="AF732" s="1374"/>
      <c r="AG732" s="1375"/>
      <c r="AH732" s="1464">
        <f t="shared" si="61"/>
        <v>0.29985987856141988</v>
      </c>
      <c r="AI732" s="1465"/>
      <c r="AJ732" s="1466"/>
      <c r="AK732" s="1368" t="s">
        <v>598</v>
      </c>
      <c r="AL732" s="1369"/>
      <c r="AM732" s="1369"/>
      <c r="AN732" s="1369"/>
      <c r="AO732" s="1370"/>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68" t="s">
        <v>164</v>
      </c>
      <c r="C733" s="1369"/>
      <c r="D733" s="1369"/>
      <c r="E733" s="1369"/>
      <c r="F733" s="1370"/>
      <c r="G733" s="1406">
        <v>1</v>
      </c>
      <c r="H733" s="1407"/>
      <c r="I733" s="1407"/>
      <c r="J733" s="1408"/>
      <c r="K733" s="1365">
        <f>K732</f>
        <v>955</v>
      </c>
      <c r="L733" s="1366"/>
      <c r="M733" s="1366"/>
      <c r="N733" s="1367"/>
      <c r="O733" s="1362">
        <v>1536</v>
      </c>
      <c r="P733" s="1363"/>
      <c r="Q733" s="1363"/>
      <c r="R733" s="1363"/>
      <c r="S733" s="1364"/>
      <c r="T733" s="1362">
        <v>177</v>
      </c>
      <c r="U733" s="1363"/>
      <c r="V733" s="1363"/>
      <c r="W733" s="1364"/>
      <c r="X733" s="1381">
        <f t="shared" si="60"/>
        <v>1713</v>
      </c>
      <c r="Y733" s="1382"/>
      <c r="Z733" s="1382"/>
      <c r="AA733" s="1382"/>
      <c r="AB733" s="1383"/>
      <c r="AC733" s="1373">
        <v>0.4</v>
      </c>
      <c r="AD733" s="1374"/>
      <c r="AE733" s="1374"/>
      <c r="AF733" s="1374"/>
      <c r="AG733" s="1375"/>
      <c r="AH733" s="1464">
        <f t="shared" si="61"/>
        <v>0.40004670714619339</v>
      </c>
      <c r="AI733" s="1465"/>
      <c r="AJ733" s="1466"/>
      <c r="AK733" s="1368" t="s">
        <v>598</v>
      </c>
      <c r="AL733" s="1369"/>
      <c r="AM733" s="1369"/>
      <c r="AN733" s="1369"/>
      <c r="AO733" s="1370"/>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68" t="s">
        <v>164</v>
      </c>
      <c r="C734" s="1369"/>
      <c r="D734" s="1369"/>
      <c r="E734" s="1369"/>
      <c r="F734" s="1370"/>
      <c r="G734" s="1406">
        <v>3</v>
      </c>
      <c r="H734" s="1407"/>
      <c r="I734" s="1407"/>
      <c r="J734" s="1408"/>
      <c r="K734" s="1365">
        <f>K733</f>
        <v>955</v>
      </c>
      <c r="L734" s="1366"/>
      <c r="M734" s="1366"/>
      <c r="N734" s="1367"/>
      <c r="O734" s="1362">
        <v>1536</v>
      </c>
      <c r="P734" s="1363"/>
      <c r="Q734" s="1363"/>
      <c r="R734" s="1363"/>
      <c r="S734" s="1364"/>
      <c r="T734" s="1362">
        <v>177</v>
      </c>
      <c r="U734" s="1363"/>
      <c r="V734" s="1363"/>
      <c r="W734" s="1364"/>
      <c r="X734" s="1381">
        <f t="shared" si="60"/>
        <v>1713</v>
      </c>
      <c r="Y734" s="1382"/>
      <c r="Z734" s="1382"/>
      <c r="AA734" s="1382"/>
      <c r="AB734" s="1383"/>
      <c r="AC734" s="1373">
        <v>0.4</v>
      </c>
      <c r="AD734" s="1374"/>
      <c r="AE734" s="1374"/>
      <c r="AF734" s="1374"/>
      <c r="AG734" s="1375"/>
      <c r="AH734" s="1464">
        <f t="shared" si="61"/>
        <v>0.40004670714619339</v>
      </c>
      <c r="AI734" s="1465"/>
      <c r="AJ734" s="1466"/>
      <c r="AK734" s="1368" t="s">
        <v>598</v>
      </c>
      <c r="AL734" s="1369"/>
      <c r="AM734" s="1369"/>
      <c r="AN734" s="1369"/>
      <c r="AO734" s="1370"/>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68" t="s">
        <v>164</v>
      </c>
      <c r="C735" s="1369"/>
      <c r="D735" s="1369"/>
      <c r="E735" s="1369"/>
      <c r="F735" s="1370"/>
      <c r="G735" s="1406">
        <v>10</v>
      </c>
      <c r="H735" s="1407"/>
      <c r="I735" s="1407"/>
      <c r="J735" s="1408"/>
      <c r="K735" s="1365">
        <f>K734</f>
        <v>955</v>
      </c>
      <c r="L735" s="1366"/>
      <c r="M735" s="1366"/>
      <c r="N735" s="1367"/>
      <c r="O735" s="1362">
        <v>1964</v>
      </c>
      <c r="P735" s="1363"/>
      <c r="Q735" s="1363"/>
      <c r="R735" s="1363"/>
      <c r="S735" s="1364"/>
      <c r="T735" s="1362">
        <v>177</v>
      </c>
      <c r="U735" s="1363"/>
      <c r="V735" s="1363"/>
      <c r="W735" s="1364"/>
      <c r="X735" s="1381">
        <f t="shared" si="60"/>
        <v>2141</v>
      </c>
      <c r="Y735" s="1382"/>
      <c r="Z735" s="1382"/>
      <c r="AA735" s="1382"/>
      <c r="AB735" s="1383"/>
      <c r="AC735" s="1373">
        <v>0.5</v>
      </c>
      <c r="AD735" s="1374"/>
      <c r="AE735" s="1374"/>
      <c r="AF735" s="1374"/>
      <c r="AG735" s="1375"/>
      <c r="AH735" s="1464">
        <f t="shared" si="61"/>
        <v>0.5</v>
      </c>
      <c r="AI735" s="1465"/>
      <c r="AJ735" s="1466"/>
      <c r="AK735" s="1368" t="s">
        <v>598</v>
      </c>
      <c r="AL735" s="1369"/>
      <c r="AM735" s="1369"/>
      <c r="AN735" s="1369"/>
      <c r="AO735" s="1370"/>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68" t="s">
        <v>164</v>
      </c>
      <c r="C736" s="1369"/>
      <c r="D736" s="1369"/>
      <c r="E736" s="1369"/>
      <c r="F736" s="1370"/>
      <c r="G736" s="1406">
        <v>12</v>
      </c>
      <c r="H736" s="1407"/>
      <c r="I736" s="1407"/>
      <c r="J736" s="1408"/>
      <c r="K736" s="1365">
        <f>K735</f>
        <v>955</v>
      </c>
      <c r="L736" s="1366"/>
      <c r="M736" s="1366"/>
      <c r="N736" s="1367"/>
      <c r="O736" s="1362">
        <v>2392</v>
      </c>
      <c r="P736" s="1363"/>
      <c r="Q736" s="1363"/>
      <c r="R736" s="1363"/>
      <c r="S736" s="1364"/>
      <c r="T736" s="1362">
        <v>177</v>
      </c>
      <c r="U736" s="1363"/>
      <c r="V736" s="1363"/>
      <c r="W736" s="1364"/>
      <c r="X736" s="1381">
        <f t="shared" si="60"/>
        <v>2569</v>
      </c>
      <c r="Y736" s="1382"/>
      <c r="Z736" s="1382"/>
      <c r="AA736" s="1382"/>
      <c r="AB736" s="1383"/>
      <c r="AC736" s="1373">
        <v>0.6</v>
      </c>
      <c r="AD736" s="1374"/>
      <c r="AE736" s="1374"/>
      <c r="AF736" s="1374"/>
      <c r="AG736" s="1375"/>
      <c r="AH736" s="1464">
        <f t="shared" si="61"/>
        <v>0.59995329285380661</v>
      </c>
      <c r="AI736" s="1465"/>
      <c r="AJ736" s="1466"/>
      <c r="AK736" s="1368" t="s">
        <v>598</v>
      </c>
      <c r="AL736" s="1369"/>
      <c r="AM736" s="1369"/>
      <c r="AN736" s="1369"/>
      <c r="AO736" s="1370"/>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68"/>
      <c r="C737" s="1369"/>
      <c r="D737" s="1369"/>
      <c r="E737" s="1369"/>
      <c r="F737" s="1370"/>
      <c r="G737" s="1406"/>
      <c r="H737" s="1407"/>
      <c r="I737" s="1407"/>
      <c r="J737" s="1408"/>
      <c r="K737" s="1365"/>
      <c r="L737" s="1366"/>
      <c r="M737" s="1366"/>
      <c r="N737" s="1367"/>
      <c r="O737" s="1362"/>
      <c r="P737" s="1363"/>
      <c r="Q737" s="1363"/>
      <c r="R737" s="1363"/>
      <c r="S737" s="1364"/>
      <c r="T737" s="1362"/>
      <c r="U737" s="1363"/>
      <c r="V737" s="1363"/>
      <c r="W737" s="1364"/>
      <c r="X737" s="1381">
        <f t="shared" si="60"/>
        <v>0</v>
      </c>
      <c r="Y737" s="1382"/>
      <c r="Z737" s="1382"/>
      <c r="AA737" s="1382"/>
      <c r="AB737" s="1383"/>
      <c r="AC737" s="1373"/>
      <c r="AD737" s="1374"/>
      <c r="AE737" s="1374"/>
      <c r="AF737" s="1374"/>
      <c r="AG737" s="1375"/>
      <c r="AH737" s="1464" t="str">
        <f t="shared" si="61"/>
        <v/>
      </c>
      <c r="AI737" s="1465"/>
      <c r="AJ737" s="1466"/>
      <c r="AK737" s="1368" t="s">
        <v>598</v>
      </c>
      <c r="AL737" s="1369"/>
      <c r="AM737" s="1369"/>
      <c r="AN737" s="1369"/>
      <c r="AO737" s="1370"/>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68"/>
      <c r="C738" s="1369"/>
      <c r="D738" s="1369"/>
      <c r="E738" s="1369"/>
      <c r="F738" s="1370"/>
      <c r="G738" s="1406"/>
      <c r="H738" s="1407"/>
      <c r="I738" s="1407"/>
      <c r="J738" s="1408"/>
      <c r="K738" s="1365"/>
      <c r="L738" s="1366"/>
      <c r="M738" s="1366"/>
      <c r="N738" s="1367"/>
      <c r="O738" s="1362"/>
      <c r="P738" s="1363"/>
      <c r="Q738" s="1363"/>
      <c r="R738" s="1363"/>
      <c r="S738" s="1364"/>
      <c r="T738" s="1362"/>
      <c r="U738" s="1363"/>
      <c r="V738" s="1363"/>
      <c r="W738" s="1364"/>
      <c r="X738" s="1381">
        <f t="shared" si="60"/>
        <v>0</v>
      </c>
      <c r="Y738" s="1382"/>
      <c r="Z738" s="1382"/>
      <c r="AA738" s="1382"/>
      <c r="AB738" s="1383"/>
      <c r="AC738" s="1373"/>
      <c r="AD738" s="1374"/>
      <c r="AE738" s="1374"/>
      <c r="AF738" s="1374"/>
      <c r="AG738" s="1375"/>
      <c r="AH738" s="1464" t="str">
        <f t="shared" si="61"/>
        <v/>
      </c>
      <c r="AI738" s="1465"/>
      <c r="AJ738" s="1466"/>
      <c r="AK738" s="1368" t="s">
        <v>598</v>
      </c>
      <c r="AL738" s="1369"/>
      <c r="AM738" s="1369"/>
      <c r="AN738" s="1369"/>
      <c r="AO738" s="1370"/>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68"/>
      <c r="C739" s="1369"/>
      <c r="D739" s="1369"/>
      <c r="E739" s="1369"/>
      <c r="F739" s="1370"/>
      <c r="G739" s="1406"/>
      <c r="H739" s="1407"/>
      <c r="I739" s="1407"/>
      <c r="J739" s="1408"/>
      <c r="K739" s="1365"/>
      <c r="L739" s="1366"/>
      <c r="M739" s="1366"/>
      <c r="N739" s="1367"/>
      <c r="O739" s="1362"/>
      <c r="P739" s="1363"/>
      <c r="Q739" s="1363"/>
      <c r="R739" s="1363"/>
      <c r="S739" s="1364"/>
      <c r="T739" s="1362"/>
      <c r="U739" s="1363"/>
      <c r="V739" s="1363"/>
      <c r="W739" s="1364"/>
      <c r="X739" s="1381">
        <f t="shared" si="60"/>
        <v>0</v>
      </c>
      <c r="Y739" s="1382"/>
      <c r="Z739" s="1382"/>
      <c r="AA739" s="1382"/>
      <c r="AB739" s="1383"/>
      <c r="AC739" s="1373"/>
      <c r="AD739" s="1374"/>
      <c r="AE739" s="1374"/>
      <c r="AF739" s="1374"/>
      <c r="AG739" s="1375"/>
      <c r="AH739" s="1464" t="str">
        <f t="shared" si="61"/>
        <v/>
      </c>
      <c r="AI739" s="1465"/>
      <c r="AJ739" s="1466"/>
      <c r="AK739" s="1368" t="s">
        <v>598</v>
      </c>
      <c r="AL739" s="1369"/>
      <c r="AM739" s="1369"/>
      <c r="AN739" s="1369"/>
      <c r="AO739" s="1370"/>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68"/>
      <c r="C740" s="1369"/>
      <c r="D740" s="1369"/>
      <c r="E740" s="1369"/>
      <c r="F740" s="1370"/>
      <c r="G740" s="1406"/>
      <c r="H740" s="1407"/>
      <c r="I740" s="1407"/>
      <c r="J740" s="1408"/>
      <c r="K740" s="1365"/>
      <c r="L740" s="1366"/>
      <c r="M740" s="1366"/>
      <c r="N740" s="1367"/>
      <c r="O740" s="1362"/>
      <c r="P740" s="1363"/>
      <c r="Q740" s="1363"/>
      <c r="R740" s="1363"/>
      <c r="S740" s="1364"/>
      <c r="T740" s="1362"/>
      <c r="U740" s="1363"/>
      <c r="V740" s="1363"/>
      <c r="W740" s="1364"/>
      <c r="X740" s="1381">
        <f t="shared" si="60"/>
        <v>0</v>
      </c>
      <c r="Y740" s="1382"/>
      <c r="Z740" s="1382"/>
      <c r="AA740" s="1382"/>
      <c r="AB740" s="1383"/>
      <c r="AC740" s="1373"/>
      <c r="AD740" s="1374"/>
      <c r="AE740" s="1374"/>
      <c r="AF740" s="1374"/>
      <c r="AG740" s="1375"/>
      <c r="AH740" s="1464" t="str">
        <f t="shared" si="61"/>
        <v/>
      </c>
      <c r="AI740" s="1465"/>
      <c r="AJ740" s="1466"/>
      <c r="AK740" s="1368" t="s">
        <v>598</v>
      </c>
      <c r="AL740" s="1369"/>
      <c r="AM740" s="1369"/>
      <c r="AN740" s="1369"/>
      <c r="AO740" s="1370"/>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68"/>
      <c r="C741" s="1369"/>
      <c r="D741" s="1369"/>
      <c r="E741" s="1369"/>
      <c r="F741" s="1370"/>
      <c r="G741" s="1406"/>
      <c r="H741" s="1407"/>
      <c r="I741" s="1407"/>
      <c r="J741" s="1408"/>
      <c r="K741" s="1365"/>
      <c r="L741" s="1366"/>
      <c r="M741" s="1366"/>
      <c r="N741" s="1367"/>
      <c r="O741" s="1362"/>
      <c r="P741" s="1363"/>
      <c r="Q741" s="1363"/>
      <c r="R741" s="1363"/>
      <c r="S741" s="1364"/>
      <c r="T741" s="1362"/>
      <c r="U741" s="1363"/>
      <c r="V741" s="1363"/>
      <c r="W741" s="1364"/>
      <c r="X741" s="1381">
        <f t="shared" si="60"/>
        <v>0</v>
      </c>
      <c r="Y741" s="1382"/>
      <c r="Z741" s="1382"/>
      <c r="AA741" s="1382"/>
      <c r="AB741" s="1383"/>
      <c r="AC741" s="1373"/>
      <c r="AD741" s="1374"/>
      <c r="AE741" s="1374"/>
      <c r="AF741" s="1374"/>
      <c r="AG741" s="1375"/>
      <c r="AH741" s="1464" t="str">
        <f t="shared" si="61"/>
        <v/>
      </c>
      <c r="AI741" s="1465"/>
      <c r="AJ741" s="1466"/>
      <c r="AK741" s="1368" t="s">
        <v>598</v>
      </c>
      <c r="AL741" s="1369"/>
      <c r="AM741" s="1369"/>
      <c r="AN741" s="1369"/>
      <c r="AO741" s="1370"/>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68"/>
      <c r="C742" s="1369"/>
      <c r="D742" s="1369"/>
      <c r="E742" s="1369"/>
      <c r="F742" s="1370"/>
      <c r="G742" s="1406"/>
      <c r="H742" s="1407"/>
      <c r="I742" s="1407"/>
      <c r="J742" s="1408"/>
      <c r="K742" s="1365"/>
      <c r="L742" s="1366"/>
      <c r="M742" s="1366"/>
      <c r="N742" s="1367"/>
      <c r="O742" s="1362"/>
      <c r="P742" s="1363"/>
      <c r="Q742" s="1363"/>
      <c r="R742" s="1363"/>
      <c r="S742" s="1364"/>
      <c r="T742" s="1362"/>
      <c r="U742" s="1363"/>
      <c r="V742" s="1363"/>
      <c r="W742" s="1364"/>
      <c r="X742" s="1381">
        <f t="shared" ref="X742:X751" si="62">O742+T742</f>
        <v>0</v>
      </c>
      <c r="Y742" s="1382"/>
      <c r="Z742" s="1382"/>
      <c r="AA742" s="1382"/>
      <c r="AB742" s="1383"/>
      <c r="AC742" s="1373"/>
      <c r="AD742" s="1374"/>
      <c r="AE742" s="1374"/>
      <c r="AF742" s="1374"/>
      <c r="AG742" s="1375"/>
      <c r="AH742" s="1464" t="str">
        <f t="shared" si="61"/>
        <v/>
      </c>
      <c r="AI742" s="1465"/>
      <c r="AJ742" s="1466"/>
      <c r="AK742" s="1368" t="s">
        <v>598</v>
      </c>
      <c r="AL742" s="1369"/>
      <c r="AM742" s="1369"/>
      <c r="AN742" s="1369"/>
      <c r="AO742" s="1370"/>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68"/>
      <c r="C743" s="1369"/>
      <c r="D743" s="1369"/>
      <c r="E743" s="1369"/>
      <c r="F743" s="1370"/>
      <c r="G743" s="1406"/>
      <c r="H743" s="1407"/>
      <c r="I743" s="1407"/>
      <c r="J743" s="1408"/>
      <c r="K743" s="1365"/>
      <c r="L743" s="1366"/>
      <c r="M743" s="1366"/>
      <c r="N743" s="1367"/>
      <c r="O743" s="1362"/>
      <c r="P743" s="1363"/>
      <c r="Q743" s="1363"/>
      <c r="R743" s="1363"/>
      <c r="S743" s="1364"/>
      <c r="T743" s="1362"/>
      <c r="U743" s="1363"/>
      <c r="V743" s="1363"/>
      <c r="W743" s="1364"/>
      <c r="X743" s="1381">
        <f t="shared" si="62"/>
        <v>0</v>
      </c>
      <c r="Y743" s="1382"/>
      <c r="Z743" s="1382"/>
      <c r="AA743" s="1382"/>
      <c r="AB743" s="1383"/>
      <c r="AC743" s="1373"/>
      <c r="AD743" s="1374"/>
      <c r="AE743" s="1374"/>
      <c r="AF743" s="1374"/>
      <c r="AG743" s="1375"/>
      <c r="AH743" s="1464" t="str">
        <f t="shared" si="61"/>
        <v/>
      </c>
      <c r="AI743" s="1465"/>
      <c r="AJ743" s="1466"/>
      <c r="AK743" s="1368" t="s">
        <v>598</v>
      </c>
      <c r="AL743" s="1369"/>
      <c r="AM743" s="1369"/>
      <c r="AN743" s="1369"/>
      <c r="AO743" s="1370"/>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68"/>
      <c r="C744" s="1369"/>
      <c r="D744" s="1369"/>
      <c r="E744" s="1369"/>
      <c r="F744" s="1370"/>
      <c r="G744" s="1406"/>
      <c r="H744" s="1407"/>
      <c r="I744" s="1407"/>
      <c r="J744" s="1408"/>
      <c r="K744" s="1365"/>
      <c r="L744" s="1366"/>
      <c r="M744" s="1366"/>
      <c r="N744" s="1367"/>
      <c r="O744" s="1362"/>
      <c r="P744" s="1363"/>
      <c r="Q744" s="1363"/>
      <c r="R744" s="1363"/>
      <c r="S744" s="1364"/>
      <c r="T744" s="1362"/>
      <c r="U744" s="1363"/>
      <c r="V744" s="1363"/>
      <c r="W744" s="1364"/>
      <c r="X744" s="1381">
        <f t="shared" si="62"/>
        <v>0</v>
      </c>
      <c r="Y744" s="1382"/>
      <c r="Z744" s="1382"/>
      <c r="AA744" s="1382"/>
      <c r="AB744" s="1383"/>
      <c r="AC744" s="1373"/>
      <c r="AD744" s="1374"/>
      <c r="AE744" s="1374"/>
      <c r="AF744" s="1374"/>
      <c r="AG744" s="1375"/>
      <c r="AH744" s="1464" t="str">
        <f t="shared" si="61"/>
        <v/>
      </c>
      <c r="AI744" s="1465"/>
      <c r="AJ744" s="1466"/>
      <c r="AK744" s="1368" t="s">
        <v>598</v>
      </c>
      <c r="AL744" s="1369"/>
      <c r="AM744" s="1369"/>
      <c r="AN744" s="1369"/>
      <c r="AO744" s="1370"/>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68"/>
      <c r="C745" s="1369"/>
      <c r="D745" s="1369"/>
      <c r="E745" s="1369"/>
      <c r="F745" s="1370"/>
      <c r="G745" s="1406"/>
      <c r="H745" s="1407"/>
      <c r="I745" s="1407"/>
      <c r="J745" s="1408"/>
      <c r="K745" s="1365"/>
      <c r="L745" s="1366"/>
      <c r="M745" s="1366"/>
      <c r="N745" s="1367"/>
      <c r="O745" s="1362"/>
      <c r="P745" s="1363"/>
      <c r="Q745" s="1363"/>
      <c r="R745" s="1363"/>
      <c r="S745" s="1364"/>
      <c r="T745" s="1362"/>
      <c r="U745" s="1363"/>
      <c r="V745" s="1363"/>
      <c r="W745" s="1364"/>
      <c r="X745" s="1381">
        <f t="shared" si="62"/>
        <v>0</v>
      </c>
      <c r="Y745" s="1382"/>
      <c r="Z745" s="1382"/>
      <c r="AA745" s="1382"/>
      <c r="AB745" s="1383"/>
      <c r="AC745" s="1373"/>
      <c r="AD745" s="1374"/>
      <c r="AE745" s="1374"/>
      <c r="AF745" s="1374"/>
      <c r="AG745" s="1375"/>
      <c r="AH745" s="1464" t="str">
        <f t="shared" si="61"/>
        <v/>
      </c>
      <c r="AI745" s="1465"/>
      <c r="AJ745" s="1466"/>
      <c r="AK745" s="1368" t="s">
        <v>598</v>
      </c>
      <c r="AL745" s="1369"/>
      <c r="AM745" s="1369"/>
      <c r="AN745" s="1369"/>
      <c r="AO745" s="1370"/>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68"/>
      <c r="C746" s="1369"/>
      <c r="D746" s="1369"/>
      <c r="E746" s="1369"/>
      <c r="F746" s="1370"/>
      <c r="G746" s="1406"/>
      <c r="H746" s="1407"/>
      <c r="I746" s="1407"/>
      <c r="J746" s="1408"/>
      <c r="K746" s="1365"/>
      <c r="L746" s="1366"/>
      <c r="M746" s="1366"/>
      <c r="N746" s="1367"/>
      <c r="O746" s="1362"/>
      <c r="P746" s="1363"/>
      <c r="Q746" s="1363"/>
      <c r="R746" s="1363"/>
      <c r="S746" s="1364"/>
      <c r="T746" s="1362"/>
      <c r="U746" s="1363"/>
      <c r="V746" s="1363"/>
      <c r="W746" s="1364"/>
      <c r="X746" s="1381">
        <f t="shared" si="62"/>
        <v>0</v>
      </c>
      <c r="Y746" s="1382"/>
      <c r="Z746" s="1382"/>
      <c r="AA746" s="1382"/>
      <c r="AB746" s="1383"/>
      <c r="AC746" s="1373"/>
      <c r="AD746" s="1374"/>
      <c r="AE746" s="1374"/>
      <c r="AF746" s="1374"/>
      <c r="AG746" s="1375"/>
      <c r="AH746" s="1464" t="str">
        <f t="shared" si="61"/>
        <v/>
      </c>
      <c r="AI746" s="1465"/>
      <c r="AJ746" s="1466"/>
      <c r="AK746" s="1368" t="s">
        <v>598</v>
      </c>
      <c r="AL746" s="1369"/>
      <c r="AM746" s="1369"/>
      <c r="AN746" s="1369"/>
      <c r="AO746" s="1370"/>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68"/>
      <c r="C747" s="1369"/>
      <c r="D747" s="1369"/>
      <c r="E747" s="1369"/>
      <c r="F747" s="1370"/>
      <c r="G747" s="1406"/>
      <c r="H747" s="1407"/>
      <c r="I747" s="1407"/>
      <c r="J747" s="1408"/>
      <c r="K747" s="1365"/>
      <c r="L747" s="1366"/>
      <c r="M747" s="1366"/>
      <c r="N747" s="1367"/>
      <c r="O747" s="1362"/>
      <c r="P747" s="1363"/>
      <c r="Q747" s="1363"/>
      <c r="R747" s="1363"/>
      <c r="S747" s="1364"/>
      <c r="T747" s="1362"/>
      <c r="U747" s="1363"/>
      <c r="V747" s="1363"/>
      <c r="W747" s="1364"/>
      <c r="X747" s="1381">
        <f t="shared" si="62"/>
        <v>0</v>
      </c>
      <c r="Y747" s="1382"/>
      <c r="Z747" s="1382"/>
      <c r="AA747" s="1382"/>
      <c r="AB747" s="1383"/>
      <c r="AC747" s="1373"/>
      <c r="AD747" s="1374"/>
      <c r="AE747" s="1374"/>
      <c r="AF747" s="1374"/>
      <c r="AG747" s="1375"/>
      <c r="AH747" s="1464" t="str">
        <f t="shared" si="61"/>
        <v/>
      </c>
      <c r="AI747" s="1465"/>
      <c r="AJ747" s="1466"/>
      <c r="AK747" s="1368" t="s">
        <v>598</v>
      </c>
      <c r="AL747" s="1369"/>
      <c r="AM747" s="1369"/>
      <c r="AN747" s="1369"/>
      <c r="AO747" s="1370"/>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68"/>
      <c r="C748" s="1369"/>
      <c r="D748" s="1369"/>
      <c r="E748" s="1369"/>
      <c r="F748" s="1370"/>
      <c r="G748" s="1406"/>
      <c r="H748" s="1407"/>
      <c r="I748" s="1407"/>
      <c r="J748" s="1408"/>
      <c r="K748" s="1365"/>
      <c r="L748" s="1366"/>
      <c r="M748" s="1366"/>
      <c r="N748" s="1367"/>
      <c r="O748" s="1362"/>
      <c r="P748" s="1363"/>
      <c r="Q748" s="1363"/>
      <c r="R748" s="1363"/>
      <c r="S748" s="1364"/>
      <c r="T748" s="1362"/>
      <c r="U748" s="1363"/>
      <c r="V748" s="1363"/>
      <c r="W748" s="1364"/>
      <c r="X748" s="1381">
        <f t="shared" si="62"/>
        <v>0</v>
      </c>
      <c r="Y748" s="1382"/>
      <c r="Z748" s="1382"/>
      <c r="AA748" s="1382"/>
      <c r="AB748" s="1383"/>
      <c r="AC748" s="1373"/>
      <c r="AD748" s="1374"/>
      <c r="AE748" s="1374"/>
      <c r="AF748" s="1374"/>
      <c r="AG748" s="1375"/>
      <c r="AH748" s="1464" t="str">
        <f t="shared" si="61"/>
        <v/>
      </c>
      <c r="AI748" s="1465"/>
      <c r="AJ748" s="1466"/>
      <c r="AK748" s="1368" t="s">
        <v>598</v>
      </c>
      <c r="AL748" s="1369"/>
      <c r="AM748" s="1369"/>
      <c r="AN748" s="1369"/>
      <c r="AO748" s="1370"/>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68"/>
      <c r="C749" s="1369"/>
      <c r="D749" s="1369"/>
      <c r="E749" s="1369"/>
      <c r="F749" s="1370"/>
      <c r="G749" s="1406"/>
      <c r="H749" s="1407"/>
      <c r="I749" s="1407"/>
      <c r="J749" s="1408"/>
      <c r="K749" s="1365"/>
      <c r="L749" s="1366"/>
      <c r="M749" s="1366"/>
      <c r="N749" s="1367"/>
      <c r="O749" s="1362"/>
      <c r="P749" s="1363"/>
      <c r="Q749" s="1363"/>
      <c r="R749" s="1363"/>
      <c r="S749" s="1364"/>
      <c r="T749" s="1362"/>
      <c r="U749" s="1363"/>
      <c r="V749" s="1363"/>
      <c r="W749" s="1364"/>
      <c r="X749" s="1381">
        <f t="shared" si="62"/>
        <v>0</v>
      </c>
      <c r="Y749" s="1382"/>
      <c r="Z749" s="1382"/>
      <c r="AA749" s="1382"/>
      <c r="AB749" s="1383"/>
      <c r="AC749" s="1373"/>
      <c r="AD749" s="1374"/>
      <c r="AE749" s="1374"/>
      <c r="AF749" s="1374"/>
      <c r="AG749" s="1375"/>
      <c r="AH749" s="1464" t="str">
        <f t="shared" si="61"/>
        <v/>
      </c>
      <c r="AI749" s="1465"/>
      <c r="AJ749" s="1466"/>
      <c r="AK749" s="1368" t="s">
        <v>598</v>
      </c>
      <c r="AL749" s="1369"/>
      <c r="AM749" s="1369"/>
      <c r="AN749" s="1369"/>
      <c r="AO749" s="1370"/>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68"/>
      <c r="C750" s="1369"/>
      <c r="D750" s="1369"/>
      <c r="E750" s="1369"/>
      <c r="F750" s="1370"/>
      <c r="G750" s="1406"/>
      <c r="H750" s="1407"/>
      <c r="I750" s="1407"/>
      <c r="J750" s="1408"/>
      <c r="K750" s="1365"/>
      <c r="L750" s="1366"/>
      <c r="M750" s="1366"/>
      <c r="N750" s="1367"/>
      <c r="O750" s="1362"/>
      <c r="P750" s="1363"/>
      <c r="Q750" s="1363"/>
      <c r="R750" s="1363"/>
      <c r="S750" s="1364"/>
      <c r="T750" s="1362"/>
      <c r="U750" s="1363"/>
      <c r="V750" s="1363"/>
      <c r="W750" s="1364"/>
      <c r="X750" s="1381">
        <f t="shared" si="62"/>
        <v>0</v>
      </c>
      <c r="Y750" s="1382"/>
      <c r="Z750" s="1382"/>
      <c r="AA750" s="1382"/>
      <c r="AB750" s="1383"/>
      <c r="AC750" s="1373"/>
      <c r="AD750" s="1374"/>
      <c r="AE750" s="1374"/>
      <c r="AF750" s="1374"/>
      <c r="AG750" s="1375"/>
      <c r="AH750" s="1464" t="str">
        <f t="shared" si="61"/>
        <v/>
      </c>
      <c r="AI750" s="1465"/>
      <c r="AJ750" s="1466"/>
      <c r="AK750" s="1368" t="s">
        <v>598</v>
      </c>
      <c r="AL750" s="1369"/>
      <c r="AM750" s="1369"/>
      <c r="AN750" s="1369"/>
      <c r="AO750" s="1370"/>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68"/>
      <c r="C751" s="1369"/>
      <c r="D751" s="1369"/>
      <c r="E751" s="1369"/>
      <c r="F751" s="1370"/>
      <c r="G751" s="1406"/>
      <c r="H751" s="1407"/>
      <c r="I751" s="1407"/>
      <c r="J751" s="1408"/>
      <c r="K751" s="1365"/>
      <c r="L751" s="1366"/>
      <c r="M751" s="1366"/>
      <c r="N751" s="1367"/>
      <c r="O751" s="1362"/>
      <c r="P751" s="1363"/>
      <c r="Q751" s="1363"/>
      <c r="R751" s="1363"/>
      <c r="S751" s="1364"/>
      <c r="T751" s="1362"/>
      <c r="U751" s="1363"/>
      <c r="V751" s="1363"/>
      <c r="W751" s="1364"/>
      <c r="X751" s="1381">
        <f t="shared" si="62"/>
        <v>0</v>
      </c>
      <c r="Y751" s="1382"/>
      <c r="Z751" s="1382"/>
      <c r="AA751" s="1382"/>
      <c r="AB751" s="1383"/>
      <c r="AC751" s="1373"/>
      <c r="AD751" s="1374"/>
      <c r="AE751" s="1374"/>
      <c r="AF751" s="1374"/>
      <c r="AG751" s="1375"/>
      <c r="AH751" s="1464" t="str">
        <f t="shared" si="61"/>
        <v/>
      </c>
      <c r="AI751" s="1465"/>
      <c r="AJ751" s="1466"/>
      <c r="AK751" s="1368" t="s">
        <v>598</v>
      </c>
      <c r="AL751" s="1369"/>
      <c r="AM751" s="1369"/>
      <c r="AN751" s="1369"/>
      <c r="AO751" s="1370"/>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68"/>
      <c r="C752" s="1369"/>
      <c r="D752" s="1369"/>
      <c r="E752" s="1369"/>
      <c r="F752" s="1370"/>
      <c r="G752" s="1406"/>
      <c r="H752" s="1407"/>
      <c r="I752" s="1407"/>
      <c r="J752" s="1408"/>
      <c r="K752" s="1365"/>
      <c r="L752" s="1366"/>
      <c r="M752" s="1366"/>
      <c r="N752" s="1367"/>
      <c r="O752" s="1362"/>
      <c r="P752" s="1363"/>
      <c r="Q752" s="1363"/>
      <c r="R752" s="1363"/>
      <c r="S752" s="1364"/>
      <c r="T752" s="1362"/>
      <c r="U752" s="1363"/>
      <c r="V752" s="1363"/>
      <c r="W752" s="1364"/>
      <c r="X752" s="1381">
        <f>O752+T752</f>
        <v>0</v>
      </c>
      <c r="Y752" s="1382"/>
      <c r="Z752" s="1382"/>
      <c r="AA752" s="1382"/>
      <c r="AB752" s="1383"/>
      <c r="AC752" s="1373"/>
      <c r="AD752" s="1374"/>
      <c r="AE752" s="1374"/>
      <c r="AF752" s="1374"/>
      <c r="AG752" s="1375"/>
      <c r="AH752" s="1464" t="str">
        <f>IF($AC752&gt;0,($X752/$BA701), "")</f>
        <v/>
      </c>
      <c r="AI752" s="1465"/>
      <c r="AJ752" s="1466"/>
      <c r="AK752" s="1368" t="s">
        <v>598</v>
      </c>
      <c r="AL752" s="1369"/>
      <c r="AM752" s="1369"/>
      <c r="AN752" s="1369"/>
      <c r="AO752" s="1370"/>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639" t="s">
        <v>125</v>
      </c>
      <c r="C753" s="1640"/>
      <c r="D753" s="1640"/>
      <c r="E753" s="1640"/>
      <c r="F753" s="1641"/>
      <c r="G753" s="1632">
        <f>SUM(G718:G752)</f>
        <v>123</v>
      </c>
      <c r="H753" s="1633"/>
      <c r="I753" s="1633"/>
      <c r="J753" s="1634"/>
      <c r="K753" s="937" t="s">
        <v>124</v>
      </c>
      <c r="L753" s="5"/>
      <c r="M753" s="5"/>
      <c r="N753" s="46"/>
      <c r="O753" s="1381">
        <f>SUMPRODUCT(G718:G752,O718:O752)</f>
        <v>197098</v>
      </c>
      <c r="P753" s="1382"/>
      <c r="Q753" s="1382"/>
      <c r="R753" s="1382"/>
      <c r="S753" s="1383"/>
      <c r="T753"/>
      <c r="U753"/>
      <c r="V753"/>
      <c r="W753"/>
      <c r="X753" s="939" t="s">
        <v>914</v>
      </c>
      <c r="Y753" s="938"/>
      <c r="Z753" s="938"/>
      <c r="AA753" s="938"/>
      <c r="AB753" s="940"/>
      <c r="AC753" s="1642">
        <f>BI703</f>
        <v>0.49024390243902444</v>
      </c>
      <c r="AD753" s="1643"/>
      <c r="AE753" s="1643"/>
      <c r="AF753" s="1643"/>
      <c r="AG753" s="1644"/>
      <c r="AH753" s="1642">
        <f>IFERROR(BV703,"")</f>
        <v>0.49024394245240727</v>
      </c>
      <c r="AI753" s="1643"/>
      <c r="AJ753" s="1644"/>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638" t="s">
        <v>2181</v>
      </c>
      <c r="C754" s="1638"/>
      <c r="D754" s="1638"/>
      <c r="E754" s="1638"/>
      <c r="F754" s="1638"/>
      <c r="G754" s="1638"/>
      <c r="H754" s="1638"/>
      <c r="I754" s="1638"/>
      <c r="J754" s="1638"/>
      <c r="K754" s="1638"/>
      <c r="L754" s="1638"/>
      <c r="M754" s="1638"/>
      <c r="N754" s="1638"/>
      <c r="O754" s="1638"/>
      <c r="P754" s="1638"/>
      <c r="Q754" s="1638"/>
      <c r="R754" s="1638"/>
      <c r="S754" s="1638"/>
      <c r="T754" s="1638"/>
      <c r="U754" s="1638"/>
      <c r="V754" s="1638"/>
      <c r="W754" s="1638"/>
      <c r="X754" s="1638"/>
      <c r="Y754" s="1638"/>
      <c r="Z754" s="1638"/>
      <c r="AA754" s="1638"/>
      <c r="AB754" s="1638"/>
      <c r="AC754" s="1638"/>
      <c r="AD754" s="1638"/>
      <c r="AE754" s="1638"/>
      <c r="AF754" s="1638"/>
      <c r="AG754" s="1638"/>
      <c r="AH754" s="1638"/>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638"/>
      <c r="C755" s="1638"/>
      <c r="D755" s="1638"/>
      <c r="E755" s="1638"/>
      <c r="F755" s="1638"/>
      <c r="G755" s="1638"/>
      <c r="H755" s="1638"/>
      <c r="I755" s="1638"/>
      <c r="J755" s="1638"/>
      <c r="K755" s="1638"/>
      <c r="L755" s="1638"/>
      <c r="M755" s="1638"/>
      <c r="N755" s="1638"/>
      <c r="O755" s="1638"/>
      <c r="P755" s="1638"/>
      <c r="Q755" s="1638"/>
      <c r="R755" s="1638"/>
      <c r="S755" s="1638"/>
      <c r="T755" s="1638"/>
      <c r="U755" s="1638"/>
      <c r="V755" s="1638"/>
      <c r="W755" s="1638"/>
      <c r="X755" s="1638"/>
      <c r="Y755" s="1638"/>
      <c r="Z755" s="1638"/>
      <c r="AA755" s="1638"/>
      <c r="AB755" s="1638"/>
      <c r="AC755" s="1638"/>
      <c r="AD755" s="1638"/>
      <c r="AE755" s="1638"/>
      <c r="AF755" s="1638"/>
      <c r="AG755" s="1638"/>
      <c r="AH755" s="1638"/>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2179</v>
      </c>
      <c r="D756" s="1067"/>
      <c r="E756" s="1067"/>
      <c r="F756" s="1067"/>
      <c r="G756" s="1068"/>
      <c r="H756" s="1068"/>
      <c r="I756" s="1068"/>
      <c r="J756" s="1068"/>
      <c r="K756" s="1067"/>
      <c r="L756" s="1067"/>
      <c r="M756" s="1067"/>
      <c r="N756" s="1067"/>
      <c r="O756" s="1501">
        <f>CS634</f>
        <v>216</v>
      </c>
      <c r="P756" s="1501"/>
      <c r="Q756" s="1501"/>
      <c r="R756" s="1501"/>
      <c r="S756" s="1004"/>
      <c r="T756" s="1004"/>
      <c r="U756" s="118" t="s">
        <v>2180</v>
      </c>
      <c r="V756" s="1067"/>
      <c r="W756" s="1067"/>
      <c r="X756" s="1067"/>
      <c r="Y756" s="1068"/>
      <c r="Z756" s="1068"/>
      <c r="AA756" s="1068"/>
      <c r="AB756" s="1068"/>
      <c r="AC756" s="1067"/>
      <c r="AD756" s="1067"/>
      <c r="AE756" s="1067"/>
      <c r="AF756" s="1067"/>
      <c r="AG756" s="1629"/>
      <c r="AH756" s="1629"/>
      <c r="AI756" s="1629"/>
      <c r="AJ756" s="1629"/>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405" t="str">
        <f>IF(G753&lt;&gt;AG440,"! Total Low-Income Units in the Unit Mix Table above does not match the number of Total Low-Income Units on row #"&amp;TEXT(ROW(D440),"#"),"")</f>
        <v/>
      </c>
      <c r="D757" s="1405"/>
      <c r="E757" s="1405"/>
      <c r="F757" s="1405"/>
      <c r="G757" s="1405"/>
      <c r="H757" s="1405"/>
      <c r="I757" s="1405"/>
      <c r="J757" s="1405"/>
      <c r="K757" s="1405"/>
      <c r="L757" s="1405"/>
      <c r="M757" s="1405"/>
      <c r="N757" s="1405"/>
      <c r="O757" s="1405"/>
      <c r="P757" s="1405"/>
      <c r="Q757" s="1405"/>
      <c r="R757" s="1405"/>
      <c r="S757" s="1405"/>
      <c r="T757" s="1405"/>
      <c r="U757" s="1405"/>
      <c r="V757" s="1405"/>
      <c r="W757" s="1405"/>
      <c r="X757" s="1405"/>
      <c r="Y757" s="1405"/>
      <c r="Z757" s="1405"/>
      <c r="AA757" s="1405"/>
      <c r="AB757" s="1405"/>
      <c r="AC757" s="1405"/>
      <c r="AD757" s="1405"/>
      <c r="AE757" s="1405"/>
      <c r="AF757" s="1405"/>
      <c r="AG757" s="1405"/>
      <c r="AH757" s="1405"/>
      <c r="AI757" s="1405"/>
      <c r="AJ757" s="1405"/>
      <c r="AK757" s="1405"/>
      <c r="AL757" s="1405"/>
      <c r="AM757" s="1405"/>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405"/>
      <c r="D758" s="1405"/>
      <c r="E758" s="1405"/>
      <c r="F758" s="1405"/>
      <c r="G758" s="1405"/>
      <c r="H758" s="1405"/>
      <c r="I758" s="1405"/>
      <c r="J758" s="1405"/>
      <c r="K758" s="1405"/>
      <c r="L758" s="1405"/>
      <c r="M758" s="1405"/>
      <c r="N758" s="1405"/>
      <c r="O758" s="1405"/>
      <c r="P758" s="1405"/>
      <c r="Q758" s="1405"/>
      <c r="R758" s="1405"/>
      <c r="S758" s="1405"/>
      <c r="T758" s="1405"/>
      <c r="U758" s="1405"/>
      <c r="V758" s="1405"/>
      <c r="W758" s="1405"/>
      <c r="X758" s="1405"/>
      <c r="Y758" s="1405"/>
      <c r="Z758" s="1405"/>
      <c r="AA758" s="1405"/>
      <c r="AB758" s="1405"/>
      <c r="AC758" s="1405"/>
      <c r="AD758" s="1405"/>
      <c r="AE758" s="1405"/>
      <c r="AF758" s="1405"/>
      <c r="AG758" s="1405"/>
      <c r="AH758" s="1405"/>
      <c r="AI758" s="1405"/>
      <c r="AJ758" s="1405"/>
      <c r="AK758" s="1405"/>
      <c r="AL758" s="1405"/>
      <c r="AM758" s="1405"/>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2178</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630" t="s">
        <v>598</v>
      </c>
      <c r="AE759" s="1630"/>
      <c r="AF759" s="1630"/>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2403</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583</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176</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2" t="s">
        <v>2404</v>
      </c>
      <c r="D763" s="1272"/>
      <c r="E763" s="1272"/>
      <c r="F763" s="1272"/>
      <c r="G763" s="1272"/>
      <c r="H763" s="1272"/>
      <c r="I763" s="1272"/>
      <c r="J763" s="1272"/>
      <c r="K763" s="1272"/>
      <c r="L763" s="1272"/>
      <c r="M763" s="1272"/>
      <c r="N763" s="1272"/>
      <c r="O763" s="1272"/>
      <c r="P763" s="1272"/>
      <c r="Q763" s="1272"/>
      <c r="R763" s="1272"/>
      <c r="S763" s="1272"/>
      <c r="T763" s="1272"/>
      <c r="U763" s="1272"/>
      <c r="V763" s="1272"/>
      <c r="W763" s="1272"/>
      <c r="X763" s="1272"/>
      <c r="Y763" s="1272"/>
      <c r="Z763" s="1272"/>
      <c r="AA763" s="1272"/>
      <c r="AB763" s="1272"/>
      <c r="AC763" s="1272"/>
      <c r="AD763" s="1272"/>
      <c r="AE763" s="1272"/>
      <c r="AF763" s="1272"/>
      <c r="AG763" s="1272"/>
      <c r="AH763" s="1272"/>
      <c r="AI763" s="1272"/>
      <c r="AJ763" s="1272"/>
      <c r="AK763" s="1272"/>
      <c r="AL763" s="1272"/>
      <c r="AM763" s="1272"/>
      <c r="AN763" s="1272"/>
      <c r="AO763" s="1272"/>
      <c r="AP763" s="1272"/>
      <c r="AQ763" s="1272"/>
      <c r="AR763" s="1272"/>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2"/>
      <c r="D764" s="1272"/>
      <c r="E764" s="1272"/>
      <c r="F764" s="1272"/>
      <c r="G764" s="1272"/>
      <c r="H764" s="1272"/>
      <c r="I764" s="1272"/>
      <c r="J764" s="1272"/>
      <c r="K764" s="1272"/>
      <c r="L764" s="1272"/>
      <c r="M764" s="1272"/>
      <c r="N764" s="1272"/>
      <c r="O764" s="1272"/>
      <c r="P764" s="1272"/>
      <c r="Q764" s="1272"/>
      <c r="R764" s="1272"/>
      <c r="S764" s="1272"/>
      <c r="T764" s="1272"/>
      <c r="U764" s="1272"/>
      <c r="V764" s="1272"/>
      <c r="W764" s="1272"/>
      <c r="X764" s="1272"/>
      <c r="Y764" s="1272"/>
      <c r="Z764" s="1272"/>
      <c r="AA764" s="1272"/>
      <c r="AB764" s="1272"/>
      <c r="AC764" s="1272"/>
      <c r="AD764" s="1272"/>
      <c r="AE764" s="1272"/>
      <c r="AF764" s="1272"/>
      <c r="AG764" s="1272"/>
      <c r="AH764" s="1272"/>
      <c r="AI764" s="1272"/>
      <c r="AJ764" s="1272"/>
      <c r="AK764" s="1272"/>
      <c r="AL764" s="1272"/>
      <c r="AM764" s="1272"/>
      <c r="AN764" s="1272"/>
      <c r="AO764" s="1272"/>
      <c r="AP764" s="1272"/>
      <c r="AQ764" s="1272"/>
      <c r="AR764" s="1272"/>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2"/>
      <c r="D765" s="1272"/>
      <c r="E765" s="1272"/>
      <c r="F765" s="1272"/>
      <c r="G765" s="1272"/>
      <c r="H765" s="1272"/>
      <c r="I765" s="1272"/>
      <c r="J765" s="1272"/>
      <c r="K765" s="1272"/>
      <c r="L765" s="1272"/>
      <c r="M765" s="1272"/>
      <c r="N765" s="1272"/>
      <c r="O765" s="1272"/>
      <c r="P765" s="1272"/>
      <c r="Q765" s="1272"/>
      <c r="R765" s="1272"/>
      <c r="S765" s="1272"/>
      <c r="T765" s="1272"/>
      <c r="U765" s="1272"/>
      <c r="V765" s="1272"/>
      <c r="W765" s="1272"/>
      <c r="X765" s="1272"/>
      <c r="Y765" s="1272"/>
      <c r="Z765" s="1272"/>
      <c r="AA765" s="1272"/>
      <c r="AB765" s="1272"/>
      <c r="AC765" s="1272"/>
      <c r="AD765" s="1272"/>
      <c r="AE765" s="1272"/>
      <c r="AF765" s="1272"/>
      <c r="AG765" s="1272"/>
      <c r="AH765" s="1272"/>
      <c r="AI765" s="1272"/>
      <c r="AJ765" s="1272"/>
      <c r="AK765" s="1272"/>
      <c r="AL765" s="1272"/>
      <c r="AM765" s="1272"/>
      <c r="AN765" s="1272"/>
      <c r="AO765" s="1272"/>
      <c r="AP765" s="1272"/>
      <c r="AQ765" s="1272"/>
      <c r="AR765" s="1272"/>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2" t="s">
        <v>2405</v>
      </c>
      <c r="D766" s="1272"/>
      <c r="E766" s="1272"/>
      <c r="F766" s="1272"/>
      <c r="G766" s="1272"/>
      <c r="H766" s="1272"/>
      <c r="I766" s="1272"/>
      <c r="J766" s="1272"/>
      <c r="K766" s="1272"/>
      <c r="L766" s="1272"/>
      <c r="M766" s="1272"/>
      <c r="N766" s="1272"/>
      <c r="O766" s="1272"/>
      <c r="P766" s="1272"/>
      <c r="Q766" s="1272"/>
      <c r="R766" s="1272"/>
      <c r="S766" s="1272"/>
      <c r="T766" s="1272"/>
      <c r="U766" s="1272"/>
      <c r="V766" s="1272"/>
      <c r="W766" s="1272"/>
      <c r="X766" s="1272"/>
      <c r="Y766" s="1272"/>
      <c r="Z766" s="1272"/>
      <c r="AA766" s="1272"/>
      <c r="AB766" s="1272"/>
      <c r="AC766" s="1272"/>
      <c r="AD766" s="1272"/>
      <c r="AE766" s="1272"/>
      <c r="AF766" s="1272"/>
      <c r="AG766" s="1272"/>
      <c r="AH766" s="1272"/>
      <c r="AI766" s="1272"/>
      <c r="AJ766" s="1272"/>
      <c r="AK766" s="1272"/>
      <c r="AL766" s="1272"/>
      <c r="AM766" s="1272"/>
      <c r="AN766" s="1272"/>
      <c r="AO766" s="1272"/>
      <c r="AP766" s="1272"/>
      <c r="AQ766" s="1272"/>
      <c r="AR766" s="1272"/>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2"/>
      <c r="D767" s="1272"/>
      <c r="E767" s="1272"/>
      <c r="F767" s="1272"/>
      <c r="G767" s="1272"/>
      <c r="H767" s="1272"/>
      <c r="I767" s="1272"/>
      <c r="J767" s="1272"/>
      <c r="K767" s="1272"/>
      <c r="L767" s="1272"/>
      <c r="M767" s="1272"/>
      <c r="N767" s="1272"/>
      <c r="O767" s="1272"/>
      <c r="P767" s="1272"/>
      <c r="Q767" s="1272"/>
      <c r="R767" s="1272"/>
      <c r="S767" s="1272"/>
      <c r="T767" s="1272"/>
      <c r="U767" s="1272"/>
      <c r="V767" s="1272"/>
      <c r="W767" s="1272"/>
      <c r="X767" s="1272"/>
      <c r="Y767" s="1272"/>
      <c r="Z767" s="1272"/>
      <c r="AA767" s="1272"/>
      <c r="AB767" s="1272"/>
      <c r="AC767" s="1272"/>
      <c r="AD767" s="1272"/>
      <c r="AE767" s="1272"/>
      <c r="AF767" s="1272"/>
      <c r="AG767" s="1272"/>
      <c r="AH767" s="1272"/>
      <c r="AI767" s="1272"/>
      <c r="AJ767" s="1272"/>
      <c r="AK767" s="1272"/>
      <c r="AL767" s="1272"/>
      <c r="AM767" s="1272"/>
      <c r="AN767" s="1272"/>
      <c r="AO767" s="1272"/>
      <c r="AP767" s="1272"/>
      <c r="AQ767" s="1272"/>
      <c r="AR767" s="1272"/>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2"/>
      <c r="D768" s="1272"/>
      <c r="E768" s="1272"/>
      <c r="F768" s="1272"/>
      <c r="G768" s="1272"/>
      <c r="H768" s="1272"/>
      <c r="I768" s="1272"/>
      <c r="J768" s="1272"/>
      <c r="K768" s="1272"/>
      <c r="L768" s="1272"/>
      <c r="M768" s="1272"/>
      <c r="N768" s="1272"/>
      <c r="O768" s="1272"/>
      <c r="P768" s="1272"/>
      <c r="Q768" s="1272"/>
      <c r="R768" s="1272"/>
      <c r="S768" s="1272"/>
      <c r="T768" s="1272"/>
      <c r="U768" s="1272"/>
      <c r="V768" s="1272"/>
      <c r="W768" s="1272"/>
      <c r="X768" s="1272"/>
      <c r="Y768" s="1272"/>
      <c r="Z768" s="1272"/>
      <c r="AA768" s="1272"/>
      <c r="AB768" s="1272"/>
      <c r="AC768" s="1272"/>
      <c r="AD768" s="1272"/>
      <c r="AE768" s="1272"/>
      <c r="AF768" s="1272"/>
      <c r="AG768" s="1272"/>
      <c r="AH768" s="1272"/>
      <c r="AI768" s="1272"/>
      <c r="AJ768" s="1272"/>
      <c r="AK768" s="1272"/>
      <c r="AL768" s="1272"/>
      <c r="AM768" s="1272"/>
      <c r="AN768" s="1272"/>
      <c r="AO768" s="1272"/>
      <c r="AP768" s="1272"/>
      <c r="AQ768" s="1272"/>
      <c r="AR768" s="1272"/>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467" t="s">
        <v>389</v>
      </c>
      <c r="K769" s="1468"/>
      <c r="L769" s="1468"/>
      <c r="M769" s="1468"/>
      <c r="N769" s="1469"/>
      <c r="O769" s="1385" t="s">
        <v>285</v>
      </c>
      <c r="P769" s="1385"/>
      <c r="Q769" s="1385"/>
      <c r="R769" s="1385"/>
      <c r="S769" s="1385"/>
      <c r="T769" s="1476" t="s">
        <v>1866</v>
      </c>
      <c r="U769" s="1477"/>
      <c r="V769" s="1477"/>
      <c r="W769" s="1478"/>
      <c r="X769" s="1467" t="s">
        <v>454</v>
      </c>
      <c r="Y769" s="1468"/>
      <c r="Z769" s="1468"/>
      <c r="AA769" s="1468"/>
      <c r="AB769" s="1469"/>
      <c r="AC769" s="1467" t="s">
        <v>286</v>
      </c>
      <c r="AD769" s="1468"/>
      <c r="AE769" s="1468"/>
      <c r="AF769" s="1468"/>
      <c r="AG769" s="1469"/>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470"/>
      <c r="K770" s="1471"/>
      <c r="L770" s="1471"/>
      <c r="M770" s="1471"/>
      <c r="N770" s="1472"/>
      <c r="O770" s="1385"/>
      <c r="P770" s="1385"/>
      <c r="Q770" s="1385"/>
      <c r="R770" s="1385"/>
      <c r="S770" s="1385"/>
      <c r="T770" s="1479"/>
      <c r="U770" s="1480"/>
      <c r="V770" s="1480"/>
      <c r="W770" s="1481"/>
      <c r="X770" s="1470"/>
      <c r="Y770" s="1471"/>
      <c r="Z770" s="1471"/>
      <c r="AA770" s="1471"/>
      <c r="AB770" s="1472"/>
      <c r="AC770" s="1470"/>
      <c r="AD770" s="1471"/>
      <c r="AE770" s="1471"/>
      <c r="AF770" s="1471"/>
      <c r="AG770" s="1472"/>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470"/>
      <c r="K771" s="1471"/>
      <c r="L771" s="1471"/>
      <c r="M771" s="1471"/>
      <c r="N771" s="1472"/>
      <c r="O771" s="1385"/>
      <c r="P771" s="1385"/>
      <c r="Q771" s="1385"/>
      <c r="R771" s="1385"/>
      <c r="S771" s="1385"/>
      <c r="T771" s="1479"/>
      <c r="U771" s="1480"/>
      <c r="V771" s="1480"/>
      <c r="W771" s="1481"/>
      <c r="X771" s="1470"/>
      <c r="Y771" s="1471"/>
      <c r="Z771" s="1471"/>
      <c r="AA771" s="1471"/>
      <c r="AB771" s="1472"/>
      <c r="AC771" s="1470"/>
      <c r="AD771" s="1471"/>
      <c r="AE771" s="1471"/>
      <c r="AF771" s="1471"/>
      <c r="AG771" s="1472"/>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473"/>
      <c r="K772" s="1474"/>
      <c r="L772" s="1474"/>
      <c r="M772" s="1474"/>
      <c r="N772" s="1475"/>
      <c r="O772" s="1385"/>
      <c r="P772" s="1385"/>
      <c r="Q772" s="1385"/>
      <c r="R772" s="1385"/>
      <c r="S772" s="1385"/>
      <c r="T772" s="1635"/>
      <c r="U772" s="1636"/>
      <c r="V772" s="1636"/>
      <c r="W772" s="1637"/>
      <c r="X772" s="1473"/>
      <c r="Y772" s="1474"/>
      <c r="Z772" s="1474"/>
      <c r="AA772" s="1474"/>
      <c r="AB772" s="1475"/>
      <c r="AC772" s="1473"/>
      <c r="AD772" s="1474"/>
      <c r="AE772" s="1474"/>
      <c r="AF772" s="1474"/>
      <c r="AG772" s="1475"/>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68" t="s">
        <v>163</v>
      </c>
      <c r="K773" s="1369"/>
      <c r="L773" s="1369"/>
      <c r="M773" s="1369"/>
      <c r="N773" s="1370"/>
      <c r="O773" s="1384">
        <v>1</v>
      </c>
      <c r="P773" s="1384"/>
      <c r="Q773" s="1384"/>
      <c r="R773" s="1384"/>
      <c r="S773" s="1384"/>
      <c r="T773" s="1365">
        <v>902</v>
      </c>
      <c r="U773" s="1366"/>
      <c r="V773" s="1366"/>
      <c r="W773" s="1367"/>
      <c r="X773" s="1362">
        <v>0</v>
      </c>
      <c r="Y773" s="1363"/>
      <c r="Z773" s="1363"/>
      <c r="AA773" s="1363"/>
      <c r="AB773" s="1364"/>
      <c r="AC773" s="1381">
        <f>X773*O773</f>
        <v>0</v>
      </c>
      <c r="AD773" s="1382"/>
      <c r="AE773" s="1382"/>
      <c r="AF773" s="1382"/>
      <c r="AG773" s="1383"/>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68"/>
      <c r="K774" s="1369"/>
      <c r="L774" s="1369"/>
      <c r="M774" s="1369"/>
      <c r="N774" s="1370"/>
      <c r="O774" s="1384"/>
      <c r="P774" s="1384"/>
      <c r="Q774" s="1384"/>
      <c r="R774" s="1384"/>
      <c r="S774" s="1384"/>
      <c r="T774" s="1365"/>
      <c r="U774" s="1366"/>
      <c r="V774" s="1366"/>
      <c r="W774" s="1367"/>
      <c r="X774" s="1362"/>
      <c r="Y774" s="1363"/>
      <c r="Z774" s="1363"/>
      <c r="AA774" s="1363"/>
      <c r="AB774" s="1364"/>
      <c r="AC774" s="1381">
        <f>X774*O774</f>
        <v>0</v>
      </c>
      <c r="AD774" s="1382"/>
      <c r="AE774" s="1382"/>
      <c r="AF774" s="1382"/>
      <c r="AG774" s="1383"/>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68"/>
      <c r="K775" s="1369"/>
      <c r="L775" s="1369"/>
      <c r="M775" s="1369"/>
      <c r="N775" s="1370"/>
      <c r="O775" s="1384"/>
      <c r="P775" s="1384"/>
      <c r="Q775" s="1384"/>
      <c r="R775" s="1384"/>
      <c r="S775" s="1384"/>
      <c r="T775" s="1365"/>
      <c r="U775" s="1366"/>
      <c r="V775" s="1366"/>
      <c r="W775" s="1367"/>
      <c r="X775" s="1362"/>
      <c r="Y775" s="1363"/>
      <c r="Z775" s="1363"/>
      <c r="AA775" s="1363"/>
      <c r="AB775" s="1364"/>
      <c r="AC775" s="1381">
        <f>X775*O775</f>
        <v>0</v>
      </c>
      <c r="AD775" s="1382"/>
      <c r="AE775" s="1382"/>
      <c r="AF775" s="1382"/>
      <c r="AG775" s="1383"/>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68"/>
      <c r="K776" s="1369"/>
      <c r="L776" s="1369"/>
      <c r="M776" s="1369"/>
      <c r="N776" s="1370"/>
      <c r="O776" s="1384"/>
      <c r="P776" s="1384"/>
      <c r="Q776" s="1384"/>
      <c r="R776" s="1384"/>
      <c r="S776" s="1384"/>
      <c r="T776" s="1365"/>
      <c r="U776" s="1366"/>
      <c r="V776" s="1366"/>
      <c r="W776" s="1367"/>
      <c r="X776" s="1362"/>
      <c r="Y776" s="1363"/>
      <c r="Z776" s="1363"/>
      <c r="AA776" s="1363"/>
      <c r="AB776" s="1364"/>
      <c r="AC776" s="1381">
        <f>X776*O776</f>
        <v>0</v>
      </c>
      <c r="AD776" s="1382"/>
      <c r="AE776" s="1382"/>
      <c r="AF776" s="1382"/>
      <c r="AG776" s="1383"/>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639" t="s">
        <v>125</v>
      </c>
      <c r="K777" s="1640"/>
      <c r="L777" s="1640"/>
      <c r="M777" s="1640"/>
      <c r="N777" s="1641"/>
      <c r="O777" s="1489">
        <f>SUM(O773:S776)</f>
        <v>1</v>
      </c>
      <c r="P777" s="1490"/>
      <c r="Q777" s="1490"/>
      <c r="R777" s="1490"/>
      <c r="S777" s="1491"/>
      <c r="X777" s="1639" t="s">
        <v>124</v>
      </c>
      <c r="Y777" s="1640"/>
      <c r="Z777" s="1640"/>
      <c r="AA777" s="1640"/>
      <c r="AB777" s="1641"/>
      <c r="AC777" s="1381">
        <f>SUM(AC773:AG776)</f>
        <v>0</v>
      </c>
      <c r="AD777" s="1382"/>
      <c r="AE777" s="1382"/>
      <c r="AF777" s="1382"/>
      <c r="AG777" s="1383"/>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631" t="s">
        <v>676</v>
      </c>
      <c r="K779" s="1631"/>
      <c r="L779" s="56"/>
      <c r="M779" s="35" t="s">
        <v>994</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2406</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593</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467" t="s">
        <v>389</v>
      </c>
      <c r="K783" s="1468"/>
      <c r="L783" s="1468"/>
      <c r="M783" s="1468"/>
      <c r="N783" s="1469"/>
      <c r="O783" s="1385" t="s">
        <v>285</v>
      </c>
      <c r="P783" s="1385"/>
      <c r="Q783" s="1385"/>
      <c r="R783" s="1385"/>
      <c r="S783" s="1385"/>
      <c r="T783" s="1476" t="s">
        <v>1866</v>
      </c>
      <c r="U783" s="1477"/>
      <c r="V783" s="1477"/>
      <c r="W783" s="1478"/>
      <c r="X783" s="1467" t="s">
        <v>454</v>
      </c>
      <c r="Y783" s="1468"/>
      <c r="Z783" s="1468"/>
      <c r="AA783" s="1468"/>
      <c r="AB783" s="1469"/>
      <c r="AC783" s="1467" t="s">
        <v>286</v>
      </c>
      <c r="AD783" s="1468"/>
      <c r="AE783" s="1468"/>
      <c r="AF783" s="1468"/>
      <c r="AG783" s="1469"/>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470"/>
      <c r="K784" s="1471"/>
      <c r="L784" s="1471"/>
      <c r="M784" s="1471"/>
      <c r="N784" s="1472"/>
      <c r="O784" s="1385"/>
      <c r="P784" s="1385"/>
      <c r="Q784" s="1385"/>
      <c r="R784" s="1385"/>
      <c r="S784" s="1385"/>
      <c r="T784" s="1479"/>
      <c r="U784" s="1480"/>
      <c r="V784" s="1480"/>
      <c r="W784" s="1481"/>
      <c r="X784" s="1470"/>
      <c r="Y784" s="1471"/>
      <c r="Z784" s="1471"/>
      <c r="AA784" s="1471"/>
      <c r="AB784" s="1472"/>
      <c r="AC784" s="1470"/>
      <c r="AD784" s="1471"/>
      <c r="AE784" s="1471"/>
      <c r="AF784" s="1471"/>
      <c r="AG784" s="1472"/>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470"/>
      <c r="K785" s="1471"/>
      <c r="L785" s="1471"/>
      <c r="M785" s="1471"/>
      <c r="N785" s="1472"/>
      <c r="O785" s="1385"/>
      <c r="P785" s="1385"/>
      <c r="Q785" s="1385"/>
      <c r="R785" s="1385"/>
      <c r="S785" s="1385"/>
      <c r="T785" s="1479"/>
      <c r="U785" s="1480"/>
      <c r="V785" s="1480"/>
      <c r="W785" s="1481"/>
      <c r="X785" s="1470"/>
      <c r="Y785" s="1471"/>
      <c r="Z785" s="1471"/>
      <c r="AA785" s="1471"/>
      <c r="AB785" s="1472"/>
      <c r="AC785" s="1470"/>
      <c r="AD785" s="1471"/>
      <c r="AE785" s="1471"/>
      <c r="AF785" s="1471"/>
      <c r="AG785" s="1472"/>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473"/>
      <c r="K786" s="1474"/>
      <c r="L786" s="1474"/>
      <c r="M786" s="1474"/>
      <c r="N786" s="1475"/>
      <c r="O786" s="1385"/>
      <c r="P786" s="1385"/>
      <c r="Q786" s="1385"/>
      <c r="R786" s="1385"/>
      <c r="S786" s="1385"/>
      <c r="T786" s="1635"/>
      <c r="U786" s="1636"/>
      <c r="V786" s="1636"/>
      <c r="W786" s="1637"/>
      <c r="X786" s="1473"/>
      <c r="Y786" s="1474"/>
      <c r="Z786" s="1474"/>
      <c r="AA786" s="1474"/>
      <c r="AB786" s="1475"/>
      <c r="AC786" s="1473"/>
      <c r="AD786" s="1474"/>
      <c r="AE786" s="1474"/>
      <c r="AF786" s="1474"/>
      <c r="AG786" s="1475"/>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68"/>
      <c r="K787" s="1369"/>
      <c r="L787" s="1369"/>
      <c r="M787" s="1369"/>
      <c r="N787" s="1370"/>
      <c r="O787" s="1384"/>
      <c r="P787" s="1384"/>
      <c r="Q787" s="1384"/>
      <c r="R787" s="1384"/>
      <c r="S787" s="1384"/>
      <c r="T787" s="1365"/>
      <c r="U787" s="1366"/>
      <c r="V787" s="1366"/>
      <c r="W787" s="1367"/>
      <c r="X787" s="1362"/>
      <c r="Y787" s="1363"/>
      <c r="Z787" s="1363"/>
      <c r="AA787" s="1363"/>
      <c r="AB787" s="1364"/>
      <c r="AC787" s="1381">
        <f t="shared" ref="AC787:AC796" si="63">X787*O787</f>
        <v>0</v>
      </c>
      <c r="AD787" s="1382"/>
      <c r="AE787" s="1382"/>
      <c r="AF787" s="1382"/>
      <c r="AG787" s="138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68"/>
      <c r="K788" s="1369"/>
      <c r="L788" s="1369"/>
      <c r="M788" s="1369"/>
      <c r="N788" s="1370"/>
      <c r="O788" s="1384"/>
      <c r="P788" s="1384"/>
      <c r="Q788" s="1384"/>
      <c r="R788" s="1384"/>
      <c r="S788" s="1384"/>
      <c r="T788" s="1365"/>
      <c r="U788" s="1366"/>
      <c r="V788" s="1366"/>
      <c r="W788" s="1367"/>
      <c r="X788" s="1362"/>
      <c r="Y788" s="1363"/>
      <c r="Z788" s="1363"/>
      <c r="AA788" s="1363"/>
      <c r="AB788" s="1364"/>
      <c r="AC788" s="1381">
        <f t="shared" si="63"/>
        <v>0</v>
      </c>
      <c r="AD788" s="1382"/>
      <c r="AE788" s="1382"/>
      <c r="AF788" s="1382"/>
      <c r="AG788" s="1383"/>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68"/>
      <c r="K789" s="1369"/>
      <c r="L789" s="1369"/>
      <c r="M789" s="1369"/>
      <c r="N789" s="1370"/>
      <c r="O789" s="1384"/>
      <c r="P789" s="1384"/>
      <c r="Q789" s="1384"/>
      <c r="R789" s="1384"/>
      <c r="S789" s="1384"/>
      <c r="T789" s="1365"/>
      <c r="U789" s="1366"/>
      <c r="V789" s="1366"/>
      <c r="W789" s="1367"/>
      <c r="X789" s="1362"/>
      <c r="Y789" s="1363"/>
      <c r="Z789" s="1363"/>
      <c r="AA789" s="1363"/>
      <c r="AB789" s="1364"/>
      <c r="AC789" s="1381">
        <f t="shared" si="63"/>
        <v>0</v>
      </c>
      <c r="AD789" s="1382"/>
      <c r="AE789" s="1382"/>
      <c r="AF789" s="1382"/>
      <c r="AG789" s="1383"/>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68"/>
      <c r="K790" s="1369"/>
      <c r="L790" s="1369"/>
      <c r="M790" s="1369"/>
      <c r="N790" s="1370"/>
      <c r="O790" s="1384"/>
      <c r="P790" s="1384"/>
      <c r="Q790" s="1384"/>
      <c r="R790" s="1384"/>
      <c r="S790" s="1384"/>
      <c r="T790" s="1365"/>
      <c r="U790" s="1366"/>
      <c r="V790" s="1366"/>
      <c r="W790" s="1367"/>
      <c r="X790" s="1362"/>
      <c r="Y790" s="1363"/>
      <c r="Z790" s="1363"/>
      <c r="AA790" s="1363"/>
      <c r="AB790" s="1364"/>
      <c r="AC790" s="1381">
        <f t="shared" si="63"/>
        <v>0</v>
      </c>
      <c r="AD790" s="1382"/>
      <c r="AE790" s="1382"/>
      <c r="AF790" s="1382"/>
      <c r="AG790" s="1383"/>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68"/>
      <c r="K791" s="1369"/>
      <c r="L791" s="1369"/>
      <c r="M791" s="1369"/>
      <c r="N791" s="1370"/>
      <c r="O791" s="1384"/>
      <c r="P791" s="1384"/>
      <c r="Q791" s="1384"/>
      <c r="R791" s="1384"/>
      <c r="S791" s="1384"/>
      <c r="T791" s="1365"/>
      <c r="U791" s="1366"/>
      <c r="V791" s="1366"/>
      <c r="W791" s="1367"/>
      <c r="X791" s="1362"/>
      <c r="Y791" s="1363"/>
      <c r="Z791" s="1363"/>
      <c r="AA791" s="1363"/>
      <c r="AB791" s="1364"/>
      <c r="AC791" s="1381">
        <f t="shared" si="63"/>
        <v>0</v>
      </c>
      <c r="AD791" s="1382"/>
      <c r="AE791" s="1382"/>
      <c r="AF791" s="1382"/>
      <c r="AG791" s="1383"/>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68"/>
      <c r="K792" s="1369"/>
      <c r="L792" s="1369"/>
      <c r="M792" s="1369"/>
      <c r="N792" s="1370"/>
      <c r="O792" s="1384"/>
      <c r="P792" s="1384"/>
      <c r="Q792" s="1384"/>
      <c r="R792" s="1384"/>
      <c r="S792" s="1384"/>
      <c r="T792" s="1365"/>
      <c r="U792" s="1366"/>
      <c r="V792" s="1366"/>
      <c r="W792" s="1367"/>
      <c r="X792" s="1362"/>
      <c r="Y792" s="1363"/>
      <c r="Z792" s="1363"/>
      <c r="AA792" s="1363"/>
      <c r="AB792" s="1364"/>
      <c r="AC792" s="1381">
        <f t="shared" si="63"/>
        <v>0</v>
      </c>
      <c r="AD792" s="1382"/>
      <c r="AE792" s="1382"/>
      <c r="AF792" s="1382"/>
      <c r="AG792" s="1383"/>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68"/>
      <c r="K793" s="1369"/>
      <c r="L793" s="1369"/>
      <c r="M793" s="1369"/>
      <c r="N793" s="1370"/>
      <c r="O793" s="1384"/>
      <c r="P793" s="1384"/>
      <c r="Q793" s="1384"/>
      <c r="R793" s="1384"/>
      <c r="S793" s="1384"/>
      <c r="T793" s="1365"/>
      <c r="U793" s="1366"/>
      <c r="V793" s="1366"/>
      <c r="W793" s="1367"/>
      <c r="X793" s="1362"/>
      <c r="Y793" s="1363"/>
      <c r="Z793" s="1363"/>
      <c r="AA793" s="1363"/>
      <c r="AB793" s="1364"/>
      <c r="AC793" s="1381">
        <f t="shared" si="63"/>
        <v>0</v>
      </c>
      <c r="AD793" s="1382"/>
      <c r="AE793" s="1382"/>
      <c r="AF793" s="1382"/>
      <c r="AG793" s="1383"/>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68"/>
      <c r="K794" s="1369"/>
      <c r="L794" s="1369"/>
      <c r="M794" s="1369"/>
      <c r="N794" s="1370"/>
      <c r="O794" s="1384"/>
      <c r="P794" s="1384"/>
      <c r="Q794" s="1384"/>
      <c r="R794" s="1384"/>
      <c r="S794" s="1384"/>
      <c r="T794" s="1365"/>
      <c r="U794" s="1366"/>
      <c r="V794" s="1366"/>
      <c r="W794" s="1367"/>
      <c r="X794" s="1362"/>
      <c r="Y794" s="1363"/>
      <c r="Z794" s="1363"/>
      <c r="AA794" s="1363"/>
      <c r="AB794" s="1364"/>
      <c r="AC794" s="1381">
        <f t="shared" si="63"/>
        <v>0</v>
      </c>
      <c r="AD794" s="1382"/>
      <c r="AE794" s="1382"/>
      <c r="AF794" s="1382"/>
      <c r="AG794" s="1383"/>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68"/>
      <c r="K795" s="1369"/>
      <c r="L795" s="1369"/>
      <c r="M795" s="1369"/>
      <c r="N795" s="1370"/>
      <c r="O795" s="1384"/>
      <c r="P795" s="1384"/>
      <c r="Q795" s="1384"/>
      <c r="R795" s="1384"/>
      <c r="S795" s="1384"/>
      <c r="T795" s="1365"/>
      <c r="U795" s="1366"/>
      <c r="V795" s="1366"/>
      <c r="W795" s="1367"/>
      <c r="X795" s="1362"/>
      <c r="Y795" s="1363"/>
      <c r="Z795" s="1363"/>
      <c r="AA795" s="1363"/>
      <c r="AB795" s="1364"/>
      <c r="AC795" s="1381">
        <f t="shared" si="63"/>
        <v>0</v>
      </c>
      <c r="AD795" s="1382"/>
      <c r="AE795" s="1382"/>
      <c r="AF795" s="1382"/>
      <c r="AG795" s="1383"/>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68"/>
      <c r="K796" s="1369"/>
      <c r="L796" s="1369"/>
      <c r="M796" s="1369"/>
      <c r="N796" s="1370"/>
      <c r="O796" s="1384"/>
      <c r="P796" s="1384"/>
      <c r="Q796" s="1384"/>
      <c r="R796" s="1384"/>
      <c r="S796" s="1384"/>
      <c r="T796" s="1365"/>
      <c r="U796" s="1366"/>
      <c r="V796" s="1366"/>
      <c r="W796" s="1367"/>
      <c r="X796" s="1362"/>
      <c r="Y796" s="1363"/>
      <c r="Z796" s="1363"/>
      <c r="AA796" s="1363"/>
      <c r="AB796" s="1364"/>
      <c r="AC796" s="1381">
        <f t="shared" si="63"/>
        <v>0</v>
      </c>
      <c r="AD796" s="1382"/>
      <c r="AE796" s="1382"/>
      <c r="AF796" s="1382"/>
      <c r="AG796" s="1383"/>
      <c r="AH796"/>
      <c r="AI796"/>
      <c r="AJ796"/>
      <c r="AK796"/>
      <c r="AL796"/>
      <c r="AM796"/>
      <c r="AN796"/>
      <c r="AO796"/>
      <c r="AP796"/>
      <c r="AQ796"/>
      <c r="AR796"/>
      <c r="AS796"/>
      <c r="AT796"/>
      <c r="AU796"/>
      <c r="AV796"/>
      <c r="AW796"/>
      <c r="AX796"/>
      <c r="AY796"/>
      <c r="AZ796" s="3"/>
      <c r="BB796" s="14" t="s">
        <v>639</v>
      </c>
      <c r="BC796" s="14"/>
      <c r="BD796" s="14"/>
      <c r="BE796" s="14"/>
      <c r="BF796" s="14"/>
      <c r="BG796" s="14"/>
      <c r="BH796" s="14"/>
      <c r="BI796" s="14"/>
      <c r="BJ796" s="14"/>
      <c r="BK796" s="14"/>
      <c r="BL796" s="14"/>
      <c r="BM796" s="14"/>
      <c r="BN796" s="1660" t="s">
        <v>476</v>
      </c>
      <c r="BO796" s="1661"/>
      <c r="BP796" s="3"/>
      <c r="BQ796" s="3"/>
      <c r="BR796" s="3"/>
      <c r="BS796" s="14" t="s">
        <v>641</v>
      </c>
      <c r="BT796" s="14"/>
      <c r="BU796" s="14"/>
      <c r="BV796" s="14"/>
      <c r="BW796" s="14"/>
      <c r="BX796" s="14"/>
      <c r="BY796" s="14"/>
      <c r="BZ796" s="14"/>
      <c r="CA796" s="14"/>
      <c r="CB796" s="1657" t="str">
        <f>T189</f>
        <v>Santa Cruz</v>
      </c>
      <c r="CC796" s="1658"/>
      <c r="CD796" s="1658"/>
      <c r="CE796" s="1658"/>
      <c r="CF796" s="1658"/>
      <c r="CG796" s="1658"/>
      <c r="CH796" s="1659"/>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639" t="s">
        <v>125</v>
      </c>
      <c r="K797" s="1640"/>
      <c r="L797" s="1640"/>
      <c r="M797" s="1640"/>
      <c r="N797" s="1641"/>
      <c r="O797" s="1495">
        <f>SUM(O787:S796)</f>
        <v>0</v>
      </c>
      <c r="P797" s="1495"/>
      <c r="Q797" s="1495"/>
      <c r="R797" s="1495"/>
      <c r="S797" s="1495"/>
      <c r="T797"/>
      <c r="U797"/>
      <c r="V797"/>
      <c r="W797"/>
      <c r="X797" s="937" t="s">
        <v>124</v>
      </c>
      <c r="Y797" s="11"/>
      <c r="Z797" s="11"/>
      <c r="AA797" s="11"/>
      <c r="AB797" s="944"/>
      <c r="AC797" s="1381">
        <f>SUM(AC787:AG796)</f>
        <v>0</v>
      </c>
      <c r="AD797" s="1382"/>
      <c r="AE797" s="1382"/>
      <c r="AF797" s="1382"/>
      <c r="AG797" s="1383"/>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19" t="str">
        <f>IF(O797&lt;&gt;AG438,"! Total market rate units in the Unit Mix Table above does not match the number of  market rate units on row #"&amp;TEXT(ROW(D438),"#"),"")</f>
        <v/>
      </c>
      <c r="D798" s="1419"/>
      <c r="E798" s="1419"/>
      <c r="F798" s="1419"/>
      <c r="G798" s="1419"/>
      <c r="H798" s="1419"/>
      <c r="I798" s="1419"/>
      <c r="J798" s="1419"/>
      <c r="K798" s="1419"/>
      <c r="L798" s="1419"/>
      <c r="M798" s="1419"/>
      <c r="N798" s="1419"/>
      <c r="O798" s="1419"/>
      <c r="P798" s="1419"/>
      <c r="Q798" s="1419"/>
      <c r="R798" s="1419"/>
      <c r="S798" s="1419"/>
      <c r="T798" s="1419"/>
      <c r="U798" s="1419"/>
      <c r="V798" s="1419"/>
      <c r="W798" s="1419"/>
      <c r="X798" s="1419"/>
      <c r="Y798" s="1419"/>
      <c r="Z798" s="1419"/>
      <c r="AA798" s="1419"/>
      <c r="AB798" s="1419"/>
      <c r="AC798" s="1419"/>
      <c r="AD798" s="1419"/>
      <c r="AE798" s="1419"/>
      <c r="AF798" s="1419"/>
      <c r="AG798" s="1419"/>
      <c r="AH798" s="1419"/>
      <c r="AI798" s="1419"/>
      <c r="AJ798" s="1419"/>
      <c r="AK798" s="1419"/>
      <c r="AL798" s="1419"/>
      <c r="AM798" s="1419"/>
      <c r="AN798" s="1419"/>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476</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19"/>
      <c r="D799" s="1419"/>
      <c r="E799" s="1419"/>
      <c r="F799" s="1419"/>
      <c r="G799" s="1419"/>
      <c r="H799" s="1419"/>
      <c r="I799" s="1419"/>
      <c r="J799" s="1419"/>
      <c r="K799" s="1419"/>
      <c r="L799" s="1419"/>
      <c r="M799" s="1419"/>
      <c r="N799" s="1419"/>
      <c r="O799" s="1419"/>
      <c r="P799" s="1419"/>
      <c r="Q799" s="1419"/>
      <c r="R799" s="1419"/>
      <c r="S799" s="1419"/>
      <c r="T799" s="1419"/>
      <c r="U799" s="1419"/>
      <c r="V799" s="1419"/>
      <c r="W799" s="1419"/>
      <c r="X799" s="1419"/>
      <c r="Y799" s="1419"/>
      <c r="Z799" s="1419"/>
      <c r="AA799" s="1419"/>
      <c r="AB799" s="1419"/>
      <c r="AC799" s="1419"/>
      <c r="AD799" s="1419"/>
      <c r="AE799" s="1419"/>
      <c r="AF799" s="1419"/>
      <c r="AG799" s="1419"/>
      <c r="AH799" s="1419"/>
      <c r="AI799" s="1419"/>
      <c r="AJ799" s="1419"/>
      <c r="AK799" s="1419"/>
      <c r="AL799" s="1419"/>
      <c r="AM799" s="1419"/>
      <c r="AN799" s="1419"/>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475</v>
      </c>
      <c r="BO799" s="31" t="s">
        <v>2632</v>
      </c>
      <c r="BP799" s="32"/>
      <c r="BQ799" s="32"/>
      <c r="BR799" s="32"/>
      <c r="BS799" s="32"/>
      <c r="BT799" s="32"/>
      <c r="BU799" s="14"/>
      <c r="BV799" s="31" t="s">
        <v>2633</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71">
        <f>O753+AC777+AC797</f>
        <v>197098</v>
      </c>
      <c r="Z800" s="1771"/>
      <c r="AA800" s="1771"/>
      <c r="AB800" s="1771"/>
      <c r="AC800" s="1771"/>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71">
        <f>(O753+AC777+AC797)*12</f>
        <v>2365176</v>
      </c>
      <c r="Z801" s="1771"/>
      <c r="AA801" s="1771"/>
      <c r="AB801" s="1771"/>
      <c r="AC801" s="1771"/>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476</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596</v>
      </c>
      <c r="B803" s="2"/>
      <c r="C803" s="2" t="s">
        <v>619</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934</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640</v>
      </c>
      <c r="BQ805" s="72" t="s">
        <v>325</v>
      </c>
      <c r="BR805" s="72" t="s">
        <v>163</v>
      </c>
      <c r="BS805" s="72" t="s">
        <v>164</v>
      </c>
      <c r="BT805" s="72" t="s">
        <v>467</v>
      </c>
      <c r="BU805" s="14"/>
      <c r="BV805" s="14"/>
      <c r="BW805" s="71" t="s">
        <v>640</v>
      </c>
      <c r="BX805" s="72" t="s">
        <v>325</v>
      </c>
      <c r="BY805" s="72" t="s">
        <v>163</v>
      </c>
      <c r="BZ805" s="72" t="s">
        <v>164</v>
      </c>
      <c r="CA805" s="72" t="s">
        <v>467</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387">
        <v>31</v>
      </c>
      <c r="AA806" s="1388"/>
      <c r="AB806" s="1388"/>
      <c r="AC806" s="1388"/>
      <c r="AD806" s="1388"/>
      <c r="AE806" s="1389"/>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643</v>
      </c>
      <c r="BP806" s="351">
        <v>473390</v>
      </c>
      <c r="BQ806" s="351">
        <v>545814</v>
      </c>
      <c r="BR806" s="351">
        <v>658400</v>
      </c>
      <c r="BS806" s="351">
        <v>842752</v>
      </c>
      <c r="BT806" s="351">
        <v>938878</v>
      </c>
      <c r="BU806" s="14"/>
      <c r="BV806" s="23" t="s">
        <v>643</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76">
        <v>20</v>
      </c>
      <c r="AA807" s="1388"/>
      <c r="AB807" s="1388"/>
      <c r="AC807" s="1388"/>
      <c r="AD807" s="1388"/>
      <c r="AE807" s="1389"/>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644</v>
      </c>
      <c r="BP807" s="349">
        <v>352022</v>
      </c>
      <c r="BQ807" s="349">
        <v>405878</v>
      </c>
      <c r="BR807" s="349">
        <v>489600</v>
      </c>
      <c r="BS807" s="349">
        <v>626688</v>
      </c>
      <c r="BT807" s="349">
        <v>698170</v>
      </c>
      <c r="BU807" s="14"/>
      <c r="BV807" s="23" t="s">
        <v>644</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74" t="s">
        <v>2687</v>
      </c>
      <c r="AA808" s="1574"/>
      <c r="AB808" s="1574"/>
      <c r="AC808" s="1574"/>
      <c r="AD808" s="1574"/>
      <c r="AE808" s="1575"/>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339</v>
      </c>
      <c r="BP808" s="351">
        <v>352022</v>
      </c>
      <c r="BQ808" s="351">
        <v>405878</v>
      </c>
      <c r="BR808" s="351">
        <v>489600</v>
      </c>
      <c r="BS808" s="351">
        <v>626688</v>
      </c>
      <c r="BT808" s="351">
        <v>698170</v>
      </c>
      <c r="BU808" s="14"/>
      <c r="BV808" s="23" t="s">
        <v>339</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26">
        <f>'Subsidy Contract Calculation'!J40</f>
        <v>917772</v>
      </c>
      <c r="AA809" s="1627"/>
      <c r="AB809" s="1627"/>
      <c r="AC809" s="1627"/>
      <c r="AD809" s="1627"/>
      <c r="AE809" s="1628"/>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667</v>
      </c>
      <c r="BP809" s="349">
        <v>319236</v>
      </c>
      <c r="BQ809" s="349">
        <v>368076</v>
      </c>
      <c r="BR809" s="349">
        <v>444000</v>
      </c>
      <c r="BS809" s="349">
        <v>568320</v>
      </c>
      <c r="BT809" s="349">
        <v>633144</v>
      </c>
      <c r="BU809" s="14"/>
      <c r="BV809" s="23" t="s">
        <v>667</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668</v>
      </c>
      <c r="BP810" s="351">
        <v>352022</v>
      </c>
      <c r="BQ810" s="351">
        <v>405878</v>
      </c>
      <c r="BR810" s="351">
        <v>489600</v>
      </c>
      <c r="BS810" s="351">
        <v>626688</v>
      </c>
      <c r="BT810" s="351">
        <v>698170</v>
      </c>
      <c r="BU810" s="14"/>
      <c r="BV810" s="23" t="s">
        <v>668</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597</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669</v>
      </c>
      <c r="BP811" s="349">
        <v>352022</v>
      </c>
      <c r="BQ811" s="349">
        <v>405878</v>
      </c>
      <c r="BR811" s="349">
        <v>489600</v>
      </c>
      <c r="BS811" s="349">
        <v>626688</v>
      </c>
      <c r="BT811" s="349">
        <v>698170</v>
      </c>
      <c r="BU811" s="14"/>
      <c r="BV811" s="23" t="s">
        <v>669</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670</v>
      </c>
      <c r="BP812" s="351">
        <v>473390</v>
      </c>
      <c r="BQ812" s="351">
        <v>545814</v>
      </c>
      <c r="BR812" s="351">
        <v>658400</v>
      </c>
      <c r="BS812" s="351">
        <v>842752</v>
      </c>
      <c r="BT812" s="351">
        <v>938878</v>
      </c>
      <c r="BU812" s="14"/>
      <c r="BV812" s="23" t="s">
        <v>670</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02">
        <v>16368</v>
      </c>
      <c r="AA813" s="1503"/>
      <c r="AB813" s="1503"/>
      <c r="AC813" s="1503"/>
      <c r="AD813" s="1503"/>
      <c r="AE813" s="1504"/>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671</v>
      </c>
      <c r="BP813" s="349">
        <v>352022</v>
      </c>
      <c r="BQ813" s="349">
        <v>405878</v>
      </c>
      <c r="BR813" s="349">
        <v>489600</v>
      </c>
      <c r="BS813" s="349">
        <v>626688</v>
      </c>
      <c r="BT813" s="349">
        <v>698170</v>
      </c>
      <c r="BU813" s="14"/>
      <c r="BV813" s="23" t="s">
        <v>671</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02"/>
      <c r="AA814" s="1503"/>
      <c r="AB814" s="1503"/>
      <c r="AC814" s="1503"/>
      <c r="AD814" s="1503"/>
      <c r="AE814" s="1504"/>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672</v>
      </c>
      <c r="BP814" s="351">
        <v>331890</v>
      </c>
      <c r="BQ814" s="351">
        <v>382666</v>
      </c>
      <c r="BR814" s="351">
        <v>461600</v>
      </c>
      <c r="BS814" s="351">
        <v>590848</v>
      </c>
      <c r="BT814" s="351">
        <v>658242</v>
      </c>
      <c r="BU814" s="14"/>
      <c r="BV814" s="23" t="s">
        <v>672</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02"/>
      <c r="AA815" s="1503"/>
      <c r="AB815" s="1503"/>
      <c r="AC815" s="1503"/>
      <c r="AD815" s="1503"/>
      <c r="AE815" s="1504"/>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674</v>
      </c>
      <c r="BP815" s="349">
        <v>307732</v>
      </c>
      <c r="BQ815" s="349">
        <v>354812</v>
      </c>
      <c r="BR815" s="349">
        <v>428000</v>
      </c>
      <c r="BS815" s="349">
        <v>547840</v>
      </c>
      <c r="BT815" s="349">
        <v>610328</v>
      </c>
      <c r="BU815" s="14"/>
      <c r="BV815" s="23" t="s">
        <v>674</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390" t="s">
        <v>334</v>
      </c>
      <c r="Q816" s="1391"/>
      <c r="R816" s="1391"/>
      <c r="S816" s="1391"/>
      <c r="T816" s="1391"/>
      <c r="U816" s="1391"/>
      <c r="V816" s="1391"/>
      <c r="W816" s="1391"/>
      <c r="X816" s="1391"/>
      <c r="Y816" s="1392"/>
      <c r="Z816" s="1502"/>
      <c r="AA816" s="1503"/>
      <c r="AB816" s="1503"/>
      <c r="AC816" s="1503"/>
      <c r="AD816" s="1503"/>
      <c r="AE816" s="1504"/>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677</v>
      </c>
      <c r="BP816" s="351">
        <v>352022</v>
      </c>
      <c r="BQ816" s="351">
        <v>405878</v>
      </c>
      <c r="BR816" s="351">
        <v>489600</v>
      </c>
      <c r="BS816" s="351">
        <v>626688</v>
      </c>
      <c r="BT816" s="351">
        <v>698170</v>
      </c>
      <c r="BU816" s="14"/>
      <c r="BV816" s="23" t="s">
        <v>677</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26">
        <f>SUM(Z813:AE816)</f>
        <v>16368</v>
      </c>
      <c r="AA817" s="1627"/>
      <c r="AB817" s="1627"/>
      <c r="AC817" s="1627"/>
      <c r="AD817" s="1627"/>
      <c r="AE817" s="1628"/>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678</v>
      </c>
      <c r="BP817" s="349">
        <v>352022</v>
      </c>
      <c r="BQ817" s="349">
        <v>405878</v>
      </c>
      <c r="BR817" s="349">
        <v>489600</v>
      </c>
      <c r="BS817" s="349">
        <v>626688</v>
      </c>
      <c r="BT817" s="349">
        <v>698170</v>
      </c>
      <c r="BU817" s="14"/>
      <c r="BV817" s="23" t="s">
        <v>678</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651</v>
      </c>
      <c r="Z818" s="1626">
        <f>Z817+Y801+Z809</f>
        <v>3299316</v>
      </c>
      <c r="AA818" s="1627"/>
      <c r="AB818" s="1627"/>
      <c r="AC818" s="1627"/>
      <c r="AD818" s="1627"/>
      <c r="AE818" s="1628"/>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680</v>
      </c>
      <c r="BP818" s="351">
        <v>314634</v>
      </c>
      <c r="BQ818" s="351">
        <v>362770</v>
      </c>
      <c r="BR818" s="351">
        <v>437600</v>
      </c>
      <c r="BS818" s="351">
        <v>560128</v>
      </c>
      <c r="BT818" s="351">
        <v>624018</v>
      </c>
      <c r="BU818" s="14"/>
      <c r="BV818" s="23" t="s">
        <v>680</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681</v>
      </c>
      <c r="BP819" s="349">
        <v>352022</v>
      </c>
      <c r="BQ819" s="349">
        <v>405878</v>
      </c>
      <c r="BR819" s="349">
        <v>489600</v>
      </c>
      <c r="BS819" s="349">
        <v>626688</v>
      </c>
      <c r="BT819" s="349">
        <v>698170</v>
      </c>
      <c r="BU819" s="14"/>
      <c r="BV819" s="23" t="s">
        <v>681</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599</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211</v>
      </c>
      <c r="BP820" s="351">
        <v>307732</v>
      </c>
      <c r="BQ820" s="351">
        <v>354812</v>
      </c>
      <c r="BR820" s="351">
        <v>428000</v>
      </c>
      <c r="BS820" s="351">
        <v>547840</v>
      </c>
      <c r="BT820" s="351">
        <v>610328</v>
      </c>
      <c r="BU820" s="14"/>
      <c r="BV820" s="23" t="s">
        <v>211</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825</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213</v>
      </c>
      <c r="BP821" s="349">
        <v>307732</v>
      </c>
      <c r="BQ821" s="349">
        <v>354812</v>
      </c>
      <c r="BR821" s="349">
        <v>428000</v>
      </c>
      <c r="BS821" s="349">
        <v>547840</v>
      </c>
      <c r="BT821" s="349">
        <v>610328</v>
      </c>
      <c r="BU821" s="14"/>
      <c r="BV821" s="23" t="s">
        <v>213</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214</v>
      </c>
      <c r="BP822" s="351">
        <v>352022</v>
      </c>
      <c r="BQ822" s="351">
        <v>405878</v>
      </c>
      <c r="BR822" s="351">
        <v>489600</v>
      </c>
      <c r="BS822" s="351">
        <v>626688</v>
      </c>
      <c r="BT822" s="351">
        <v>698170</v>
      </c>
      <c r="BU822" s="14"/>
      <c r="BV822" s="23" t="s">
        <v>214</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619" t="s">
        <v>126</v>
      </c>
      <c r="N823" s="1619"/>
      <c r="O823" s="1619"/>
      <c r="P823" s="1655"/>
      <c r="Q823" s="1386" t="s">
        <v>290</v>
      </c>
      <c r="R823" s="1386"/>
      <c r="S823" s="1386"/>
      <c r="T823" s="1386"/>
      <c r="U823" s="1386" t="s">
        <v>291</v>
      </c>
      <c r="V823" s="1386"/>
      <c r="W823" s="1386"/>
      <c r="X823" s="1386"/>
      <c r="Y823" s="1386" t="s">
        <v>292</v>
      </c>
      <c r="Z823" s="1386"/>
      <c r="AA823" s="1386"/>
      <c r="AB823" s="1386"/>
      <c r="AC823" s="1386" t="s">
        <v>361</v>
      </c>
      <c r="AD823" s="1386"/>
      <c r="AE823" s="1386"/>
      <c r="AF823" s="1386"/>
      <c r="AG823" s="1775" t="s">
        <v>335</v>
      </c>
      <c r="AH823" s="1775"/>
      <c r="AI823" s="1775"/>
      <c r="AJ823" s="1775"/>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216</v>
      </c>
      <c r="BP823" s="349">
        <v>352022</v>
      </c>
      <c r="BQ823" s="349">
        <v>405878</v>
      </c>
      <c r="BR823" s="349">
        <v>489600</v>
      </c>
      <c r="BS823" s="349">
        <v>626688</v>
      </c>
      <c r="BT823" s="349">
        <v>698170</v>
      </c>
      <c r="BU823" s="14"/>
      <c r="BV823" s="23" t="s">
        <v>216</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581"/>
      <c r="N824" s="1581"/>
      <c r="O824" s="1581"/>
      <c r="P824" s="1582"/>
      <c r="Q824" s="1386"/>
      <c r="R824" s="1386"/>
      <c r="S824" s="1386"/>
      <c r="T824" s="1386"/>
      <c r="U824" s="1386"/>
      <c r="V824" s="1386"/>
      <c r="W824" s="1386"/>
      <c r="X824" s="1386"/>
      <c r="Y824" s="1386"/>
      <c r="Z824" s="1386"/>
      <c r="AA824" s="1386"/>
      <c r="AB824" s="1386"/>
      <c r="AC824" s="1386"/>
      <c r="AD824" s="1386"/>
      <c r="AE824" s="1386"/>
      <c r="AF824" s="1386"/>
      <c r="AG824" s="1775"/>
      <c r="AH824" s="1775"/>
      <c r="AI824" s="1775"/>
      <c r="AJ824" s="1775"/>
      <c r="AK824"/>
      <c r="AL824" s="3"/>
      <c r="AM824" s="3"/>
      <c r="AN824" s="3"/>
      <c r="AO824" s="3"/>
      <c r="AP824" s="3"/>
      <c r="AQ824" s="3"/>
      <c r="AR824" s="3"/>
      <c r="AS824" s="3"/>
      <c r="AT824" s="3"/>
      <c r="AU824"/>
      <c r="AV824" s="3"/>
      <c r="AW824" s="3"/>
      <c r="AX824" s="3"/>
      <c r="AY824" s="3"/>
      <c r="AZ824" s="30"/>
      <c r="BA824" s="30"/>
      <c r="BO824" s="23" t="s">
        <v>217</v>
      </c>
      <c r="BP824" s="351">
        <v>437727</v>
      </c>
      <c r="BQ824" s="351">
        <v>504695</v>
      </c>
      <c r="BR824" s="351">
        <v>608800</v>
      </c>
      <c r="BS824" s="351">
        <v>779264</v>
      </c>
      <c r="BT824" s="351">
        <v>868149</v>
      </c>
      <c r="BV824" s="23" t="s">
        <v>217</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758" t="s">
        <v>40</v>
      </c>
      <c r="D825" s="1355"/>
      <c r="E825" s="1355"/>
      <c r="F825" s="1355"/>
      <c r="G825" s="1355"/>
      <c r="H825" s="1355"/>
      <c r="I825" s="48"/>
      <c r="J825" s="48"/>
      <c r="K825" s="48"/>
      <c r="L825" s="49"/>
      <c r="M825" s="1380">
        <v>29</v>
      </c>
      <c r="N825" s="1380"/>
      <c r="O825" s="1380"/>
      <c r="P825" s="1380"/>
      <c r="Q825" s="1380">
        <v>34</v>
      </c>
      <c r="R825" s="1380"/>
      <c r="S825" s="1380"/>
      <c r="T825" s="1380"/>
      <c r="U825" s="1380">
        <v>43</v>
      </c>
      <c r="V825" s="1380"/>
      <c r="W825" s="1380"/>
      <c r="X825" s="1380"/>
      <c r="Y825" s="1380">
        <v>52</v>
      </c>
      <c r="Z825" s="1380"/>
      <c r="AA825" s="1380"/>
      <c r="AB825" s="1380"/>
      <c r="AC825" s="1456"/>
      <c r="AD825" s="1457"/>
      <c r="AE825" s="1457"/>
      <c r="AF825" s="1458"/>
      <c r="AG825" s="1456"/>
      <c r="AH825" s="1457"/>
      <c r="AI825" s="1457"/>
      <c r="AJ825" s="1458"/>
      <c r="AK825"/>
      <c r="AL825" s="3"/>
      <c r="AM825" s="3"/>
      <c r="AN825" s="3"/>
      <c r="AO825" s="3"/>
      <c r="AP825" s="3"/>
      <c r="AQ825" s="3"/>
      <c r="AR825" s="3"/>
      <c r="AS825" s="3"/>
      <c r="AT825" s="3"/>
      <c r="AU825"/>
      <c r="AV825" s="3"/>
      <c r="AW825" s="3"/>
      <c r="AX825" s="3"/>
      <c r="AY825" s="3"/>
      <c r="AZ825" s="30"/>
      <c r="BA825" s="30"/>
      <c r="BO825" s="23" t="s">
        <v>219</v>
      </c>
      <c r="BP825" s="349">
        <v>307732</v>
      </c>
      <c r="BQ825" s="349">
        <v>354812</v>
      </c>
      <c r="BR825" s="349">
        <v>428000</v>
      </c>
      <c r="BS825" s="349">
        <v>547840</v>
      </c>
      <c r="BT825" s="349">
        <v>610328</v>
      </c>
      <c r="BV825" s="23" t="s">
        <v>219</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623" t="s">
        <v>41</v>
      </c>
      <c r="D826" s="1624"/>
      <c r="E826" s="1624"/>
      <c r="F826" s="1624"/>
      <c r="G826" s="1624"/>
      <c r="H826" s="1624"/>
      <c r="I826" s="5"/>
      <c r="J826" s="5"/>
      <c r="K826" s="5"/>
      <c r="L826" s="46"/>
      <c r="M826" s="1380"/>
      <c r="N826" s="1380"/>
      <c r="O826" s="1380"/>
      <c r="P826" s="1380"/>
      <c r="Q826" s="1380"/>
      <c r="R826" s="1380"/>
      <c r="S826" s="1380"/>
      <c r="T826" s="1380"/>
      <c r="U826" s="1380"/>
      <c r="V826" s="1380"/>
      <c r="W826" s="1380"/>
      <c r="X826" s="1380"/>
      <c r="Y826" s="1380"/>
      <c r="Z826" s="1380"/>
      <c r="AA826" s="1380"/>
      <c r="AB826" s="1380"/>
      <c r="AC826" s="1456"/>
      <c r="AD826" s="1457"/>
      <c r="AE826" s="1457"/>
      <c r="AF826" s="1458"/>
      <c r="AG826" s="1456"/>
      <c r="AH826" s="1457"/>
      <c r="AI826" s="1457"/>
      <c r="AJ826" s="1458"/>
      <c r="AK826"/>
      <c r="AL826" s="3"/>
      <c r="AM826" s="3"/>
      <c r="AN826" s="3"/>
      <c r="AO826" s="3"/>
      <c r="AP826" s="3"/>
      <c r="AQ826" s="3"/>
      <c r="AR826" s="3"/>
      <c r="AS826" s="3"/>
      <c r="AT826" s="3"/>
      <c r="AU826"/>
      <c r="AV826" s="3"/>
      <c r="AW826" s="3"/>
      <c r="AX826" s="3"/>
      <c r="AY826" s="3"/>
      <c r="AZ826" s="30"/>
      <c r="BA826" s="30"/>
      <c r="BO826" s="23" t="s">
        <v>220</v>
      </c>
      <c r="BP826" s="351">
        <v>384234</v>
      </c>
      <c r="BQ826" s="351">
        <v>443018</v>
      </c>
      <c r="BR826" s="351">
        <v>534400</v>
      </c>
      <c r="BS826" s="351">
        <v>684032</v>
      </c>
      <c r="BT826" s="351">
        <v>762054</v>
      </c>
      <c r="BV826" s="23" t="s">
        <v>220</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623" t="s">
        <v>42</v>
      </c>
      <c r="D827" s="1624"/>
      <c r="E827" s="1624"/>
      <c r="F827" s="1624"/>
      <c r="G827" s="1624"/>
      <c r="H827" s="1624"/>
      <c r="I827" s="60"/>
      <c r="J827" s="60"/>
      <c r="K827" s="60"/>
      <c r="L827" s="61"/>
      <c r="M827" s="1380">
        <v>13</v>
      </c>
      <c r="N827" s="1380"/>
      <c r="O827" s="1380"/>
      <c r="P827" s="1380"/>
      <c r="Q827" s="1380">
        <v>15</v>
      </c>
      <c r="R827" s="1380"/>
      <c r="S827" s="1380"/>
      <c r="T827" s="1380"/>
      <c r="U827" s="1380">
        <v>21</v>
      </c>
      <c r="V827" s="1380"/>
      <c r="W827" s="1380"/>
      <c r="X827" s="1380"/>
      <c r="Y827" s="1380">
        <v>28</v>
      </c>
      <c r="Z827" s="1380"/>
      <c r="AA827" s="1380"/>
      <c r="AB827" s="1380"/>
      <c r="AC827" s="1456"/>
      <c r="AD827" s="1457"/>
      <c r="AE827" s="1457"/>
      <c r="AF827" s="1458"/>
      <c r="AG827" s="1456"/>
      <c r="AH827" s="1457"/>
      <c r="AI827" s="1457"/>
      <c r="AJ827" s="1458"/>
      <c r="AK827"/>
      <c r="AL827" s="3"/>
      <c r="AM827" s="3"/>
      <c r="AN827" s="3"/>
      <c r="AO827" s="3"/>
      <c r="AP827" s="3"/>
      <c r="AQ827" s="3"/>
      <c r="AR827" s="3"/>
      <c r="AS827" s="3"/>
      <c r="AT827" s="3"/>
      <c r="AU827"/>
      <c r="AV827" s="3"/>
      <c r="AW827" s="3"/>
      <c r="AX827" s="3"/>
      <c r="AY827" s="3"/>
      <c r="AZ827" s="30"/>
      <c r="BA827" s="30"/>
      <c r="BO827" s="23" t="s">
        <v>221</v>
      </c>
      <c r="BP827" s="349">
        <v>352022</v>
      </c>
      <c r="BQ827" s="349">
        <v>405878</v>
      </c>
      <c r="BR827" s="349">
        <v>489600</v>
      </c>
      <c r="BS827" s="349">
        <v>626688</v>
      </c>
      <c r="BT827" s="349">
        <v>698170</v>
      </c>
      <c r="BV827" s="23" t="s">
        <v>221</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623" t="s">
        <v>770</v>
      </c>
      <c r="D828" s="1624"/>
      <c r="E828" s="1624"/>
      <c r="F828" s="1624"/>
      <c r="G828" s="1624"/>
      <c r="H828" s="1624"/>
      <c r="I828" s="60"/>
      <c r="J828" s="60"/>
      <c r="K828" s="60"/>
      <c r="L828" s="61"/>
      <c r="M828" s="1380">
        <v>42</v>
      </c>
      <c r="N828" s="1380"/>
      <c r="O828" s="1380"/>
      <c r="P828" s="1380"/>
      <c r="Q828" s="1380">
        <v>51</v>
      </c>
      <c r="R828" s="1380"/>
      <c r="S828" s="1380"/>
      <c r="T828" s="1380"/>
      <c r="U828" s="1380">
        <v>73</v>
      </c>
      <c r="V828" s="1380"/>
      <c r="W828" s="1380"/>
      <c r="X828" s="1380"/>
      <c r="Y828" s="1380">
        <v>97</v>
      </c>
      <c r="Z828" s="1380"/>
      <c r="AA828" s="1380"/>
      <c r="AB828" s="1380"/>
      <c r="AC828" s="1456"/>
      <c r="AD828" s="1457"/>
      <c r="AE828" s="1457"/>
      <c r="AF828" s="1458"/>
      <c r="AG828" s="1456"/>
      <c r="AH828" s="1457"/>
      <c r="AI828" s="1457"/>
      <c r="AJ828" s="1458"/>
      <c r="AK828"/>
      <c r="AL828" s="3"/>
      <c r="AM828" s="3"/>
      <c r="AN828" s="3"/>
      <c r="AO828" s="3"/>
      <c r="AP828" s="3"/>
      <c r="AQ828" s="3"/>
      <c r="AR828" s="3"/>
      <c r="AS828" s="3"/>
      <c r="AT828" s="3"/>
      <c r="AU828"/>
      <c r="AV828" s="3"/>
      <c r="AW828" s="3"/>
      <c r="AX828" s="3"/>
      <c r="AY828" s="3"/>
      <c r="AZ828" s="30"/>
      <c r="BA828" s="30"/>
      <c r="BO828" s="23" t="s">
        <v>222</v>
      </c>
      <c r="BP828" s="351">
        <v>352022</v>
      </c>
      <c r="BQ828" s="351">
        <v>405878</v>
      </c>
      <c r="BR828" s="351">
        <v>489600</v>
      </c>
      <c r="BS828" s="351">
        <v>626688</v>
      </c>
      <c r="BT828" s="351">
        <v>698170</v>
      </c>
      <c r="BV828" s="23" t="s">
        <v>222</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623" t="s">
        <v>466</v>
      </c>
      <c r="D829" s="1624"/>
      <c r="E829" s="1624"/>
      <c r="F829" s="1624"/>
      <c r="G829" s="1624"/>
      <c r="H829" s="1624"/>
      <c r="I829" s="60"/>
      <c r="J829" s="60"/>
      <c r="K829" s="60"/>
      <c r="L829" s="61"/>
      <c r="M829" s="1380"/>
      <c r="N829" s="1380"/>
      <c r="O829" s="1380"/>
      <c r="P829" s="1380"/>
      <c r="Q829" s="1380"/>
      <c r="R829" s="1380"/>
      <c r="S829" s="1380"/>
      <c r="T829" s="1380"/>
      <c r="U829" s="1380"/>
      <c r="V829" s="1380"/>
      <c r="W829" s="1380"/>
      <c r="X829" s="1380"/>
      <c r="Y829" s="1380"/>
      <c r="Z829" s="1380"/>
      <c r="AA829" s="1380"/>
      <c r="AB829" s="1380"/>
      <c r="AC829" s="1456"/>
      <c r="AD829" s="1457"/>
      <c r="AE829" s="1457"/>
      <c r="AF829" s="1458"/>
      <c r="AG829" s="1456"/>
      <c r="AH829" s="1457"/>
      <c r="AI829" s="1457"/>
      <c r="AJ829" s="1458"/>
      <c r="AK829"/>
      <c r="AL829" s="3"/>
      <c r="AM829" s="3"/>
      <c r="AN829" s="3"/>
      <c r="AO829" s="3"/>
      <c r="AP829" s="3"/>
      <c r="AQ829" s="3"/>
      <c r="AR829" s="3"/>
      <c r="AS829" s="3"/>
      <c r="AT829" s="3"/>
      <c r="AU829"/>
      <c r="AV829" s="3"/>
      <c r="AW829" s="3"/>
      <c r="AX829" s="3"/>
      <c r="AY829" s="3"/>
      <c r="AZ829" s="30"/>
      <c r="BA829" s="30"/>
      <c r="BO829" s="23" t="s">
        <v>224</v>
      </c>
      <c r="BP829" s="349">
        <v>307732</v>
      </c>
      <c r="BQ829" s="349">
        <v>354812</v>
      </c>
      <c r="BR829" s="349">
        <v>428000</v>
      </c>
      <c r="BS829" s="349">
        <v>547840</v>
      </c>
      <c r="BT829" s="349">
        <v>610328</v>
      </c>
      <c r="BV829" s="23" t="s">
        <v>224</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625" t="s">
        <v>791</v>
      </c>
      <c r="D830" s="1624"/>
      <c r="E830" s="1624"/>
      <c r="F830" s="1624"/>
      <c r="G830" s="1624"/>
      <c r="H830" s="1624"/>
      <c r="I830" s="60"/>
      <c r="J830" s="60"/>
      <c r="K830" s="60"/>
      <c r="L830" s="61"/>
      <c r="M830" s="1380"/>
      <c r="N830" s="1380"/>
      <c r="O830" s="1380"/>
      <c r="P830" s="1380"/>
      <c r="Q830" s="1380"/>
      <c r="R830" s="1380"/>
      <c r="S830" s="1380"/>
      <c r="T830" s="1380"/>
      <c r="U830" s="1380"/>
      <c r="V830" s="1380"/>
      <c r="W830" s="1380"/>
      <c r="X830" s="1380"/>
      <c r="Y830" s="1380"/>
      <c r="Z830" s="1380"/>
      <c r="AA830" s="1380"/>
      <c r="AB830" s="1380"/>
      <c r="AC830" s="1456"/>
      <c r="AD830" s="1457"/>
      <c r="AE830" s="1457"/>
      <c r="AF830" s="1458"/>
      <c r="AG830" s="1456"/>
      <c r="AH830" s="1457"/>
      <c r="AI830" s="1457"/>
      <c r="AJ830" s="1458"/>
      <c r="AK830"/>
      <c r="AL830" s="3"/>
      <c r="AM830" s="3"/>
      <c r="AN830" s="3"/>
      <c r="AO830" s="3"/>
      <c r="AP830" s="3"/>
      <c r="AQ830" s="3"/>
      <c r="AR830" s="3"/>
      <c r="AS830" s="3"/>
      <c r="AT830" s="3"/>
      <c r="AU830"/>
      <c r="AV830" s="3"/>
      <c r="AW830" s="3"/>
      <c r="AX830" s="3"/>
      <c r="AY830" s="3"/>
      <c r="AZ830" s="30"/>
      <c r="BA830" s="30"/>
      <c r="BO830" s="23" t="s">
        <v>225</v>
      </c>
      <c r="BP830" s="351">
        <v>352022</v>
      </c>
      <c r="BQ830" s="351">
        <v>405878</v>
      </c>
      <c r="BR830" s="351">
        <v>489600</v>
      </c>
      <c r="BS830" s="351">
        <v>626688</v>
      </c>
      <c r="BT830" s="351">
        <v>698170</v>
      </c>
      <c r="BV830" s="23" t="s">
        <v>225</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293</v>
      </c>
      <c r="D831" s="60"/>
      <c r="E831" s="60"/>
      <c r="F831" s="1390" t="s">
        <v>334</v>
      </c>
      <c r="G831" s="1391"/>
      <c r="H831" s="1391"/>
      <c r="I831" s="1391"/>
      <c r="J831" s="1391"/>
      <c r="K831" s="1391"/>
      <c r="L831" s="1391"/>
      <c r="M831" s="1380"/>
      <c r="N831" s="1380"/>
      <c r="O831" s="1380"/>
      <c r="P831" s="1380"/>
      <c r="Q831" s="1380"/>
      <c r="R831" s="1380"/>
      <c r="S831" s="1380"/>
      <c r="T831" s="1380"/>
      <c r="U831" s="1380"/>
      <c r="V831" s="1380"/>
      <c r="W831" s="1380"/>
      <c r="X831" s="1380"/>
      <c r="Y831" s="1380"/>
      <c r="Z831" s="1380"/>
      <c r="AA831" s="1380"/>
      <c r="AB831" s="1380"/>
      <c r="AC831" s="1456"/>
      <c r="AD831" s="1457"/>
      <c r="AE831" s="1457"/>
      <c r="AF831" s="1458"/>
      <c r="AG831" s="1456"/>
      <c r="AH831" s="1457"/>
      <c r="AI831" s="1457"/>
      <c r="AJ831" s="1458"/>
      <c r="AK831"/>
      <c r="AL831" s="3"/>
      <c r="AM831" s="3"/>
      <c r="AN831" s="3"/>
      <c r="AO831" s="3"/>
      <c r="AP831" s="3"/>
      <c r="AQ831" s="3"/>
      <c r="AR831" s="3"/>
      <c r="AS831" s="3"/>
      <c r="AT831" s="3"/>
      <c r="AU831"/>
      <c r="AV831" s="3"/>
      <c r="AW831" s="3"/>
      <c r="AX831" s="3"/>
      <c r="AY831" s="3"/>
      <c r="AZ831" s="30"/>
      <c r="BA831" s="30"/>
      <c r="BO831" s="23" t="s">
        <v>226</v>
      </c>
      <c r="BP831" s="349">
        <v>352022</v>
      </c>
      <c r="BQ831" s="349">
        <v>405878</v>
      </c>
      <c r="BR831" s="349">
        <v>489600</v>
      </c>
      <c r="BS831" s="349">
        <v>626688</v>
      </c>
      <c r="BT831" s="349">
        <v>698170</v>
      </c>
      <c r="BV831" s="23" t="s">
        <v>226</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639" t="s">
        <v>124</v>
      </c>
      <c r="D832" s="1640"/>
      <c r="E832" s="1640"/>
      <c r="F832" s="1640"/>
      <c r="G832" s="1640"/>
      <c r="H832" s="1640"/>
      <c r="I832" s="1640"/>
      <c r="J832" s="1640"/>
      <c r="K832" s="1640"/>
      <c r="L832" s="1641"/>
      <c r="M832" s="1652">
        <f>SUM(M825:P831)</f>
        <v>84</v>
      </c>
      <c r="N832" s="1652"/>
      <c r="O832" s="1652"/>
      <c r="P832" s="1652"/>
      <c r="Q832" s="1652">
        <f>SUM(Q825:T831)</f>
        <v>100</v>
      </c>
      <c r="R832" s="1652"/>
      <c r="S832" s="1652"/>
      <c r="T832" s="1652"/>
      <c r="U832" s="1652">
        <f>SUM(U825:X831)</f>
        <v>137</v>
      </c>
      <c r="V832" s="1652"/>
      <c r="W832" s="1652"/>
      <c r="X832" s="1652"/>
      <c r="Y832" s="1652">
        <f>SUM(Y825:AB831)</f>
        <v>177</v>
      </c>
      <c r="Z832" s="1652"/>
      <c r="AA832" s="1652"/>
      <c r="AB832" s="1652"/>
      <c r="AC832" s="1652">
        <f>SUM(AC825:AF831)</f>
        <v>0</v>
      </c>
      <c r="AD832" s="1652"/>
      <c r="AE832" s="1652"/>
      <c r="AF832" s="1652"/>
      <c r="AG832" s="1652">
        <f>SUM(AG825:AJ831)</f>
        <v>0</v>
      </c>
      <c r="AH832" s="1652"/>
      <c r="AI832" s="1652"/>
      <c r="AJ832" s="1652"/>
      <c r="AK832"/>
      <c r="AL832" s="3"/>
      <c r="AM832" s="3"/>
      <c r="AN832" s="3"/>
      <c r="AO832" s="3"/>
      <c r="AP832" s="3"/>
      <c r="AQ832" s="3"/>
      <c r="AR832" s="3"/>
      <c r="AS832" s="3"/>
      <c r="AT832" s="3"/>
      <c r="AU832"/>
      <c r="AV832" s="3"/>
      <c r="AW832" s="3"/>
      <c r="AX832" s="3"/>
      <c r="AY832" s="3"/>
      <c r="AZ832" s="30"/>
      <c r="BA832" s="30"/>
      <c r="BO832" s="23" t="s">
        <v>228</v>
      </c>
      <c r="BP832" s="351">
        <v>387110</v>
      </c>
      <c r="BQ832" s="351">
        <v>446334</v>
      </c>
      <c r="BR832" s="351">
        <v>538400</v>
      </c>
      <c r="BS832" s="351">
        <v>689152</v>
      </c>
      <c r="BT832" s="351">
        <v>767758</v>
      </c>
      <c r="BV832" s="23" t="s">
        <v>228</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792</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230</v>
      </c>
      <c r="BP833" s="349">
        <v>384234</v>
      </c>
      <c r="BQ833" s="349">
        <v>443018</v>
      </c>
      <c r="BR833" s="349">
        <v>534400</v>
      </c>
      <c r="BS833" s="349">
        <v>684032</v>
      </c>
      <c r="BT833" s="349">
        <v>762054</v>
      </c>
      <c r="BV833" s="23" t="s">
        <v>230</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793</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231</v>
      </c>
      <c r="BP834" s="351">
        <v>352022</v>
      </c>
      <c r="BQ834" s="351">
        <v>405878</v>
      </c>
      <c r="BR834" s="351">
        <v>489600</v>
      </c>
      <c r="BS834" s="351">
        <v>626688</v>
      </c>
      <c r="BT834" s="351">
        <v>698170</v>
      </c>
      <c r="BV834" s="23" t="s">
        <v>231</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232</v>
      </c>
      <c r="BP835" s="349">
        <v>396888</v>
      </c>
      <c r="BQ835" s="349">
        <v>457608</v>
      </c>
      <c r="BR835" s="349">
        <v>552000</v>
      </c>
      <c r="BS835" s="349">
        <v>706560</v>
      </c>
      <c r="BT835" s="349">
        <v>787152</v>
      </c>
      <c r="BV835" s="23" t="s">
        <v>232</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233</v>
      </c>
      <c r="BP836" s="351">
        <v>331890</v>
      </c>
      <c r="BQ836" s="351">
        <v>382666</v>
      </c>
      <c r="BR836" s="351">
        <v>461600</v>
      </c>
      <c r="BS836" s="351">
        <v>590848</v>
      </c>
      <c r="BT836" s="351">
        <v>658242</v>
      </c>
      <c r="BV836" s="23" t="s">
        <v>233</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677" t="s">
        <v>2725</v>
      </c>
      <c r="D837" s="1678"/>
      <c r="E837" s="1678"/>
      <c r="F837" s="1678"/>
      <c r="G837" s="1678"/>
      <c r="H837" s="1678"/>
      <c r="I837" s="1678"/>
      <c r="J837" s="1678"/>
      <c r="K837" s="1678"/>
      <c r="L837" s="1678"/>
      <c r="M837" s="1678"/>
      <c r="N837" s="1678"/>
      <c r="O837" s="1678"/>
      <c r="P837" s="1678"/>
      <c r="Q837" s="1678"/>
      <c r="R837" s="1678"/>
      <c r="S837" s="1678"/>
      <c r="T837" s="1678"/>
      <c r="U837" s="1678"/>
      <c r="V837" s="1678"/>
      <c r="W837" s="1678"/>
      <c r="X837" s="1678"/>
      <c r="Y837" s="1678"/>
      <c r="Z837" s="1678"/>
      <c r="AA837" s="1678"/>
      <c r="AB837" s="1678"/>
      <c r="AC837" s="1678"/>
      <c r="AD837" s="1678"/>
      <c r="AE837" s="1678"/>
      <c r="AF837" s="1678"/>
      <c r="AG837" s="1678"/>
      <c r="AH837" s="1678"/>
      <c r="AI837" s="1678"/>
      <c r="AJ837" s="1679"/>
      <c r="AK837"/>
      <c r="AL837" s="3"/>
      <c r="AM837" s="3"/>
      <c r="AN837" s="3"/>
      <c r="AO837" s="3"/>
      <c r="AP837" s="3"/>
      <c r="AQ837" s="3"/>
      <c r="AR837" s="3"/>
      <c r="AS837" s="3"/>
      <c r="AT837" s="3"/>
      <c r="AU837"/>
      <c r="AV837"/>
      <c r="AW837"/>
      <c r="AX837"/>
      <c r="AY837"/>
      <c r="AZ837" s="30"/>
      <c r="BA837" s="30"/>
      <c r="BO837" s="23" t="s">
        <v>235</v>
      </c>
      <c r="BP837" s="349">
        <v>352022</v>
      </c>
      <c r="BQ837" s="349">
        <v>405878</v>
      </c>
      <c r="BR837" s="349">
        <v>489600</v>
      </c>
      <c r="BS837" s="349">
        <v>626688</v>
      </c>
      <c r="BT837" s="349">
        <v>698170</v>
      </c>
      <c r="BV837" s="23" t="s">
        <v>235</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1259</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236</v>
      </c>
      <c r="BP838" s="351">
        <v>314634</v>
      </c>
      <c r="BQ838" s="351">
        <v>362770</v>
      </c>
      <c r="BR838" s="351">
        <v>437600</v>
      </c>
      <c r="BS838" s="351">
        <v>560128</v>
      </c>
      <c r="BT838" s="351">
        <v>624018</v>
      </c>
      <c r="BV838" s="23" t="s">
        <v>236</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642</v>
      </c>
      <c r="BP839" s="349">
        <v>331890</v>
      </c>
      <c r="BQ839" s="349">
        <v>382666</v>
      </c>
      <c r="BR839" s="349">
        <v>461600</v>
      </c>
      <c r="BS839" s="349">
        <v>590848</v>
      </c>
      <c r="BT839" s="349">
        <v>658242</v>
      </c>
      <c r="BV839" s="23" t="s">
        <v>642</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474</v>
      </c>
      <c r="B840"/>
      <c r="C840" s="2" t="s">
        <v>768</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696</v>
      </c>
      <c r="BP840" s="351">
        <v>352022</v>
      </c>
      <c r="BQ840" s="351">
        <v>405878</v>
      </c>
      <c r="BR840" s="351">
        <v>489600</v>
      </c>
      <c r="BS840" s="351">
        <v>626688</v>
      </c>
      <c r="BT840" s="351">
        <v>698170</v>
      </c>
      <c r="BV840" s="23" t="s">
        <v>696</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76">
        <f>ROUNDDOWN(BC939*2,2)</f>
        <v>0</v>
      </c>
      <c r="BJ841" s="1676"/>
      <c r="BK841" s="1676"/>
      <c r="BL841" s="1676"/>
      <c r="BO841" s="23" t="s">
        <v>697</v>
      </c>
      <c r="BP841" s="349">
        <v>314634</v>
      </c>
      <c r="BQ841" s="349">
        <v>362770</v>
      </c>
      <c r="BR841" s="349">
        <v>437600</v>
      </c>
      <c r="BS841" s="349">
        <v>560128</v>
      </c>
      <c r="BT841" s="349">
        <v>624018</v>
      </c>
      <c r="BV841" s="23" t="s">
        <v>697</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505">
        <v>0</v>
      </c>
      <c r="X842" s="1505"/>
      <c r="Y842" s="1505"/>
      <c r="Z842" s="1505"/>
      <c r="AA842" s="1505"/>
      <c r="AB842" s="1505"/>
      <c r="AC842" s="1505"/>
      <c r="AD842"/>
      <c r="AE842"/>
      <c r="AF842"/>
      <c r="AG842"/>
      <c r="AH842"/>
      <c r="AI842"/>
      <c r="AJ842"/>
      <c r="AK842"/>
      <c r="AL842"/>
      <c r="AM842"/>
      <c r="AN842"/>
      <c r="AO842"/>
      <c r="AP842"/>
      <c r="AQ842"/>
      <c r="AR842"/>
      <c r="AS842"/>
      <c r="AT842"/>
      <c r="AU842"/>
      <c r="AV842"/>
      <c r="AW842"/>
      <c r="AX842"/>
      <c r="AY842"/>
      <c r="AZ842" s="30"/>
      <c r="BA842" s="30"/>
      <c r="BO842" s="23" t="s">
        <v>698</v>
      </c>
      <c r="BP842" s="351">
        <v>353173</v>
      </c>
      <c r="BQ842" s="351">
        <v>407205</v>
      </c>
      <c r="BR842" s="351">
        <v>491200</v>
      </c>
      <c r="BS842" s="351">
        <v>628736</v>
      </c>
      <c r="BT842" s="351">
        <v>700451</v>
      </c>
      <c r="BV842" s="23" t="s">
        <v>698</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355</v>
      </c>
      <c r="K843" s="5"/>
      <c r="L843" s="5"/>
      <c r="M843" s="5"/>
      <c r="N843" s="5"/>
      <c r="O843" s="5"/>
      <c r="P843" s="5"/>
      <c r="Q843" s="5"/>
      <c r="R843" s="5"/>
      <c r="S843" s="5"/>
      <c r="T843" s="5"/>
      <c r="U843" s="5"/>
      <c r="V843" s="46"/>
      <c r="W843" s="1505">
        <v>7200</v>
      </c>
      <c r="X843" s="1505"/>
      <c r="Y843" s="1505"/>
      <c r="Z843" s="1505"/>
      <c r="AA843" s="1505"/>
      <c r="AB843" s="1505"/>
      <c r="AC843" s="1505"/>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699</v>
      </c>
      <c r="BP843" s="349">
        <v>689665</v>
      </c>
      <c r="BQ843" s="349">
        <v>795177</v>
      </c>
      <c r="BR843" s="349">
        <v>959200</v>
      </c>
      <c r="BS843" s="349">
        <v>1227776</v>
      </c>
      <c r="BT843" s="349">
        <v>1367819</v>
      </c>
      <c r="BV843" s="23" t="s">
        <v>699</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354</v>
      </c>
      <c r="K844" s="5"/>
      <c r="L844" s="5"/>
      <c r="M844" s="5"/>
      <c r="N844" s="5"/>
      <c r="O844" s="5"/>
      <c r="P844" s="5"/>
      <c r="Q844" s="5"/>
      <c r="R844" s="5"/>
      <c r="S844" s="5"/>
      <c r="T844" s="5"/>
      <c r="U844" s="5"/>
      <c r="V844" s="46"/>
      <c r="W844" s="1505">
        <v>33709</v>
      </c>
      <c r="X844" s="1505"/>
      <c r="Y844" s="1505"/>
      <c r="Z844" s="1505"/>
      <c r="AA844" s="1505"/>
      <c r="AB844" s="1505"/>
      <c r="AC844" s="1505"/>
      <c r="AZ844" s="30"/>
      <c r="BA844" s="30"/>
      <c r="BB844" s="14"/>
      <c r="BC844" s="14"/>
      <c r="BD844" s="14"/>
      <c r="BE844" s="14"/>
      <c r="BF844" s="14"/>
      <c r="BG844" s="14"/>
      <c r="BH844" s="14"/>
      <c r="BI844" s="14"/>
      <c r="BJ844" s="14"/>
      <c r="BK844" s="14"/>
      <c r="BL844" s="14"/>
      <c r="BM844" s="14"/>
      <c r="BN844" s="14"/>
      <c r="BO844" s="23" t="s">
        <v>242</v>
      </c>
      <c r="BP844" s="351">
        <v>307732</v>
      </c>
      <c r="BQ844" s="351">
        <v>354812</v>
      </c>
      <c r="BR844" s="351">
        <v>428000</v>
      </c>
      <c r="BS844" s="351">
        <v>547840</v>
      </c>
      <c r="BT844" s="351">
        <v>610328</v>
      </c>
      <c r="BU844" s="14"/>
      <c r="BV844" s="23" t="s">
        <v>242</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353</v>
      </c>
      <c r="K845" s="5"/>
      <c r="L845" s="5"/>
      <c r="M845" s="5"/>
      <c r="N845" s="5"/>
      <c r="O845" s="5"/>
      <c r="P845" s="5"/>
      <c r="Q845" s="5"/>
      <c r="R845" s="5"/>
      <c r="S845" s="5"/>
      <c r="T845" s="5"/>
      <c r="U845" s="5"/>
      <c r="V845" s="46"/>
      <c r="W845" s="1505">
        <v>22320</v>
      </c>
      <c r="X845" s="1505"/>
      <c r="Y845" s="1505"/>
      <c r="Z845" s="1505"/>
      <c r="AA845" s="1505"/>
      <c r="AB845" s="1505"/>
      <c r="AC845" s="1505"/>
      <c r="AZ845" s="30"/>
      <c r="BA845" s="30"/>
      <c r="BB845" s="14"/>
      <c r="BC845" s="14"/>
      <c r="BD845" s="14"/>
      <c r="BE845" s="14"/>
      <c r="BF845" s="14"/>
      <c r="BG845" s="14"/>
      <c r="BH845" s="14"/>
      <c r="BI845" s="14"/>
      <c r="BJ845" s="14"/>
      <c r="BK845" s="14"/>
      <c r="BL845" s="14"/>
      <c r="BM845" s="14"/>
      <c r="BN845" s="14"/>
      <c r="BO845" s="23" t="s">
        <v>243</v>
      </c>
      <c r="BP845" s="349">
        <v>387110</v>
      </c>
      <c r="BQ845" s="349">
        <v>446334</v>
      </c>
      <c r="BR845" s="349">
        <v>538400</v>
      </c>
      <c r="BS845" s="349">
        <v>689152</v>
      </c>
      <c r="BT845" s="349">
        <v>767758</v>
      </c>
      <c r="BU845" s="14"/>
      <c r="BV845" s="23" t="s">
        <v>243</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169</v>
      </c>
      <c r="K846" s="5"/>
      <c r="L846" s="5"/>
      <c r="M846" s="1390" t="s">
        <v>2740</v>
      </c>
      <c r="N846" s="1391"/>
      <c r="O846" s="1391"/>
      <c r="P846" s="1391"/>
      <c r="Q846" s="1391"/>
      <c r="R846" s="1391"/>
      <c r="S846" s="1391"/>
      <c r="T846" s="1391"/>
      <c r="U846" s="1391"/>
      <c r="V846" s="1392"/>
      <c r="W846" s="1505">
        <v>101146</v>
      </c>
      <c r="X846" s="1505"/>
      <c r="Y846" s="1505"/>
      <c r="Z846" s="1505"/>
      <c r="AA846" s="1505"/>
      <c r="AB846" s="1505"/>
      <c r="AC846" s="1505"/>
      <c r="AZ846" s="30">
        <f>IF(AJ1028&gt;1,0.05,0)</f>
        <v>0.05</v>
      </c>
      <c r="BA846" s="30"/>
      <c r="BB846" s="14"/>
      <c r="BC846" s="14"/>
      <c r="BD846" s="14"/>
      <c r="BE846" s="14"/>
      <c r="BF846" s="14"/>
      <c r="BG846" s="14"/>
      <c r="BH846" s="14"/>
      <c r="BI846" s="14"/>
      <c r="BJ846" s="14"/>
      <c r="BK846" s="14"/>
      <c r="BL846" s="14"/>
      <c r="BM846" s="14"/>
      <c r="BN846" s="14"/>
      <c r="BO846" s="23" t="s">
        <v>244</v>
      </c>
      <c r="BP846" s="350">
        <v>532060</v>
      </c>
      <c r="BQ846" s="350">
        <v>613460</v>
      </c>
      <c r="BR846" s="351">
        <v>740000</v>
      </c>
      <c r="BS846" s="350">
        <v>947200</v>
      </c>
      <c r="BT846" s="350">
        <v>1055240</v>
      </c>
      <c r="BU846" s="14"/>
      <c r="BV846" s="23" t="s">
        <v>244</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342</v>
      </c>
      <c r="W847" s="1626">
        <f>SUM(W842:AC846)</f>
        <v>164375</v>
      </c>
      <c r="X847" s="1627"/>
      <c r="Y847" s="1627"/>
      <c r="Z847" s="1627"/>
      <c r="AA847" s="1627"/>
      <c r="AB847" s="1627"/>
      <c r="AC847" s="1628"/>
      <c r="AZ847" s="30"/>
      <c r="BA847" s="30"/>
      <c r="BB847" s="14"/>
      <c r="BC847" s="14"/>
      <c r="BD847" s="14"/>
      <c r="BE847" s="14"/>
      <c r="BF847" s="14"/>
      <c r="BG847" s="14"/>
      <c r="BH847" s="14"/>
      <c r="BI847" s="14"/>
      <c r="BJ847" s="14"/>
      <c r="BK847" s="14"/>
      <c r="BL847" s="14"/>
      <c r="BM847" s="14"/>
      <c r="BN847" s="14"/>
      <c r="BO847" s="23" t="s">
        <v>705</v>
      </c>
      <c r="BP847" s="349">
        <v>387110</v>
      </c>
      <c r="BQ847" s="349">
        <v>446334</v>
      </c>
      <c r="BR847" s="349">
        <v>538400</v>
      </c>
      <c r="BS847" s="349">
        <v>689152</v>
      </c>
      <c r="BT847" s="349">
        <v>767758</v>
      </c>
      <c r="BU847" s="14"/>
      <c r="BV847" s="23" t="s">
        <v>705</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56"/>
      <c r="BH848" s="1656"/>
      <c r="BI848" s="1656"/>
      <c r="BJ848" s="1656"/>
      <c r="BK848" s="1656"/>
      <c r="BL848" s="1656"/>
      <c r="BM848" s="14"/>
      <c r="BN848" s="14"/>
      <c r="BO848" s="23" t="s">
        <v>706</v>
      </c>
      <c r="BP848" s="350">
        <v>532060</v>
      </c>
      <c r="BQ848" s="350">
        <v>613460</v>
      </c>
      <c r="BR848" s="350">
        <v>740000</v>
      </c>
      <c r="BS848" s="350">
        <v>947200</v>
      </c>
      <c r="BT848" s="350">
        <v>1055240</v>
      </c>
      <c r="BU848" s="14"/>
      <c r="BV848" s="23" t="s">
        <v>706</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344</v>
      </c>
      <c r="J849" s="1639" t="s">
        <v>345</v>
      </c>
      <c r="K849" s="1640"/>
      <c r="L849" s="1640"/>
      <c r="M849" s="1640"/>
      <c r="N849" s="1640"/>
      <c r="O849" s="1640"/>
      <c r="P849" s="1640"/>
      <c r="Q849" s="1640"/>
      <c r="R849" s="1640"/>
      <c r="S849" s="1640"/>
      <c r="T849" s="1640"/>
      <c r="U849" s="1640"/>
      <c r="V849" s="1641"/>
      <c r="W849" s="1502">
        <v>104160</v>
      </c>
      <c r="X849" s="1503"/>
      <c r="Y849" s="1503"/>
      <c r="Z849" s="1503"/>
      <c r="AA849" s="1503"/>
      <c r="AB849" s="1503"/>
      <c r="AC849" s="1504"/>
      <c r="AD849" s="567"/>
      <c r="AZ849" s="30"/>
      <c r="BA849" s="30"/>
      <c r="BB849" s="14"/>
      <c r="BC849" s="14"/>
      <c r="BD849" s="14"/>
      <c r="BE849" s="14"/>
      <c r="BF849" s="14"/>
      <c r="BG849" s="89"/>
      <c r="BH849" s="89"/>
      <c r="BI849" s="89"/>
      <c r="BJ849" s="89"/>
      <c r="BK849" s="89"/>
      <c r="BL849" s="89"/>
      <c r="BM849" s="14"/>
      <c r="BN849" s="14"/>
      <c r="BO849" s="23" t="s">
        <v>707</v>
      </c>
      <c r="BP849" s="349">
        <v>387110</v>
      </c>
      <c r="BQ849" s="349">
        <v>446334</v>
      </c>
      <c r="BR849" s="349">
        <v>538400</v>
      </c>
      <c r="BS849" s="349">
        <v>689152</v>
      </c>
      <c r="BT849" s="349">
        <v>767758</v>
      </c>
      <c r="BU849" s="14"/>
      <c r="BV849" s="23" t="s">
        <v>707</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708</v>
      </c>
      <c r="BP850" s="351">
        <v>319236</v>
      </c>
      <c r="BQ850" s="351">
        <v>368076</v>
      </c>
      <c r="BR850" s="351">
        <v>444000</v>
      </c>
      <c r="BS850" s="351">
        <v>568320</v>
      </c>
      <c r="BT850" s="351">
        <v>633144</v>
      </c>
      <c r="BU850" s="14"/>
      <c r="BV850" s="23" t="s">
        <v>708</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568</v>
      </c>
      <c r="J851" s="45" t="s">
        <v>352</v>
      </c>
      <c r="K851" s="5"/>
      <c r="L851" s="5"/>
      <c r="M851" s="5"/>
      <c r="N851" s="5"/>
      <c r="O851" s="5"/>
      <c r="P851" s="5"/>
      <c r="Q851" s="5"/>
      <c r="R851" s="5"/>
      <c r="S851" s="5"/>
      <c r="T851" s="5"/>
      <c r="U851" s="5"/>
      <c r="V851" s="46"/>
      <c r="W851" s="1764">
        <v>0</v>
      </c>
      <c r="X851" s="1764"/>
      <c r="Y851" s="1764"/>
      <c r="Z851" s="1764"/>
      <c r="AA851" s="1764"/>
      <c r="AB851" s="1764"/>
      <c r="AC851" s="1764"/>
      <c r="AZ851" s="1667">
        <f>SUM(AZ818:AZ846)</f>
        <v>7.5000000000000011E-2</v>
      </c>
      <c r="BA851" s="1667"/>
      <c r="BB851" s="14"/>
      <c r="BC851" s="14"/>
      <c r="BD851" s="14"/>
      <c r="BE851" s="14"/>
      <c r="BF851" s="14"/>
      <c r="BG851" s="14"/>
      <c r="BH851" s="14"/>
      <c r="BI851" s="14"/>
      <c r="BJ851" s="14"/>
      <c r="BK851" s="14"/>
      <c r="BL851" s="14"/>
      <c r="BM851" s="14"/>
      <c r="BN851" s="14"/>
      <c r="BO851" s="23" t="s">
        <v>709</v>
      </c>
      <c r="BP851" s="349">
        <v>352022</v>
      </c>
      <c r="BQ851" s="349">
        <v>405878</v>
      </c>
      <c r="BR851" s="349">
        <v>489600</v>
      </c>
      <c r="BS851" s="349">
        <v>626688</v>
      </c>
      <c r="BT851" s="349">
        <v>698170</v>
      </c>
      <c r="BU851" s="14"/>
      <c r="BV851" s="23" t="s">
        <v>709</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351</v>
      </c>
      <c r="K852" s="5"/>
      <c r="L852" s="5"/>
      <c r="M852" s="5"/>
      <c r="N852" s="5"/>
      <c r="O852" s="5"/>
      <c r="P852" s="5"/>
      <c r="Q852" s="5"/>
      <c r="R852" s="5"/>
      <c r="S852" s="5"/>
      <c r="T852" s="5"/>
      <c r="U852" s="5"/>
      <c r="V852" s="46"/>
      <c r="W852" s="1764">
        <v>0</v>
      </c>
      <c r="X852" s="1764"/>
      <c r="Y852" s="1764"/>
      <c r="Z852" s="1764"/>
      <c r="AA852" s="1764"/>
      <c r="AB852" s="1764"/>
      <c r="AC852" s="1764"/>
      <c r="AZ852" s="30"/>
      <c r="BA852" s="30"/>
      <c r="BB852" s="14"/>
      <c r="BC852" s="14"/>
      <c r="BD852" s="14"/>
      <c r="BE852" s="14"/>
      <c r="BF852" s="14"/>
      <c r="BG852" s="14"/>
      <c r="BH852" s="14"/>
      <c r="BI852" s="14"/>
      <c r="BJ852" s="14"/>
      <c r="BK852" s="14"/>
      <c r="BL852" s="14"/>
      <c r="BM852" s="14"/>
      <c r="BN852" s="14"/>
      <c r="BO852" s="23" t="s">
        <v>710</v>
      </c>
      <c r="BP852" s="351">
        <v>352022</v>
      </c>
      <c r="BQ852" s="351">
        <v>405878</v>
      </c>
      <c r="BR852" s="351">
        <v>489600</v>
      </c>
      <c r="BS852" s="351">
        <v>626688</v>
      </c>
      <c r="BT852" s="351">
        <v>698170</v>
      </c>
      <c r="BU852" s="14"/>
      <c r="BV852" s="23" t="s">
        <v>710</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466</v>
      </c>
      <c r="K853" s="5"/>
      <c r="L853" s="5"/>
      <c r="M853" s="5"/>
      <c r="N853" s="5"/>
      <c r="O853" s="5"/>
      <c r="P853" s="5"/>
      <c r="Q853" s="5"/>
      <c r="R853" s="5"/>
      <c r="S853" s="5"/>
      <c r="T853" s="5"/>
      <c r="U853" s="5"/>
      <c r="V853" s="46"/>
      <c r="W853" s="1764">
        <v>57374</v>
      </c>
      <c r="X853" s="1764"/>
      <c r="Y853" s="1764"/>
      <c r="Z853" s="1764"/>
      <c r="AA853" s="1764"/>
      <c r="AB853" s="1764"/>
      <c r="AC853" s="1764"/>
      <c r="AZ853" s="30"/>
      <c r="BA853" s="30"/>
      <c r="BB853" s="14"/>
      <c r="BC853" s="14"/>
      <c r="BD853" s="14"/>
      <c r="BE853" s="14"/>
      <c r="BF853" s="14"/>
      <c r="BG853" s="14"/>
      <c r="BH853" s="14"/>
      <c r="BI853" s="14"/>
      <c r="BJ853" s="14"/>
      <c r="BK853" s="14"/>
      <c r="BL853" s="14"/>
      <c r="BM853" s="14"/>
      <c r="BN853" s="14"/>
      <c r="BO853" s="23" t="s">
        <v>711</v>
      </c>
      <c r="BP853" s="349">
        <v>384234</v>
      </c>
      <c r="BQ853" s="349">
        <v>443018</v>
      </c>
      <c r="BR853" s="349">
        <v>534400</v>
      </c>
      <c r="BS853" s="349">
        <v>684032</v>
      </c>
      <c r="BT853" s="349">
        <v>762054</v>
      </c>
      <c r="BU853" s="14"/>
      <c r="BV853" s="23" t="s">
        <v>711</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627</v>
      </c>
      <c r="K854" s="5"/>
      <c r="L854" s="5"/>
      <c r="M854" s="5"/>
      <c r="N854" s="5"/>
      <c r="O854" s="5"/>
      <c r="P854" s="5"/>
      <c r="Q854" s="5"/>
      <c r="R854" s="5"/>
      <c r="S854" s="5"/>
      <c r="T854" s="5"/>
      <c r="U854" s="5"/>
      <c r="V854" s="46"/>
      <c r="W854" s="1764">
        <v>126031</v>
      </c>
      <c r="X854" s="1764"/>
      <c r="Y854" s="1764"/>
      <c r="Z854" s="1764"/>
      <c r="AA854" s="1764"/>
      <c r="AB854" s="1764"/>
      <c r="AC854" s="1764"/>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272</v>
      </c>
      <c r="W855" s="1762">
        <f>SUM(W851:AC854)</f>
        <v>183405</v>
      </c>
      <c r="X855" s="1762"/>
      <c r="Y855" s="1762"/>
      <c r="Z855" s="1762"/>
      <c r="AA855" s="1762"/>
      <c r="AB855" s="1762"/>
      <c r="AC855" s="1762"/>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346</v>
      </c>
      <c r="J857" s="45" t="s">
        <v>626</v>
      </c>
      <c r="K857" s="5"/>
      <c r="L857" s="5"/>
      <c r="M857" s="5"/>
      <c r="N857" s="5"/>
      <c r="O857" s="5"/>
      <c r="P857" s="5"/>
      <c r="Q857" s="5"/>
      <c r="R857" s="5"/>
      <c r="S857" s="5"/>
      <c r="T857" s="5"/>
      <c r="U857" s="5"/>
      <c r="V857" s="46"/>
      <c r="W857" s="1664">
        <v>115411</v>
      </c>
      <c r="X857" s="1665"/>
      <c r="Y857" s="1665"/>
      <c r="Z857" s="1665"/>
      <c r="AA857" s="1665"/>
      <c r="AB857" s="1665"/>
      <c r="AC857" s="1666"/>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347</v>
      </c>
      <c r="J858" s="121" t="s">
        <v>1766</v>
      </c>
      <c r="K858" s="5"/>
      <c r="L858" s="5"/>
      <c r="M858" s="5"/>
      <c r="N858" s="5"/>
      <c r="O858" s="5"/>
      <c r="P858" s="5"/>
      <c r="Q858" s="5"/>
      <c r="R858" s="5"/>
      <c r="S858" s="5"/>
      <c r="T858" s="1765">
        <v>2</v>
      </c>
      <c r="U858" s="1766"/>
      <c r="V858" s="1767"/>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625</v>
      </c>
      <c r="K859" s="5"/>
      <c r="L859" s="5"/>
      <c r="M859" s="5"/>
      <c r="N859" s="5"/>
      <c r="O859" s="5"/>
      <c r="P859" s="5"/>
      <c r="Q859" s="5"/>
      <c r="R859" s="5"/>
      <c r="S859" s="5"/>
      <c r="T859" s="5"/>
      <c r="U859" s="5"/>
      <c r="V859" s="46"/>
      <c r="W859" s="1664">
        <v>57706</v>
      </c>
      <c r="X859" s="1665"/>
      <c r="Y859" s="1665"/>
      <c r="Z859" s="1665"/>
      <c r="AA859" s="1665"/>
      <c r="AB859" s="1665"/>
      <c r="AC859" s="1666"/>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1767</v>
      </c>
      <c r="K860" s="5"/>
      <c r="L860" s="5"/>
      <c r="M860" s="5"/>
      <c r="N860" s="5"/>
      <c r="O860" s="5"/>
      <c r="P860" s="5"/>
      <c r="Q860" s="5"/>
      <c r="R860" s="5"/>
      <c r="S860" s="5"/>
      <c r="T860" s="1765">
        <v>1</v>
      </c>
      <c r="U860" s="1766"/>
      <c r="V860" s="1767"/>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169</v>
      </c>
      <c r="K861" s="5"/>
      <c r="L861" s="5"/>
      <c r="M861" s="1390" t="s">
        <v>2741</v>
      </c>
      <c r="N861" s="1391"/>
      <c r="O861" s="1391"/>
      <c r="P861" s="1391"/>
      <c r="Q861" s="1391"/>
      <c r="R861" s="1391"/>
      <c r="S861" s="1391"/>
      <c r="T861" s="1391"/>
      <c r="U861" s="1391"/>
      <c r="V861" s="1392"/>
      <c r="W861" s="1664">
        <v>59467</v>
      </c>
      <c r="X861" s="1665"/>
      <c r="Y861" s="1665"/>
      <c r="Z861" s="1665"/>
      <c r="AA861" s="1665"/>
      <c r="AB861" s="1665"/>
      <c r="AC861" s="1666"/>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273</v>
      </c>
      <c r="W862" s="1768">
        <f>SUM(W857:AC861)</f>
        <v>232584</v>
      </c>
      <c r="X862" s="1769"/>
      <c r="Y862" s="1769"/>
      <c r="Z862" s="1769"/>
      <c r="AA862" s="1769"/>
      <c r="AB862" s="1769"/>
      <c r="AC862" s="1770"/>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274</v>
      </c>
      <c r="W863" s="1664">
        <v>125000</v>
      </c>
      <c r="X863" s="1665"/>
      <c r="Y863" s="1665"/>
      <c r="Z863" s="1665"/>
      <c r="AA863" s="1665"/>
      <c r="AB863" s="1665"/>
      <c r="AC863" s="1666"/>
      <c r="AU863" s="14"/>
      <c r="AZ863" s="34"/>
      <c r="BA863" s="34"/>
      <c r="BB863" s="34"/>
      <c r="BC863" s="34"/>
      <c r="BD863" s="34"/>
      <c r="BE863" s="34"/>
      <c r="BF863" s="34"/>
      <c r="BG863" s="34"/>
      <c r="BH863" s="34"/>
      <c r="BI863" s="34"/>
      <c r="BJ863" s="34"/>
      <c r="BK863" s="34"/>
      <c r="BL863" s="34"/>
      <c r="BM863" s="34"/>
      <c r="BN863" s="34"/>
      <c r="BO863" s="23" t="s">
        <v>326</v>
      </c>
      <c r="BP863" s="349">
        <v>331890</v>
      </c>
      <c r="BQ863" s="349">
        <v>382666</v>
      </c>
      <c r="BR863" s="349">
        <v>461600</v>
      </c>
      <c r="BS863" s="349">
        <v>590848</v>
      </c>
      <c r="BT863" s="349">
        <v>658242</v>
      </c>
      <c r="BU863" s="14"/>
      <c r="BV863" s="23" t="s">
        <v>326</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390</v>
      </c>
      <c r="J865" s="45" t="s">
        <v>624</v>
      </c>
      <c r="K865" s="5"/>
      <c r="L865" s="5"/>
      <c r="M865" s="5"/>
      <c r="N865" s="5"/>
      <c r="O865" s="5"/>
      <c r="P865" s="5"/>
      <c r="Q865" s="5"/>
      <c r="R865" s="5"/>
      <c r="S865" s="5"/>
      <c r="T865" s="5"/>
      <c r="U865" s="5"/>
      <c r="V865" s="46"/>
      <c r="W865" s="1505">
        <v>5000</v>
      </c>
      <c r="X865" s="1505"/>
      <c r="Y865" s="1505"/>
      <c r="Z865" s="1505"/>
      <c r="AA865" s="1505"/>
      <c r="AB865" s="1505"/>
      <c r="AC865" s="1505"/>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529</v>
      </c>
      <c r="K866" s="5"/>
      <c r="L866" s="5"/>
      <c r="M866" s="5"/>
      <c r="N866" s="5"/>
      <c r="O866" s="5"/>
      <c r="P866" s="5"/>
      <c r="Q866" s="5"/>
      <c r="R866" s="5"/>
      <c r="S866" s="5"/>
      <c r="T866" s="5"/>
      <c r="U866" s="5"/>
      <c r="V866" s="46"/>
      <c r="W866" s="1505">
        <v>18600</v>
      </c>
      <c r="X866" s="1505"/>
      <c r="Y866" s="1505"/>
      <c r="Z866" s="1505"/>
      <c r="AA866" s="1505"/>
      <c r="AB866" s="1505"/>
      <c r="AC866" s="1505"/>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528</v>
      </c>
      <c r="K867" s="5"/>
      <c r="L867" s="5"/>
      <c r="M867" s="5"/>
      <c r="N867" s="5"/>
      <c r="O867" s="5"/>
      <c r="P867" s="5"/>
      <c r="Q867" s="5"/>
      <c r="R867" s="5"/>
      <c r="S867" s="5"/>
      <c r="T867" s="5"/>
      <c r="U867" s="5"/>
      <c r="V867" s="46"/>
      <c r="W867" s="1505">
        <v>60000</v>
      </c>
      <c r="X867" s="1505"/>
      <c r="Y867" s="1505"/>
      <c r="Z867" s="1505"/>
      <c r="AA867" s="1505"/>
      <c r="AB867" s="1505"/>
      <c r="AC867" s="1505"/>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527</v>
      </c>
      <c r="K868" s="5"/>
      <c r="L868" s="5"/>
      <c r="M868" s="5"/>
      <c r="N868" s="5"/>
      <c r="O868" s="5"/>
      <c r="P868" s="5"/>
      <c r="Q868" s="5"/>
      <c r="R868" s="5"/>
      <c r="S868" s="5"/>
      <c r="T868" s="5"/>
      <c r="U868" s="5"/>
      <c r="V868" s="46"/>
      <c r="W868" s="1505">
        <v>6000</v>
      </c>
      <c r="X868" s="1505"/>
      <c r="Y868" s="1505"/>
      <c r="Z868" s="1505"/>
      <c r="AA868" s="1505"/>
      <c r="AB868" s="1505"/>
      <c r="AC868" s="1505"/>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526</v>
      </c>
      <c r="K869" s="5"/>
      <c r="L869" s="5"/>
      <c r="M869" s="5"/>
      <c r="N869" s="5"/>
      <c r="O869" s="5"/>
      <c r="P869" s="5"/>
      <c r="Q869" s="5"/>
      <c r="R869" s="5"/>
      <c r="S869" s="5"/>
      <c r="T869" s="5"/>
      <c r="U869" s="5"/>
      <c r="V869" s="46"/>
      <c r="W869" s="1505">
        <v>34000</v>
      </c>
      <c r="X869" s="1505"/>
      <c r="Y869" s="1505"/>
      <c r="Z869" s="1505"/>
      <c r="AA869" s="1505"/>
      <c r="AB869" s="1505"/>
      <c r="AC869" s="1505"/>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525</v>
      </c>
      <c r="K870" s="5"/>
      <c r="L870" s="5"/>
      <c r="M870" s="5"/>
      <c r="N870" s="5"/>
      <c r="O870" s="5"/>
      <c r="P870" s="5"/>
      <c r="Q870" s="5"/>
      <c r="R870" s="5"/>
      <c r="S870" s="5"/>
      <c r="T870" s="5"/>
      <c r="U870" s="5"/>
      <c r="V870" s="46"/>
      <c r="W870" s="1505">
        <v>22000</v>
      </c>
      <c r="X870" s="1505"/>
      <c r="Y870" s="1505"/>
      <c r="Z870" s="1505"/>
      <c r="AA870" s="1505"/>
      <c r="AB870" s="1505"/>
      <c r="AC870" s="1505"/>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169</v>
      </c>
      <c r="K871" s="5"/>
      <c r="L871" s="5"/>
      <c r="M871" s="1390" t="s">
        <v>2742</v>
      </c>
      <c r="N871" s="1391"/>
      <c r="O871" s="1391"/>
      <c r="P871" s="1391"/>
      <c r="Q871" s="1391"/>
      <c r="R871" s="1391"/>
      <c r="S871" s="1391"/>
      <c r="T871" s="1391"/>
      <c r="U871" s="1391"/>
      <c r="V871" s="1392"/>
      <c r="W871" s="1505">
        <v>63338.999999999964</v>
      </c>
      <c r="X871" s="1505"/>
      <c r="Y871" s="1505"/>
      <c r="Z871" s="1505"/>
      <c r="AA871" s="1505"/>
      <c r="AB871" s="1505"/>
      <c r="AC871" s="1505"/>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275</v>
      </c>
      <c r="W872" s="1771">
        <f>SUM(W865:AC871)</f>
        <v>208938.99999999997</v>
      </c>
      <c r="X872" s="1771"/>
      <c r="Y872" s="1771"/>
      <c r="Z872" s="1771"/>
      <c r="AA872" s="1771"/>
      <c r="AB872" s="1771"/>
      <c r="AC872" s="1771"/>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1348</v>
      </c>
      <c r="J874" s="45" t="s">
        <v>169</v>
      </c>
      <c r="K874" s="5"/>
      <c r="L874" s="5"/>
      <c r="M874" s="1390" t="s">
        <v>2743</v>
      </c>
      <c r="N874" s="1391"/>
      <c r="O874" s="1391"/>
      <c r="P874" s="1391"/>
      <c r="Q874" s="1391"/>
      <c r="R874" s="1391"/>
      <c r="S874" s="1391"/>
      <c r="T874" s="1391"/>
      <c r="U874" s="1391"/>
      <c r="V874" s="1392"/>
      <c r="W874" s="1502">
        <v>17800</v>
      </c>
      <c r="X874" s="1503"/>
      <c r="Y874" s="1503"/>
      <c r="Z874" s="1503"/>
      <c r="AA874" s="1503"/>
      <c r="AB874" s="1503"/>
      <c r="AC874" s="1504"/>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1349</v>
      </c>
      <c r="J875" s="45" t="s">
        <v>169</v>
      </c>
      <c r="K875" s="5"/>
      <c r="L875" s="5"/>
      <c r="M875" s="1390" t="s">
        <v>334</v>
      </c>
      <c r="N875" s="1391"/>
      <c r="O875" s="1391"/>
      <c r="P875" s="1391"/>
      <c r="Q875" s="1391"/>
      <c r="R875" s="1391"/>
      <c r="S875" s="1391"/>
      <c r="T875" s="1391"/>
      <c r="U875" s="1391"/>
      <c r="V875" s="1392"/>
      <c r="W875" s="1502"/>
      <c r="X875" s="1503"/>
      <c r="Y875" s="1503"/>
      <c r="Z875" s="1503"/>
      <c r="AA875" s="1503"/>
      <c r="AB875" s="1503"/>
      <c r="AC875" s="1504"/>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169</v>
      </c>
      <c r="K876" s="5"/>
      <c r="L876" s="5"/>
      <c r="M876" s="1390" t="s">
        <v>334</v>
      </c>
      <c r="N876" s="1391"/>
      <c r="O876" s="1391"/>
      <c r="P876" s="1391"/>
      <c r="Q876" s="1391"/>
      <c r="R876" s="1391"/>
      <c r="S876" s="1391"/>
      <c r="T876" s="1391"/>
      <c r="U876" s="1391"/>
      <c r="V876" s="1392"/>
      <c r="W876" s="1502"/>
      <c r="X876" s="1503"/>
      <c r="Y876" s="1503"/>
      <c r="Z876" s="1503"/>
      <c r="AA876" s="1503"/>
      <c r="AB876" s="1503"/>
      <c r="AC876" s="1504"/>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169</v>
      </c>
      <c r="K877" s="5"/>
      <c r="L877" s="5"/>
      <c r="M877" s="1390" t="s">
        <v>334</v>
      </c>
      <c r="N877" s="1391"/>
      <c r="O877" s="1391"/>
      <c r="P877" s="1391"/>
      <c r="Q877" s="1391"/>
      <c r="R877" s="1391"/>
      <c r="S877" s="1391"/>
      <c r="T877" s="1391"/>
      <c r="U877" s="1391"/>
      <c r="V877" s="1392"/>
      <c r="W877" s="1502"/>
      <c r="X877" s="1503"/>
      <c r="Y877" s="1503"/>
      <c r="Z877" s="1503"/>
      <c r="AA877" s="1503"/>
      <c r="AB877" s="1503"/>
      <c r="AC877" s="1504"/>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169</v>
      </c>
      <c r="K878" s="5"/>
      <c r="L878" s="5"/>
      <c r="M878" s="1390" t="s">
        <v>334</v>
      </c>
      <c r="N878" s="1391"/>
      <c r="O878" s="1391"/>
      <c r="P878" s="1391"/>
      <c r="Q878" s="1391"/>
      <c r="R878" s="1391"/>
      <c r="S878" s="1391"/>
      <c r="T878" s="1391"/>
      <c r="U878" s="1391"/>
      <c r="V878" s="1392"/>
      <c r="W878" s="1502"/>
      <c r="X878" s="1503"/>
      <c r="Y878" s="1503"/>
      <c r="Z878" s="1503"/>
      <c r="AA878" s="1503"/>
      <c r="AB878" s="1503"/>
      <c r="AC878" s="1504"/>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276</v>
      </c>
      <c r="W879" s="1626">
        <f>SUM(W874:AC878)</f>
        <v>17800</v>
      </c>
      <c r="X879" s="1627"/>
      <c r="Y879" s="1627"/>
      <c r="Z879" s="1627"/>
      <c r="AA879" s="1627"/>
      <c r="AB879" s="1627"/>
      <c r="AC879" s="1628"/>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177</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277</v>
      </c>
      <c r="AC883" s="1627">
        <f>W847+W855+W862+W863+W872+W879+W849</f>
        <v>1036263</v>
      </c>
      <c r="AD883" s="1627"/>
      <c r="AE883" s="1627"/>
      <c r="AF883" s="1627"/>
      <c r="AG883" s="1627"/>
      <c r="AH883" s="1628"/>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518</v>
      </c>
      <c r="AC884" s="1772">
        <f>O797+O777+G753</f>
        <v>124</v>
      </c>
      <c r="AD884" s="1772"/>
      <c r="AE884" s="1772"/>
      <c r="AF884" s="1772"/>
      <c r="AG884" s="1772"/>
      <c r="AH884" s="1773"/>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674" t="s">
        <v>32</v>
      </c>
      <c r="F885" s="1674"/>
      <c r="G885" s="1674"/>
      <c r="H885" s="1674"/>
      <c r="I885" s="1674"/>
      <c r="J885" s="1674"/>
      <c r="K885" s="1674"/>
      <c r="L885" s="1674"/>
      <c r="M885" s="1674"/>
      <c r="N885" s="1674"/>
      <c r="O885" s="1674"/>
      <c r="P885" s="1674"/>
      <c r="Q885" s="1674"/>
      <c r="R885" s="1674"/>
      <c r="S885" s="1674"/>
      <c r="T885" s="1674"/>
      <c r="U885" s="1674"/>
      <c r="V885" s="1674"/>
      <c r="W885" s="1674"/>
      <c r="X885" s="1674"/>
      <c r="Y885" s="1674"/>
      <c r="Z885" s="1674"/>
      <c r="AA885" s="1674"/>
      <c r="AB885" s="1675"/>
      <c r="AC885" s="1771">
        <f>IF(ISERROR((ROUNDDOWN(AC883/AC884,0))),0,(ROUNDDOWN(AC883/AC884,0)))</f>
        <v>8356</v>
      </c>
      <c r="AD885" s="1771"/>
      <c r="AE885" s="1771"/>
      <c r="AF885" s="1771"/>
      <c r="AG885" s="1771"/>
      <c r="AH885" s="1771"/>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769</v>
      </c>
      <c r="AC886" s="1653">
        <v>719641</v>
      </c>
      <c r="AD886" s="1654"/>
      <c r="AE886" s="1654"/>
      <c r="AF886" s="1654"/>
      <c r="AG886" s="1654"/>
      <c r="AH886" s="1654"/>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1263</v>
      </c>
      <c r="AC887" s="1504">
        <v>0</v>
      </c>
      <c r="AD887" s="1505"/>
      <c r="AE887" s="1505"/>
      <c r="AF887" s="1505"/>
      <c r="AG887" s="1505"/>
      <c r="AH887" s="1505"/>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517</v>
      </c>
      <c r="AC888" s="1503">
        <v>75543</v>
      </c>
      <c r="AD888" s="1503"/>
      <c r="AE888" s="1503"/>
      <c r="AF888" s="1503"/>
      <c r="AG888" s="1503"/>
      <c r="AH888" s="1504"/>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03">
        <v>62000</v>
      </c>
      <c r="AD889" s="1503"/>
      <c r="AE889" s="1503"/>
      <c r="AF889" s="1503"/>
      <c r="AG889" s="1503"/>
      <c r="AH889" s="1504"/>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1865</v>
      </c>
      <c r="AC890" s="1456">
        <v>0</v>
      </c>
      <c r="AD890" s="1457"/>
      <c r="AE890" s="1457"/>
      <c r="AF890" s="1457"/>
      <c r="AG890" s="1457"/>
      <c r="AH890" s="1458"/>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03">
        <v>0</v>
      </c>
      <c r="AD891" s="1503"/>
      <c r="AE891" s="1503"/>
      <c r="AF891" s="1503"/>
      <c r="AG891" s="1503"/>
      <c r="AH891" s="1504"/>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1768</v>
      </c>
      <c r="AC892" s="1503">
        <v>0</v>
      </c>
      <c r="AD892" s="1503"/>
      <c r="AE892" s="1503"/>
      <c r="AF892" s="1503"/>
      <c r="AG892" s="1503"/>
      <c r="AH892" s="1504"/>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49" t="s">
        <v>2765</v>
      </c>
      <c r="D893" s="1650"/>
      <c r="E893" s="1650"/>
      <c r="F893" s="1650"/>
      <c r="G893" s="1650"/>
      <c r="H893" s="1650"/>
      <c r="I893" s="1650"/>
      <c r="J893" s="1650"/>
      <c r="K893" s="1650"/>
      <c r="L893" s="1650"/>
      <c r="M893" s="1650"/>
      <c r="N893" s="1650"/>
      <c r="O893" s="1650"/>
      <c r="P893" s="1650"/>
      <c r="Q893" s="1650"/>
      <c r="R893" s="1650"/>
      <c r="S893" s="1650"/>
      <c r="T893" s="1650"/>
      <c r="U893" s="1650"/>
      <c r="V893" s="1650"/>
      <c r="W893" s="1650"/>
      <c r="X893" s="1650"/>
      <c r="Y893" s="1650"/>
      <c r="Z893" s="1650"/>
      <c r="AA893" s="1650"/>
      <c r="AB893" s="1651"/>
      <c r="AC893" s="1505">
        <v>11181</v>
      </c>
      <c r="AD893" s="1505"/>
      <c r="AE893" s="1505"/>
      <c r="AF893" s="1505"/>
      <c r="AG893" s="1505"/>
      <c r="AH893" s="1505"/>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49"/>
      <c r="D894" s="1650"/>
      <c r="E894" s="1650"/>
      <c r="F894" s="1650"/>
      <c r="G894" s="1650"/>
      <c r="H894" s="1650"/>
      <c r="I894" s="1650"/>
      <c r="J894" s="1650"/>
      <c r="K894" s="1650"/>
      <c r="L894" s="1650"/>
      <c r="M894" s="1650"/>
      <c r="N894" s="1650"/>
      <c r="O894" s="1650"/>
      <c r="P894" s="1650"/>
      <c r="Q894" s="1650"/>
      <c r="R894" s="1650"/>
      <c r="S894" s="1650"/>
      <c r="T894" s="1650"/>
      <c r="U894" s="1650"/>
      <c r="V894" s="1650"/>
      <c r="W894" s="1650"/>
      <c r="X894" s="1650"/>
      <c r="Y894" s="1650"/>
      <c r="Z894" s="1650"/>
      <c r="AA894" s="1650"/>
      <c r="AB894" s="1651"/>
      <c r="AC894" s="1505"/>
      <c r="AD894" s="1505"/>
      <c r="AE894" s="1505"/>
      <c r="AF894" s="1505"/>
      <c r="AG894" s="1505"/>
      <c r="AH894" s="1505"/>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620</v>
      </c>
      <c r="C896" s="2" t="s">
        <v>237</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238</v>
      </c>
      <c r="I898" s="5"/>
      <c r="J898" s="5"/>
      <c r="K898" s="5"/>
      <c r="L898" s="5"/>
      <c r="M898" s="5"/>
      <c r="N898" s="5"/>
      <c r="O898" s="5"/>
      <c r="P898" s="5"/>
      <c r="Q898" s="5"/>
      <c r="R898" s="5"/>
      <c r="S898" s="5"/>
      <c r="T898" s="5"/>
      <c r="U898" s="5"/>
      <c r="V898" s="5"/>
      <c r="W898" s="5"/>
      <c r="X898" s="5"/>
      <c r="Y898" s="46"/>
      <c r="Z898" s="1502">
        <v>0</v>
      </c>
      <c r="AA898" s="1503"/>
      <c r="AB898" s="1503"/>
      <c r="AC898" s="1503"/>
      <c r="AD898" s="1503"/>
      <c r="AE898" s="1504"/>
      <c r="AF898" s="567"/>
      <c r="AZ898" s="34"/>
      <c r="BB898" s="30"/>
      <c r="BC898" s="850"/>
      <c r="BD898" s="1662"/>
      <c r="BE898" s="1662"/>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239</v>
      </c>
      <c r="I899" s="5"/>
      <c r="J899" s="5"/>
      <c r="K899" s="5"/>
      <c r="L899" s="5"/>
      <c r="M899" s="5"/>
      <c r="N899" s="5"/>
      <c r="O899" s="5"/>
      <c r="P899" s="5"/>
      <c r="Q899" s="5"/>
      <c r="R899" s="5"/>
      <c r="S899" s="5"/>
      <c r="T899" s="5"/>
      <c r="U899" s="5"/>
      <c r="V899" s="5"/>
      <c r="W899" s="5"/>
      <c r="X899" s="5"/>
      <c r="Y899" s="5"/>
      <c r="Z899" s="1502">
        <v>0</v>
      </c>
      <c r="AA899" s="1503"/>
      <c r="AB899" s="1503"/>
      <c r="AC899" s="1503"/>
      <c r="AD899" s="1503"/>
      <c r="AE899" s="1504"/>
      <c r="AZ899" s="34"/>
      <c r="BB899" s="30"/>
      <c r="BC899" s="850"/>
      <c r="BD899" s="1662"/>
      <c r="BE899" s="1662"/>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240</v>
      </c>
      <c r="I900" s="5"/>
      <c r="J900" s="5"/>
      <c r="K900" s="5"/>
      <c r="L900" s="5"/>
      <c r="M900" s="5"/>
      <c r="N900" s="5"/>
      <c r="O900" s="5"/>
      <c r="P900" s="5"/>
      <c r="Q900" s="5"/>
      <c r="R900" s="5"/>
      <c r="S900" s="5"/>
      <c r="T900" s="5"/>
      <c r="U900" s="5"/>
      <c r="V900" s="5"/>
      <c r="W900" s="5"/>
      <c r="X900" s="5"/>
      <c r="Y900" s="5"/>
      <c r="Z900" s="1502">
        <v>0</v>
      </c>
      <c r="AA900" s="1503"/>
      <c r="AB900" s="1503"/>
      <c r="AC900" s="1503"/>
      <c r="AD900" s="1503"/>
      <c r="AE900" s="1504"/>
      <c r="AZ900" s="34"/>
      <c r="BB900" s="30"/>
      <c r="BC900" s="850"/>
      <c r="BD900" s="1656"/>
      <c r="BE900" s="1656"/>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241</v>
      </c>
      <c r="Z901" s="1626">
        <f>Z898-(Z899+Z900)</f>
        <v>0</v>
      </c>
      <c r="AA901" s="1627"/>
      <c r="AB901" s="1627"/>
      <c r="AC901" s="1627"/>
      <c r="AD901" s="1627"/>
      <c r="AE901" s="1628"/>
      <c r="AZ901" s="34"/>
      <c r="BB901" s="30"/>
      <c r="BC901" s="850"/>
      <c r="BD901" s="1656"/>
      <c r="BE901" s="1656"/>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56"/>
      <c r="BE902" s="1656"/>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245</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62"/>
      <c r="BE903" s="1656"/>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246</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763"/>
      <c r="BE904" s="1763"/>
      <c r="BF904" s="1763"/>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247</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76"/>
      <c r="BE905" s="1676"/>
      <c r="BF905" s="1676"/>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1035</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56"/>
      <c r="BE906" s="1656"/>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62"/>
      <c r="BE907" s="1656"/>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446" t="s">
        <v>96</v>
      </c>
      <c r="B909" s="1446"/>
      <c r="C909" s="1446"/>
      <c r="D909" s="1446"/>
      <c r="E909" s="1446"/>
      <c r="F909" s="1446"/>
      <c r="G909" s="1446"/>
      <c r="H909" s="1446"/>
      <c r="I909" s="1446"/>
      <c r="J909" s="1446"/>
      <c r="K909" s="1446"/>
      <c r="L909" s="1446"/>
      <c r="M909" s="1446"/>
      <c r="N909" s="1446"/>
      <c r="O909" s="1446"/>
      <c r="P909" s="1446"/>
      <c r="Q909" s="1446"/>
      <c r="R909" s="1446"/>
      <c r="S909" s="1446"/>
      <c r="T909" s="1446"/>
      <c r="U909" s="1446"/>
      <c r="V909" s="1446"/>
      <c r="W909" s="1446"/>
      <c r="X909" s="1446"/>
      <c r="Y909" s="1446"/>
      <c r="Z909" s="1446"/>
      <c r="AA909" s="1446"/>
      <c r="AB909" s="1446"/>
      <c r="AC909" s="1446"/>
      <c r="AD909" s="1446"/>
      <c r="AE909" s="1446"/>
      <c r="AF909" s="1446"/>
      <c r="AG909" s="1446"/>
      <c r="AH909" s="1446"/>
      <c r="AI909" s="1446"/>
      <c r="AJ909" s="1446"/>
      <c r="AK909" s="1446"/>
      <c r="AL909" s="1446"/>
      <c r="AM909" s="1446"/>
      <c r="AN909" s="1446"/>
      <c r="AO909" s="1446"/>
      <c r="AP909" s="1446"/>
      <c r="AQ909" s="1446"/>
      <c r="AR909" s="1446"/>
      <c r="AS909" s="1446"/>
      <c r="AT909" s="1446"/>
      <c r="AZ909" s="34"/>
      <c r="BA909" s="34"/>
      <c r="BB909" s="30"/>
      <c r="BC909" s="30"/>
      <c r="BD909" s="1662"/>
      <c r="BE909" s="1656"/>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446"/>
      <c r="B910" s="1446"/>
      <c r="C910" s="1446"/>
      <c r="D910" s="1446"/>
      <c r="E910" s="1446"/>
      <c r="F910" s="1446"/>
      <c r="G910" s="1446"/>
      <c r="H910" s="1446"/>
      <c r="I910" s="1446"/>
      <c r="J910" s="1446"/>
      <c r="K910" s="1446"/>
      <c r="L910" s="1446"/>
      <c r="M910" s="1446"/>
      <c r="N910" s="1446"/>
      <c r="O910" s="1446"/>
      <c r="P910" s="1446"/>
      <c r="Q910" s="1446"/>
      <c r="R910" s="1446"/>
      <c r="S910" s="1446"/>
      <c r="T910" s="1446"/>
      <c r="U910" s="1446"/>
      <c r="V910" s="1446"/>
      <c r="W910" s="1446"/>
      <c r="X910" s="1446"/>
      <c r="Y910" s="1446"/>
      <c r="Z910" s="1446"/>
      <c r="AA910" s="1446"/>
      <c r="AB910" s="1446"/>
      <c r="AC910" s="1446"/>
      <c r="AD910" s="1446"/>
      <c r="AE910" s="1446"/>
      <c r="AF910" s="1446"/>
      <c r="AG910" s="1446"/>
      <c r="AH910" s="1446"/>
      <c r="AI910" s="1446"/>
      <c r="AJ910" s="1446"/>
      <c r="AK910" s="1446"/>
      <c r="AL910" s="1446"/>
      <c r="AM910" s="1446"/>
      <c r="AN910" s="1446"/>
      <c r="AO910" s="1446"/>
      <c r="AP910" s="1446"/>
      <c r="AQ910" s="1446"/>
      <c r="AR910" s="1446"/>
      <c r="AS910" s="1446"/>
      <c r="AT910" s="1446"/>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319</v>
      </c>
      <c r="C912" s="2" t="s">
        <v>264</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542" t="s">
        <v>800</v>
      </c>
      <c r="G914" s="1543"/>
      <c r="H914" s="1543"/>
      <c r="I914" s="1543"/>
      <c r="J914" s="1543"/>
      <c r="K914" s="1543"/>
      <c r="L914" s="1543"/>
      <c r="M914" s="1543"/>
      <c r="N914" s="1543"/>
      <c r="O914" s="1543"/>
      <c r="P914" s="1543"/>
      <c r="Q914" s="1543"/>
      <c r="R914" s="1543"/>
      <c r="S914" s="1543"/>
      <c r="T914" s="1544"/>
      <c r="U914" s="1618" t="s">
        <v>31</v>
      </c>
      <c r="V914" s="1619"/>
      <c r="W914" s="1619"/>
      <c r="X914" s="1619"/>
      <c r="Y914" s="1619"/>
      <c r="Z914" s="1619"/>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577" t="s">
        <v>826</v>
      </c>
      <c r="G915" s="1578"/>
      <c r="H915" s="1578"/>
      <c r="I915" s="1578"/>
      <c r="J915" s="1578"/>
      <c r="K915" s="1578"/>
      <c r="L915" s="1578"/>
      <c r="M915" s="1578"/>
      <c r="N915" s="1578"/>
      <c r="O915" s="1578"/>
      <c r="P915" s="1578"/>
      <c r="Q915" s="1578"/>
      <c r="R915" s="1578"/>
      <c r="S915" s="1578"/>
      <c r="T915" s="1579"/>
      <c r="U915" s="1577"/>
      <c r="V915" s="1578"/>
      <c r="W915" s="1578"/>
      <c r="X915" s="1578"/>
      <c r="Y915" s="1578"/>
      <c r="Z915" s="1578"/>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580"/>
      <c r="G916" s="1581"/>
      <c r="H916" s="1581"/>
      <c r="I916" s="1581"/>
      <c r="J916" s="1581"/>
      <c r="K916" s="1581"/>
      <c r="L916" s="1581"/>
      <c r="M916" s="1581"/>
      <c r="N916" s="1581"/>
      <c r="O916" s="1581"/>
      <c r="P916" s="1581"/>
      <c r="Q916" s="1581"/>
      <c r="R916" s="1581"/>
      <c r="S916" s="1581"/>
      <c r="T916" s="1582"/>
      <c r="U916" s="1580"/>
      <c r="V916" s="1581"/>
      <c r="W916" s="1581"/>
      <c r="X916" s="1581"/>
      <c r="Y916" s="1581"/>
      <c r="Z916" s="1581"/>
      <c r="AA916" s="108"/>
      <c r="AB916" s="1663" t="s">
        <v>391</v>
      </c>
      <c r="AC916" s="1663"/>
      <c r="AD916" s="1663"/>
      <c r="AE916" s="1663"/>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766</v>
      </c>
      <c r="G917" s="48"/>
      <c r="H917" s="48"/>
      <c r="I917" s="48"/>
      <c r="J917" s="48"/>
      <c r="K917" s="48"/>
      <c r="L917" s="48"/>
      <c r="M917" s="48"/>
      <c r="N917" s="48"/>
      <c r="O917" s="48"/>
      <c r="P917" s="48"/>
      <c r="Q917" s="48"/>
      <c r="R917" s="48"/>
      <c r="S917" s="48"/>
      <c r="T917" s="49"/>
      <c r="U917" s="1420" t="s">
        <v>552</v>
      </c>
      <c r="V917" s="1421"/>
      <c r="W917" s="1421"/>
      <c r="X917" s="1421"/>
      <c r="Y917" s="1421"/>
      <c r="Z917" s="1422"/>
      <c r="AA917" s="1423">
        <f>AM554</f>
        <v>53257010</v>
      </c>
      <c r="AB917" s="1424"/>
      <c r="AC917" s="1424"/>
      <c r="AD917" s="1424"/>
      <c r="AE917" s="1424"/>
      <c r="AF917" s="1425"/>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682</v>
      </c>
      <c r="G918" s="48"/>
      <c r="H918" s="48"/>
      <c r="I918" s="48"/>
      <c r="J918" s="48"/>
      <c r="K918" s="48"/>
      <c r="L918" s="48"/>
      <c r="M918" s="48"/>
      <c r="N918" s="48"/>
      <c r="O918" s="48"/>
      <c r="P918" s="48"/>
      <c r="Q918" s="48"/>
      <c r="R918" s="48"/>
      <c r="S918" s="48"/>
      <c r="T918" s="49"/>
      <c r="U918" s="1420" t="s">
        <v>552</v>
      </c>
      <c r="V918" s="1421"/>
      <c r="W918" s="1421"/>
      <c r="X918" s="1421"/>
      <c r="Y918" s="1421"/>
      <c r="Z918" s="1422"/>
      <c r="AA918" s="1423">
        <f>AM555</f>
        <v>33851102</v>
      </c>
      <c r="AB918" s="1424"/>
      <c r="AC918" s="1424"/>
      <c r="AD918" s="1424"/>
      <c r="AE918" s="1424"/>
      <c r="AF918" s="1425"/>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809</v>
      </c>
      <c r="G919" s="5"/>
      <c r="H919" s="5"/>
      <c r="I919" s="5"/>
      <c r="J919" s="5"/>
      <c r="K919" s="5"/>
      <c r="L919" s="5"/>
      <c r="M919" s="5"/>
      <c r="N919" s="5"/>
      <c r="O919" s="5"/>
      <c r="P919" s="5"/>
      <c r="Q919" s="5"/>
      <c r="R919" s="5"/>
      <c r="S919" s="5"/>
      <c r="T919" s="46"/>
      <c r="U919" s="1420" t="s">
        <v>676</v>
      </c>
      <c r="V919" s="1421"/>
      <c r="W919" s="1421"/>
      <c r="X919" s="1421"/>
      <c r="Y919" s="1421"/>
      <c r="Z919" s="1422"/>
      <c r="AA919" s="1423"/>
      <c r="AB919" s="1424"/>
      <c r="AC919" s="1424"/>
      <c r="AD919" s="1424"/>
      <c r="AE919" s="1424"/>
      <c r="AF919" s="1425"/>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685</v>
      </c>
      <c r="G920" s="5"/>
      <c r="H920" s="5"/>
      <c r="I920" s="5"/>
      <c r="J920" s="5"/>
      <c r="K920" s="5"/>
      <c r="L920" s="5"/>
      <c r="M920" s="5"/>
      <c r="N920" s="5"/>
      <c r="O920" s="5"/>
      <c r="P920" s="5"/>
      <c r="Q920" s="5"/>
      <c r="R920" s="5"/>
      <c r="S920" s="5"/>
      <c r="T920" s="46"/>
      <c r="U920" s="1420" t="s">
        <v>598</v>
      </c>
      <c r="V920" s="1421"/>
      <c r="W920" s="1421"/>
      <c r="X920" s="1421"/>
      <c r="Y920" s="1421"/>
      <c r="Z920" s="1422"/>
      <c r="AA920" s="1423"/>
      <c r="AB920" s="1424"/>
      <c r="AC920" s="1424"/>
      <c r="AD920" s="1424"/>
      <c r="AE920" s="1424"/>
      <c r="AF920" s="1425"/>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794</v>
      </c>
      <c r="G921" s="5"/>
      <c r="H921" s="5"/>
      <c r="I921" s="5"/>
      <c r="J921" s="5"/>
      <c r="K921" s="5"/>
      <c r="L921" s="5"/>
      <c r="M921" s="5"/>
      <c r="N921" s="5"/>
      <c r="O921" s="5"/>
      <c r="P921" s="5"/>
      <c r="Q921" s="5"/>
      <c r="R921" s="5"/>
      <c r="S921" s="5"/>
      <c r="T921" s="46"/>
      <c r="U921" s="1420" t="s">
        <v>598</v>
      </c>
      <c r="V921" s="1421"/>
      <c r="W921" s="1421"/>
      <c r="X921" s="1421"/>
      <c r="Y921" s="1421"/>
      <c r="Z921" s="1422"/>
      <c r="AA921" s="1423"/>
      <c r="AB921" s="1424"/>
      <c r="AC921" s="1424"/>
      <c r="AD921" s="1424"/>
      <c r="AE921" s="1424"/>
      <c r="AF921" s="1425"/>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795</v>
      </c>
      <c r="G922" s="5"/>
      <c r="H922" s="5"/>
      <c r="I922" s="5"/>
      <c r="J922" s="5"/>
      <c r="K922" s="5"/>
      <c r="L922" s="5"/>
      <c r="M922" s="5"/>
      <c r="N922" s="5"/>
      <c r="O922" s="5"/>
      <c r="P922" s="5"/>
      <c r="Q922" s="5"/>
      <c r="R922" s="5"/>
      <c r="S922" s="5"/>
      <c r="T922" s="46"/>
      <c r="U922" s="1420" t="s">
        <v>598</v>
      </c>
      <c r="V922" s="1421"/>
      <c r="W922" s="1421"/>
      <c r="X922" s="1421"/>
      <c r="Y922" s="1421"/>
      <c r="Z922" s="1422"/>
      <c r="AA922" s="1423"/>
      <c r="AB922" s="1424"/>
      <c r="AC922" s="1424"/>
      <c r="AD922" s="1424"/>
      <c r="AE922" s="1424"/>
      <c r="AF922" s="1425"/>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796</v>
      </c>
      <c r="G923" s="5"/>
      <c r="H923" s="5"/>
      <c r="I923" s="5"/>
      <c r="J923" s="5"/>
      <c r="K923" s="5"/>
      <c r="L923" s="5"/>
      <c r="M923" s="5"/>
      <c r="N923" s="5"/>
      <c r="O923" s="5"/>
      <c r="P923" s="5"/>
      <c r="Q923" s="5"/>
      <c r="R923" s="5"/>
      <c r="S923" s="5"/>
      <c r="T923" s="46"/>
      <c r="U923" s="1420" t="s">
        <v>598</v>
      </c>
      <c r="V923" s="1421"/>
      <c r="W923" s="1421"/>
      <c r="X923" s="1421"/>
      <c r="Y923" s="1421"/>
      <c r="Z923" s="1422"/>
      <c r="AA923" s="1423"/>
      <c r="AB923" s="1424"/>
      <c r="AC923" s="1424"/>
      <c r="AD923" s="1424"/>
      <c r="AE923" s="1424"/>
      <c r="AF923" s="1425"/>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684</v>
      </c>
      <c r="G924" s="5"/>
      <c r="H924" s="5"/>
      <c r="I924" s="5"/>
      <c r="J924" s="5"/>
      <c r="K924" s="5"/>
      <c r="L924" s="5"/>
      <c r="M924" s="5"/>
      <c r="N924" s="5"/>
      <c r="O924" s="5"/>
      <c r="P924" s="5"/>
      <c r="Q924" s="5"/>
      <c r="R924" s="5"/>
      <c r="S924" s="5"/>
      <c r="T924" s="46"/>
      <c r="U924" s="1420" t="s">
        <v>598</v>
      </c>
      <c r="V924" s="1421"/>
      <c r="W924" s="1421"/>
      <c r="X924" s="1421"/>
      <c r="Y924" s="1421"/>
      <c r="Z924" s="1422"/>
      <c r="AA924" s="1423"/>
      <c r="AB924" s="1424"/>
      <c r="AC924" s="1424"/>
      <c r="AD924" s="1424"/>
      <c r="AE924" s="1424"/>
      <c r="AF924" s="1425"/>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583" t="s">
        <v>2555</v>
      </c>
      <c r="G925" s="1584"/>
      <c r="H925" s="1584"/>
      <c r="I925" s="1584"/>
      <c r="J925" s="1584"/>
      <c r="K925" s="1584"/>
      <c r="L925" s="1584"/>
      <c r="M925" s="1584"/>
      <c r="N925" s="1584"/>
      <c r="O925" s="1584"/>
      <c r="P925" s="1584"/>
      <c r="Q925" s="1584"/>
      <c r="R925" s="1584"/>
      <c r="S925" s="1584"/>
      <c r="T925" s="1585"/>
      <c r="U925" s="1420" t="s">
        <v>598</v>
      </c>
      <c r="V925" s="1421"/>
      <c r="W925" s="1421"/>
      <c r="X925" s="1421"/>
      <c r="Y925" s="1421"/>
      <c r="Z925" s="1422"/>
      <c r="AA925" s="1423"/>
      <c r="AB925" s="1424"/>
      <c r="AC925" s="1424"/>
      <c r="AD925" s="1424"/>
      <c r="AE925" s="1424"/>
      <c r="AF925" s="1425"/>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583" t="s">
        <v>686</v>
      </c>
      <c r="G926" s="1584"/>
      <c r="H926" s="1584"/>
      <c r="I926" s="1584"/>
      <c r="J926" s="1584"/>
      <c r="K926" s="1584"/>
      <c r="L926" s="1584"/>
      <c r="M926" s="1584"/>
      <c r="N926" s="1584"/>
      <c r="O926" s="1584"/>
      <c r="P926" s="1584"/>
      <c r="Q926" s="1584"/>
      <c r="R926" s="1584"/>
      <c r="S926" s="1584"/>
      <c r="T926" s="1585"/>
      <c r="U926" s="1420" t="s">
        <v>598</v>
      </c>
      <c r="V926" s="1421"/>
      <c r="W926" s="1421"/>
      <c r="X926" s="1421"/>
      <c r="Y926" s="1421"/>
      <c r="Z926" s="1422"/>
      <c r="AA926" s="1423"/>
      <c r="AB926" s="1424"/>
      <c r="AC926" s="1424"/>
      <c r="AD926" s="1424"/>
      <c r="AE926" s="1424"/>
      <c r="AF926" s="1425"/>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583" t="s">
        <v>2556</v>
      </c>
      <c r="G927" s="1584"/>
      <c r="H927" s="1584"/>
      <c r="I927" s="1584"/>
      <c r="J927" s="1584"/>
      <c r="K927" s="1584"/>
      <c r="L927" s="1584"/>
      <c r="M927" s="1584"/>
      <c r="N927" s="1584"/>
      <c r="O927" s="1584"/>
      <c r="P927" s="1584"/>
      <c r="Q927" s="1584"/>
      <c r="R927" s="1584"/>
      <c r="S927" s="1584"/>
      <c r="T927" s="1585"/>
      <c r="U927" s="1420" t="s">
        <v>598</v>
      </c>
      <c r="V927" s="1421"/>
      <c r="W927" s="1421"/>
      <c r="X927" s="1421"/>
      <c r="Y927" s="1421"/>
      <c r="Z927" s="1422"/>
      <c r="AA927" s="1423"/>
      <c r="AB927" s="1424"/>
      <c r="AC927" s="1424"/>
      <c r="AD927" s="1424"/>
      <c r="AE927" s="1424"/>
      <c r="AF927" s="1425"/>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583" t="s">
        <v>2557</v>
      </c>
      <c r="G928" s="1584"/>
      <c r="H928" s="1584"/>
      <c r="I928" s="1584"/>
      <c r="J928" s="1584"/>
      <c r="K928" s="1584"/>
      <c r="L928" s="1584"/>
      <c r="M928" s="1584"/>
      <c r="N928" s="1584"/>
      <c r="O928" s="1584"/>
      <c r="P928" s="1584"/>
      <c r="Q928" s="1584"/>
      <c r="R928" s="1584"/>
      <c r="S928" s="1584"/>
      <c r="T928" s="1585"/>
      <c r="U928" s="1420" t="s">
        <v>598</v>
      </c>
      <c r="V928" s="1421"/>
      <c r="W928" s="1421"/>
      <c r="X928" s="1421"/>
      <c r="Y928" s="1421"/>
      <c r="Z928" s="1422"/>
      <c r="AA928" s="1423"/>
      <c r="AB928" s="1424"/>
      <c r="AC928" s="1424"/>
      <c r="AD928" s="1424"/>
      <c r="AE928" s="1424"/>
      <c r="AF928" s="1425"/>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583" t="s">
        <v>2558</v>
      </c>
      <c r="G929" s="1584"/>
      <c r="H929" s="1584"/>
      <c r="I929" s="1584"/>
      <c r="J929" s="1584"/>
      <c r="K929" s="1584"/>
      <c r="L929" s="1584"/>
      <c r="M929" s="1584"/>
      <c r="N929" s="1584"/>
      <c r="O929" s="1584"/>
      <c r="P929" s="1584"/>
      <c r="Q929" s="1584"/>
      <c r="R929" s="1584"/>
      <c r="S929" s="1584"/>
      <c r="T929" s="1585"/>
      <c r="U929" s="1420" t="s">
        <v>598</v>
      </c>
      <c r="V929" s="1421"/>
      <c r="W929" s="1421"/>
      <c r="X929" s="1421"/>
      <c r="Y929" s="1421"/>
      <c r="Z929" s="1422"/>
      <c r="AA929" s="1423"/>
      <c r="AB929" s="1424"/>
      <c r="AC929" s="1424"/>
      <c r="AD929" s="1424"/>
      <c r="AE929" s="1424"/>
      <c r="AF929" s="1425"/>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583" t="s">
        <v>2559</v>
      </c>
      <c r="G930" s="1584"/>
      <c r="H930" s="1584"/>
      <c r="I930" s="1584"/>
      <c r="J930" s="1584"/>
      <c r="K930" s="1584"/>
      <c r="L930" s="1584"/>
      <c r="M930" s="1584"/>
      <c r="N930" s="1584"/>
      <c r="O930" s="1584"/>
      <c r="P930" s="1584"/>
      <c r="Q930" s="1584"/>
      <c r="R930" s="1584"/>
      <c r="S930" s="1584"/>
      <c r="T930" s="1585"/>
      <c r="U930" s="1420" t="s">
        <v>552</v>
      </c>
      <c r="V930" s="1421"/>
      <c r="W930" s="1421"/>
      <c r="X930" s="1421"/>
      <c r="Y930" s="1421"/>
      <c r="Z930" s="1422"/>
      <c r="AA930" s="1423">
        <f>AO628</f>
        <v>22500000</v>
      </c>
      <c r="AB930" s="1424"/>
      <c r="AC930" s="1424"/>
      <c r="AD930" s="1424"/>
      <c r="AE930" s="1424"/>
      <c r="AF930" s="1425"/>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583" t="s">
        <v>2560</v>
      </c>
      <c r="G931" s="1584"/>
      <c r="H931" s="1584"/>
      <c r="I931" s="1584"/>
      <c r="J931" s="1584"/>
      <c r="K931" s="1584"/>
      <c r="L931" s="1584"/>
      <c r="M931" s="1584"/>
      <c r="N931" s="1584"/>
      <c r="O931" s="1584"/>
      <c r="P931" s="1584"/>
      <c r="Q931" s="1584"/>
      <c r="R931" s="1584"/>
      <c r="S931" s="1584"/>
      <c r="T931" s="1585"/>
      <c r="U931" s="1420" t="s">
        <v>598</v>
      </c>
      <c r="V931" s="1421"/>
      <c r="W931" s="1421"/>
      <c r="X931" s="1421"/>
      <c r="Y931" s="1421"/>
      <c r="Z931" s="1422"/>
      <c r="AA931" s="1423"/>
      <c r="AB931" s="1424"/>
      <c r="AC931" s="1424"/>
      <c r="AD931" s="1424"/>
      <c r="AE931" s="1424"/>
      <c r="AF931" s="1425"/>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683</v>
      </c>
      <c r="G932" s="5"/>
      <c r="H932" s="5"/>
      <c r="I932" s="5"/>
      <c r="J932" s="5"/>
      <c r="K932" s="5"/>
      <c r="L932" s="5"/>
      <c r="M932" s="5"/>
      <c r="N932" s="5"/>
      <c r="O932" s="5"/>
      <c r="P932" s="5"/>
      <c r="Q932" s="5"/>
      <c r="R932" s="5"/>
      <c r="S932" s="5"/>
      <c r="T932" s="46"/>
      <c r="U932" s="1420" t="s">
        <v>598</v>
      </c>
      <c r="V932" s="1421"/>
      <c r="W932" s="1421"/>
      <c r="X932" s="1421"/>
      <c r="Y932" s="1421"/>
      <c r="Z932" s="1422"/>
      <c r="AA932" s="1423"/>
      <c r="AB932" s="1424"/>
      <c r="AC932" s="1424"/>
      <c r="AD932" s="1424"/>
      <c r="AE932" s="1424"/>
      <c r="AF932" s="1425"/>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1385</v>
      </c>
      <c r="G933" s="5"/>
      <c r="H933" s="5"/>
      <c r="I933" s="5"/>
      <c r="J933" s="5"/>
      <c r="K933" s="5"/>
      <c r="L933" s="5"/>
      <c r="M933" s="5"/>
      <c r="N933" s="5"/>
      <c r="O933" s="5"/>
      <c r="P933" s="5"/>
      <c r="Q933" s="5"/>
      <c r="R933" s="5"/>
      <c r="S933" s="5"/>
      <c r="T933" s="46"/>
      <c r="U933" s="1420" t="s">
        <v>598</v>
      </c>
      <c r="V933" s="1421"/>
      <c r="W933" s="1421"/>
      <c r="X933" s="1421"/>
      <c r="Y933" s="1421"/>
      <c r="Z933" s="1422"/>
      <c r="AA933" s="1423"/>
      <c r="AB933" s="1424"/>
      <c r="AC933" s="1424"/>
      <c r="AD933" s="1424"/>
      <c r="AE933" s="1424"/>
      <c r="AF933" s="1425"/>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810</v>
      </c>
      <c r="G934" s="5"/>
      <c r="H934" s="5"/>
      <c r="I934" s="5"/>
      <c r="J934" s="5"/>
      <c r="K934" s="5"/>
      <c r="L934" s="5"/>
      <c r="M934" s="5"/>
      <c r="N934" s="5"/>
      <c r="O934" s="5"/>
      <c r="P934" s="5"/>
      <c r="Q934" s="5"/>
      <c r="R934" s="5"/>
      <c r="S934" s="5"/>
      <c r="T934" s="46"/>
      <c r="U934" s="1420" t="s">
        <v>598</v>
      </c>
      <c r="V934" s="1421"/>
      <c r="W934" s="1421"/>
      <c r="X934" s="1421"/>
      <c r="Y934" s="1421"/>
      <c r="Z934" s="1422"/>
      <c r="AA934" s="1423"/>
      <c r="AB934" s="1424"/>
      <c r="AC934" s="1424"/>
      <c r="AD934" s="1424"/>
      <c r="AE934" s="1424"/>
      <c r="AF934" s="1425"/>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550" t="s">
        <v>2564</v>
      </c>
      <c r="G935" s="1551"/>
      <c r="H935" s="1551"/>
      <c r="I935" s="1551"/>
      <c r="J935" s="1551"/>
      <c r="K935" s="1551"/>
      <c r="L935" s="1551"/>
      <c r="M935" s="1551"/>
      <c r="N935" s="1551"/>
      <c r="O935" s="1551"/>
      <c r="P935" s="1551"/>
      <c r="Q935" s="1551"/>
      <c r="R935" s="1551"/>
      <c r="S935" s="1551"/>
      <c r="T935" s="1552"/>
      <c r="U935" s="1420" t="s">
        <v>598</v>
      </c>
      <c r="V935" s="1421"/>
      <c r="W935" s="1421"/>
      <c r="X935" s="1421"/>
      <c r="Y935" s="1421"/>
      <c r="Z935" s="1422"/>
      <c r="AA935" s="1423"/>
      <c r="AB935" s="1424"/>
      <c r="AC935" s="1424"/>
      <c r="AD935" s="1424"/>
      <c r="AE935" s="1424"/>
      <c r="AF935" s="1425"/>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550" t="s">
        <v>2565</v>
      </c>
      <c r="G936" s="1551"/>
      <c r="H936" s="1551"/>
      <c r="I936" s="1551"/>
      <c r="J936" s="1551"/>
      <c r="K936" s="1551"/>
      <c r="L936" s="1551"/>
      <c r="M936" s="1551"/>
      <c r="N936" s="1551"/>
      <c r="O936" s="1551"/>
      <c r="P936" s="1551"/>
      <c r="Q936" s="1551"/>
      <c r="R936" s="1551"/>
      <c r="S936" s="1551"/>
      <c r="T936" s="1552"/>
      <c r="U936" s="1420" t="s">
        <v>598</v>
      </c>
      <c r="V936" s="1421"/>
      <c r="W936" s="1421"/>
      <c r="X936" s="1421"/>
      <c r="Y936" s="1421"/>
      <c r="Z936" s="1422"/>
      <c r="AA936" s="1423"/>
      <c r="AB936" s="1424"/>
      <c r="AC936" s="1424"/>
      <c r="AD936" s="1424"/>
      <c r="AE936" s="1424"/>
      <c r="AF936" s="1425"/>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583" t="s">
        <v>2561</v>
      </c>
      <c r="G937" s="1584"/>
      <c r="H937" s="1584"/>
      <c r="I937" s="1584"/>
      <c r="J937" s="1584"/>
      <c r="K937" s="1584"/>
      <c r="L937" s="1584"/>
      <c r="M937" s="1584"/>
      <c r="N937" s="1584"/>
      <c r="O937" s="1584"/>
      <c r="P937" s="1584"/>
      <c r="Q937" s="1584"/>
      <c r="R937" s="1584"/>
      <c r="S937" s="1584"/>
      <c r="T937" s="1585"/>
      <c r="U937" s="1420" t="s">
        <v>598</v>
      </c>
      <c r="V937" s="1421"/>
      <c r="W937" s="1421"/>
      <c r="X937" s="1421"/>
      <c r="Y937" s="1421"/>
      <c r="Z937" s="1422"/>
      <c r="AA937" s="1423"/>
      <c r="AB937" s="1424"/>
      <c r="AC937" s="1424"/>
      <c r="AD937" s="1424"/>
      <c r="AE937" s="1424"/>
      <c r="AF937" s="1425"/>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583" t="s">
        <v>2562</v>
      </c>
      <c r="G938" s="1584"/>
      <c r="H938" s="1584"/>
      <c r="I938" s="1584"/>
      <c r="J938" s="1584"/>
      <c r="K938" s="1584"/>
      <c r="L938" s="1584"/>
      <c r="M938" s="1584"/>
      <c r="N938" s="1584"/>
      <c r="O938" s="1584"/>
      <c r="P938" s="1584"/>
      <c r="Q938" s="1584"/>
      <c r="R938" s="1584"/>
      <c r="S938" s="1584"/>
      <c r="T938" s="1585"/>
      <c r="U938" s="1420" t="s">
        <v>598</v>
      </c>
      <c r="V938" s="1421"/>
      <c r="W938" s="1421"/>
      <c r="X938" s="1421"/>
      <c r="Y938" s="1421"/>
      <c r="Z938" s="1422"/>
      <c r="AA938" s="1198"/>
      <c r="AB938" s="1197"/>
      <c r="AC938" s="1197"/>
      <c r="AD938" s="1197"/>
      <c r="AE938" s="1197"/>
      <c r="AF938" s="119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583" t="s">
        <v>2563</v>
      </c>
      <c r="G939" s="1584"/>
      <c r="H939" s="1584"/>
      <c r="I939" s="1584"/>
      <c r="J939" s="1584"/>
      <c r="K939" s="1584"/>
      <c r="L939" s="1584"/>
      <c r="M939" s="1584"/>
      <c r="N939" s="1584"/>
      <c r="O939" s="1584"/>
      <c r="P939" s="1584"/>
      <c r="Q939" s="1584"/>
      <c r="R939" s="1584"/>
      <c r="S939" s="1584"/>
      <c r="T939" s="1585"/>
      <c r="U939" s="1420" t="s">
        <v>598</v>
      </c>
      <c r="V939" s="1421"/>
      <c r="W939" s="1421"/>
      <c r="X939" s="1421"/>
      <c r="Y939" s="1421"/>
      <c r="Z939" s="1422"/>
      <c r="AA939" s="1198"/>
      <c r="AB939" s="1197"/>
      <c r="AC939" s="1197"/>
      <c r="AD939" s="1197"/>
      <c r="AE939" s="1197"/>
      <c r="AF939" s="119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1369</v>
      </c>
      <c r="G940" s="5"/>
      <c r="H940" s="5"/>
      <c r="I940" s="5"/>
      <c r="J940" s="5"/>
      <c r="K940" s="5"/>
      <c r="L940" s="5"/>
      <c r="M940" s="5"/>
      <c r="N940" s="5"/>
      <c r="O940" s="5"/>
      <c r="P940" s="5"/>
      <c r="Q940" s="5"/>
      <c r="R940" s="5"/>
      <c r="S940" s="5"/>
      <c r="T940" s="46"/>
      <c r="U940" s="1420" t="s">
        <v>598</v>
      </c>
      <c r="V940" s="1421"/>
      <c r="W940" s="1421"/>
      <c r="X940" s="1421"/>
      <c r="Y940" s="1421"/>
      <c r="Z940" s="1422"/>
      <c r="AA940" s="1423"/>
      <c r="AB940" s="1424"/>
      <c r="AC940" s="1424"/>
      <c r="AD940" s="1424"/>
      <c r="AE940" s="1424"/>
      <c r="AF940" s="1425"/>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550" t="s">
        <v>2566</v>
      </c>
      <c r="G941" s="1551"/>
      <c r="H941" s="1551"/>
      <c r="I941" s="1551"/>
      <c r="J941" s="1551"/>
      <c r="K941" s="1551"/>
      <c r="L941" s="1551"/>
      <c r="M941" s="1551"/>
      <c r="N941" s="1551"/>
      <c r="O941" s="1551"/>
      <c r="P941" s="1551"/>
      <c r="Q941" s="1551"/>
      <c r="R941" s="1551"/>
      <c r="S941" s="1551"/>
      <c r="T941" s="1552"/>
      <c r="U941" s="1420" t="s">
        <v>598</v>
      </c>
      <c r="V941" s="1421"/>
      <c r="W941" s="1421"/>
      <c r="X941" s="1421"/>
      <c r="Y941" s="1421"/>
      <c r="Z941" s="1422"/>
      <c r="AA941" s="1423"/>
      <c r="AB941" s="1424"/>
      <c r="AC941" s="1424"/>
      <c r="AD941" s="1424"/>
      <c r="AE941" s="1424"/>
      <c r="AF941" s="1425"/>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1370</v>
      </c>
      <c r="G942" s="5"/>
      <c r="H942" s="5"/>
      <c r="I942" s="5"/>
      <c r="J942" s="5"/>
      <c r="K942" s="5"/>
      <c r="L942" s="5"/>
      <c r="M942" s="5"/>
      <c r="N942" s="5"/>
      <c r="O942" s="5"/>
      <c r="P942" s="5"/>
      <c r="Q942" s="5"/>
      <c r="R942" s="5"/>
      <c r="S942" s="5"/>
      <c r="T942" s="46"/>
      <c r="U942" s="1420" t="s">
        <v>598</v>
      </c>
      <c r="V942" s="1421"/>
      <c r="W942" s="1421"/>
      <c r="X942" s="1421"/>
      <c r="Y942" s="1421"/>
      <c r="Z942" s="1422"/>
      <c r="AA942" s="1423"/>
      <c r="AB942" s="1424"/>
      <c r="AC942" s="1424"/>
      <c r="AD942" s="1424"/>
      <c r="AE942" s="1424"/>
      <c r="AF942" s="1425"/>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550" t="s">
        <v>2567</v>
      </c>
      <c r="G943" s="1551"/>
      <c r="H943" s="1551"/>
      <c r="I943" s="1551"/>
      <c r="J943" s="1551"/>
      <c r="K943" s="1551"/>
      <c r="L943" s="1551"/>
      <c r="M943" s="1551"/>
      <c r="N943" s="1551"/>
      <c r="O943" s="1551"/>
      <c r="P943" s="1551"/>
      <c r="Q943" s="1551"/>
      <c r="R943" s="1551"/>
      <c r="S943" s="1551"/>
      <c r="T943" s="1552"/>
      <c r="U943" s="1420" t="s">
        <v>598</v>
      </c>
      <c r="V943" s="1421"/>
      <c r="W943" s="1421"/>
      <c r="X943" s="1421"/>
      <c r="Y943" s="1421"/>
      <c r="Z943" s="1422"/>
      <c r="AA943" s="1423"/>
      <c r="AB943" s="1424"/>
      <c r="AC943" s="1424"/>
      <c r="AD943" s="1424"/>
      <c r="AE943" s="1424"/>
      <c r="AF943" s="1425"/>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814</v>
      </c>
      <c r="G944" s="5"/>
      <c r="H944" s="5"/>
      <c r="I944" s="5"/>
      <c r="J944" s="5"/>
      <c r="K944" s="5"/>
      <c r="L944" s="5"/>
      <c r="M944" s="5"/>
      <c r="N944" s="5"/>
      <c r="O944" s="5"/>
      <c r="P944" s="1420" t="s">
        <v>676</v>
      </c>
      <c r="Q944" s="1421"/>
      <c r="R944" s="1421"/>
      <c r="S944" s="1421"/>
      <c r="T944" s="1422"/>
      <c r="U944" s="1420" t="s">
        <v>598</v>
      </c>
      <c r="V944" s="1421"/>
      <c r="W944" s="1421"/>
      <c r="X944" s="1421"/>
      <c r="Y944" s="1421"/>
      <c r="Z944" s="1422"/>
      <c r="AA944" s="1423"/>
      <c r="AB944" s="1424"/>
      <c r="AC944" s="1424"/>
      <c r="AD944" s="1424"/>
      <c r="AE944" s="1424"/>
      <c r="AF944" s="1425"/>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583" t="s">
        <v>2554</v>
      </c>
      <c r="G945" s="1584"/>
      <c r="H945" s="1585"/>
      <c r="I945" s="1390" t="s">
        <v>334</v>
      </c>
      <c r="J945" s="1391"/>
      <c r="K945" s="1391"/>
      <c r="L945" s="1391"/>
      <c r="M945" s="1391"/>
      <c r="N945" s="1391"/>
      <c r="O945" s="1391"/>
      <c r="P945" s="1391"/>
      <c r="Q945" s="1391"/>
      <c r="R945" s="1391"/>
      <c r="S945" s="1391"/>
      <c r="T945" s="1392"/>
      <c r="U945" s="1420" t="s">
        <v>598</v>
      </c>
      <c r="V945" s="1421"/>
      <c r="W945" s="1421"/>
      <c r="X945" s="1421"/>
      <c r="Y945" s="1421"/>
      <c r="Z945" s="1422"/>
      <c r="AA945" s="1423"/>
      <c r="AB945" s="1424"/>
      <c r="AC945" s="1424"/>
      <c r="AD945" s="1424"/>
      <c r="AE945" s="1424"/>
      <c r="AF945" s="1425"/>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390" t="s">
        <v>334</v>
      </c>
      <c r="J946" s="1391"/>
      <c r="K946" s="1391"/>
      <c r="L946" s="1391"/>
      <c r="M946" s="1391"/>
      <c r="N946" s="1391"/>
      <c r="O946" s="1391"/>
      <c r="P946" s="1391"/>
      <c r="Q946" s="1391"/>
      <c r="R946" s="1391"/>
      <c r="S946" s="1391"/>
      <c r="T946" s="1392"/>
      <c r="U946" s="1420" t="s">
        <v>598</v>
      </c>
      <c r="V946" s="1421"/>
      <c r="W946" s="1421"/>
      <c r="X946" s="1421"/>
      <c r="Y946" s="1421"/>
      <c r="Z946" s="1422"/>
      <c r="AA946" s="1423"/>
      <c r="AB946" s="1424"/>
      <c r="AC946" s="1424"/>
      <c r="AD946" s="1424"/>
      <c r="AE946" s="1424"/>
      <c r="AF946" s="1425"/>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390" t="str">
        <f>C629</f>
        <v>City of Santa Cruz - AHTF</v>
      </c>
      <c r="J947" s="1545"/>
      <c r="K947" s="1545"/>
      <c r="L947" s="1545"/>
      <c r="M947" s="1545"/>
      <c r="N947" s="1545"/>
      <c r="O947" s="1545"/>
      <c r="P947" s="1545"/>
      <c r="Q947" s="1545"/>
      <c r="R947" s="1545"/>
      <c r="S947" s="1545"/>
      <c r="T947" s="1546"/>
      <c r="U947" s="1420" t="s">
        <v>552</v>
      </c>
      <c r="V947" s="1421"/>
      <c r="W947" s="1421"/>
      <c r="X947" s="1421"/>
      <c r="Y947" s="1421"/>
      <c r="Z947" s="1422"/>
      <c r="AA947" s="1423">
        <v>1750000</v>
      </c>
      <c r="AB947" s="1424"/>
      <c r="AC947" s="1424"/>
      <c r="AD947" s="1424"/>
      <c r="AE947" s="1424"/>
      <c r="AF947" s="1425"/>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169</v>
      </c>
      <c r="G948" s="48"/>
      <c r="H948" s="48"/>
      <c r="I948" s="1576" t="str">
        <f>C630</f>
        <v>City of Santa Cruz - LHTF</v>
      </c>
      <c r="J948" s="1545"/>
      <c r="K948" s="1545"/>
      <c r="L948" s="1545"/>
      <c r="M948" s="1545"/>
      <c r="N948" s="1545"/>
      <c r="O948" s="1545"/>
      <c r="P948" s="1545"/>
      <c r="Q948" s="1545"/>
      <c r="R948" s="1545"/>
      <c r="S948" s="1545"/>
      <c r="T948" s="1546"/>
      <c r="U948" s="1420" t="s">
        <v>552</v>
      </c>
      <c r="V948" s="1421"/>
      <c r="W948" s="1421"/>
      <c r="X948" s="1421"/>
      <c r="Y948" s="1421"/>
      <c r="Z948" s="1422"/>
      <c r="AA948" s="1423">
        <f>AO630</f>
        <v>3805000</v>
      </c>
      <c r="AB948" s="1424"/>
      <c r="AC948" s="1424"/>
      <c r="AD948" s="1424"/>
      <c r="AE948" s="1424"/>
      <c r="AF948" s="1425"/>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169</v>
      </c>
      <c r="G949" s="48"/>
      <c r="H949" s="48"/>
      <c r="I949" s="1576" t="str">
        <f>C631</f>
        <v>GP Loan - CCCE Grant</v>
      </c>
      <c r="J949" s="1545"/>
      <c r="K949" s="1545"/>
      <c r="L949" s="1545"/>
      <c r="M949" s="1545"/>
      <c r="N949" s="1545"/>
      <c r="O949" s="1545"/>
      <c r="P949" s="1545"/>
      <c r="Q949" s="1545"/>
      <c r="R949" s="1545"/>
      <c r="S949" s="1545"/>
      <c r="T949" s="1546"/>
      <c r="U949" s="1420" t="s">
        <v>552</v>
      </c>
      <c r="V949" s="1421"/>
      <c r="W949" s="1421"/>
      <c r="X949" s="1421"/>
      <c r="Y949" s="1421"/>
      <c r="Z949" s="1422"/>
      <c r="AA949" s="1423">
        <f>AO631</f>
        <v>240000</v>
      </c>
      <c r="AB949" s="1424"/>
      <c r="AC949" s="1424"/>
      <c r="AD949" s="1424"/>
      <c r="AE949" s="1424"/>
      <c r="AF949" s="1425"/>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583</v>
      </c>
      <c r="C951" s="2" t="s">
        <v>759</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392</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573">
        <v>45008</v>
      </c>
      <c r="N954" s="1574"/>
      <c r="O954" s="1574"/>
      <c r="P954" s="1574"/>
      <c r="Q954" s="1574"/>
      <c r="R954" s="1574"/>
      <c r="S954" s="1575"/>
      <c r="U954" s="66" t="s">
        <v>11</v>
      </c>
      <c r="V954" s="5"/>
      <c r="W954" s="5"/>
      <c r="X954" s="5"/>
      <c r="Y954" s="5"/>
      <c r="Z954" s="5"/>
      <c r="AA954" s="5"/>
      <c r="AB954" s="5"/>
      <c r="AC954" s="5"/>
      <c r="AD954" s="46"/>
      <c r="AE954" s="1573"/>
      <c r="AF954" s="1574"/>
      <c r="AG954" s="1574"/>
      <c r="AH954" s="1574"/>
      <c r="AI954" s="1574"/>
      <c r="AJ954" s="1574"/>
      <c r="AK954" s="1575"/>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553" t="s">
        <v>2745</v>
      </c>
      <c r="N955" s="1554"/>
      <c r="O955" s="1554"/>
      <c r="P955" s="1554"/>
      <c r="Q955" s="1554"/>
      <c r="R955" s="1554"/>
      <c r="S955" s="1555"/>
      <c r="U955" s="66" t="s">
        <v>12</v>
      </c>
      <c r="V955" s="5"/>
      <c r="W955" s="5"/>
      <c r="X955" s="5"/>
      <c r="Y955" s="5"/>
      <c r="Z955" s="5"/>
      <c r="AA955" s="5"/>
      <c r="AB955" s="5"/>
      <c r="AC955" s="5"/>
      <c r="AD955" s="46"/>
      <c r="AE955" s="1553"/>
      <c r="AF955" s="1554"/>
      <c r="AG955" s="1554"/>
      <c r="AH955" s="1554"/>
      <c r="AI955" s="1554"/>
      <c r="AJ955" s="1554"/>
      <c r="AK955" s="1555"/>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891</v>
      </c>
      <c r="D956" s="5"/>
      <c r="E956" s="5"/>
      <c r="J956" s="1556" t="s">
        <v>2744</v>
      </c>
      <c r="K956" s="1557"/>
      <c r="L956" s="1557"/>
      <c r="M956" s="1557"/>
      <c r="N956" s="1557"/>
      <c r="O956" s="1557"/>
      <c r="P956" s="1557"/>
      <c r="Q956" s="1557"/>
      <c r="R956" s="1557"/>
      <c r="S956" s="1558"/>
      <c r="U956" s="66" t="s">
        <v>891</v>
      </c>
      <c r="V956" s="5"/>
      <c r="W956" s="5"/>
      <c r="AB956" s="1556" t="s">
        <v>307</v>
      </c>
      <c r="AC956" s="1557"/>
      <c r="AD956" s="1557"/>
      <c r="AE956" s="1557"/>
      <c r="AF956" s="1557"/>
      <c r="AG956" s="1557"/>
      <c r="AH956" s="1557"/>
      <c r="AI956" s="1557"/>
      <c r="AJ956" s="1557"/>
      <c r="AK956" s="1558"/>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648">
        <f>31/124</f>
        <v>0.25</v>
      </c>
      <c r="N957" s="1646"/>
      <c r="O957" s="1646"/>
      <c r="P957" s="1646"/>
      <c r="Q957" s="1646"/>
      <c r="R957" s="1646"/>
      <c r="S957" s="1647"/>
      <c r="U957" s="66" t="s">
        <v>13</v>
      </c>
      <c r="V957" s="5"/>
      <c r="W957" s="5"/>
      <c r="X957" s="5"/>
      <c r="Y957" s="5"/>
      <c r="Z957" s="5"/>
      <c r="AA957" s="5"/>
      <c r="AB957" s="5"/>
      <c r="AC957" s="5"/>
      <c r="AD957" s="46"/>
      <c r="AE957" s="1645"/>
      <c r="AF957" s="1646"/>
      <c r="AG957" s="1646"/>
      <c r="AH957" s="1646"/>
      <c r="AI957" s="1646"/>
      <c r="AJ957" s="1646"/>
      <c r="AK957" s="1647"/>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387">
        <v>31</v>
      </c>
      <c r="N958" s="1388"/>
      <c r="O958" s="1388"/>
      <c r="P958" s="1388"/>
      <c r="Q958" s="1388"/>
      <c r="R958" s="1388"/>
      <c r="S958" s="1389"/>
      <c r="U958" s="66" t="s">
        <v>14</v>
      </c>
      <c r="V958" s="5"/>
      <c r="W958" s="5"/>
      <c r="X958" s="5"/>
      <c r="Y958" s="5"/>
      <c r="Z958" s="5"/>
      <c r="AA958" s="5"/>
      <c r="AB958" s="5"/>
      <c r="AC958" s="5"/>
      <c r="AD958" s="46"/>
      <c r="AE958" s="1387"/>
      <c r="AF958" s="1388"/>
      <c r="AG958" s="1388"/>
      <c r="AH958" s="1388"/>
      <c r="AI958" s="1388"/>
      <c r="AJ958" s="1388"/>
      <c r="AK958" s="1389"/>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423">
        <f>Z809</f>
        <v>917772</v>
      </c>
      <c r="N959" s="1424"/>
      <c r="O959" s="1424"/>
      <c r="P959" s="1424"/>
      <c r="Q959" s="1424"/>
      <c r="R959" s="1424"/>
      <c r="S959" s="1425"/>
      <c r="U959" s="66" t="s">
        <v>15</v>
      </c>
      <c r="V959" s="5"/>
      <c r="W959" s="5"/>
      <c r="X959" s="5"/>
      <c r="Y959" s="5"/>
      <c r="Z959" s="5"/>
      <c r="AA959" s="5"/>
      <c r="AB959" s="5"/>
      <c r="AC959" s="5"/>
      <c r="AD959" s="46"/>
      <c r="AE959" s="1423"/>
      <c r="AF959" s="1424"/>
      <c r="AG959" s="1424"/>
      <c r="AH959" s="1424"/>
      <c r="AI959" s="1424"/>
      <c r="AJ959" s="1424"/>
      <c r="AK959" s="1425"/>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423">
        <f>M959*20</f>
        <v>18355440</v>
      </c>
      <c r="N960" s="1424"/>
      <c r="O960" s="1424"/>
      <c r="P960" s="1424"/>
      <c r="Q960" s="1424"/>
      <c r="R960" s="1424"/>
      <c r="S960" s="1425"/>
      <c r="U960" s="66" t="s">
        <v>16</v>
      </c>
      <c r="V960" s="5"/>
      <c r="W960" s="5"/>
      <c r="X960" s="5"/>
      <c r="Y960" s="5"/>
      <c r="Z960" s="5"/>
      <c r="AA960" s="5"/>
      <c r="AB960" s="5"/>
      <c r="AC960" s="5"/>
      <c r="AD960" s="46"/>
      <c r="AE960" s="1423"/>
      <c r="AF960" s="1424"/>
      <c r="AG960" s="1424"/>
      <c r="AH960" s="1424"/>
      <c r="AI960" s="1424"/>
      <c r="AJ960" s="1424"/>
      <c r="AK960" s="1425"/>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1773</v>
      </c>
      <c r="D961" s="5"/>
      <c r="E961" s="5"/>
      <c r="F961" s="5"/>
      <c r="G961" s="5"/>
      <c r="H961" s="5"/>
      <c r="I961" s="5"/>
      <c r="J961" s="5"/>
      <c r="K961" s="5"/>
      <c r="L961" s="46"/>
      <c r="M961" s="1415">
        <v>20</v>
      </c>
      <c r="N961" s="1416"/>
      <c r="O961" s="1416"/>
      <c r="P961" s="1416"/>
      <c r="Q961" s="1416"/>
      <c r="R961" s="1416"/>
      <c r="S961" s="1417"/>
      <c r="U961" s="121" t="s">
        <v>1773</v>
      </c>
      <c r="V961" s="5"/>
      <c r="W961" s="5"/>
      <c r="X961" s="5"/>
      <c r="Y961" s="5"/>
      <c r="Z961" s="5"/>
      <c r="AA961" s="5"/>
      <c r="AB961" s="5"/>
      <c r="AC961" s="5"/>
      <c r="AD961" s="46"/>
      <c r="AE961" s="1415"/>
      <c r="AF961" s="1416"/>
      <c r="AG961" s="1416"/>
      <c r="AH961" s="1416"/>
      <c r="AI961" s="1416"/>
      <c r="AJ961" s="1416"/>
      <c r="AK961" s="1417"/>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593</v>
      </c>
      <c r="C963" s="2" t="s">
        <v>657</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179</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578</v>
      </c>
      <c r="G966" s="5"/>
      <c r="H966" s="5"/>
      <c r="I966" s="5"/>
      <c r="J966" s="5"/>
      <c r="K966" s="5"/>
      <c r="L966" s="46"/>
      <c r="M966" s="1539"/>
      <c r="N966" s="1540"/>
      <c r="O966" s="1540"/>
      <c r="P966" s="1540"/>
      <c r="Q966" s="1540"/>
      <c r="R966" s="1540"/>
      <c r="S966" s="1541"/>
      <c r="T966" s="66" t="s">
        <v>798</v>
      </c>
      <c r="U966" s="5"/>
      <c r="V966" s="5"/>
      <c r="W966" s="5"/>
      <c r="X966" s="5"/>
      <c r="Y966" s="5"/>
      <c r="Z966" s="46"/>
      <c r="AA966" s="1539"/>
      <c r="AB966" s="1540"/>
      <c r="AC966" s="1540"/>
      <c r="AD966" s="1540"/>
      <c r="AE966" s="1540"/>
      <c r="AF966" s="1540"/>
      <c r="AG966" s="1541"/>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579</v>
      </c>
      <c r="G967" s="5"/>
      <c r="H967" s="5"/>
      <c r="I967" s="5"/>
      <c r="J967" s="5"/>
      <c r="K967" s="5"/>
      <c r="L967" s="46"/>
      <c r="M967" s="1539"/>
      <c r="N967" s="1540"/>
      <c r="O967" s="1540"/>
      <c r="P967" s="1540"/>
      <c r="Q967" s="1540"/>
      <c r="R967" s="1540"/>
      <c r="S967" s="1541"/>
      <c r="T967" s="66" t="s">
        <v>797</v>
      </c>
      <c r="U967" s="5"/>
      <c r="V967" s="5"/>
      <c r="W967" s="5"/>
      <c r="X967" s="5"/>
      <c r="Y967" s="5"/>
      <c r="Z967" s="46"/>
      <c r="AA967" s="1539"/>
      <c r="AB967" s="1540"/>
      <c r="AC967" s="1540"/>
      <c r="AD967" s="1540"/>
      <c r="AE967" s="1540"/>
      <c r="AF967" s="1540"/>
      <c r="AG967" s="1541"/>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915</v>
      </c>
      <c r="G968" s="5"/>
      <c r="H968" s="5"/>
      <c r="I968" s="5"/>
      <c r="J968" s="5"/>
      <c r="K968" s="5"/>
      <c r="L968" s="46"/>
      <c r="M968" s="1759" t="s">
        <v>598</v>
      </c>
      <c r="N968" s="1760"/>
      <c r="O968" s="1760"/>
      <c r="P968" s="1760"/>
      <c r="Q968" s="1760"/>
      <c r="R968" s="1760"/>
      <c r="S968" s="1761"/>
      <c r="T968" s="45" t="s">
        <v>337</v>
      </c>
      <c r="U968" s="5"/>
      <c r="V968" s="5"/>
      <c r="W968" s="5"/>
      <c r="X968" s="5"/>
      <c r="Y968" s="5"/>
      <c r="Z968" s="46"/>
      <c r="AA968" s="1539"/>
      <c r="AB968" s="1540"/>
      <c r="AC968" s="1540"/>
      <c r="AD968" s="1540"/>
      <c r="AE968" s="1540"/>
      <c r="AF968" s="1540"/>
      <c r="AG968" s="1541"/>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580</v>
      </c>
      <c r="G969" s="5"/>
      <c r="H969" s="5"/>
      <c r="I969" s="5"/>
      <c r="J969" s="5"/>
      <c r="K969" s="5"/>
      <c r="L969" s="46"/>
      <c r="M969" s="1539"/>
      <c r="N969" s="1540"/>
      <c r="O969" s="1540"/>
      <c r="P969" s="1540"/>
      <c r="Q969" s="1540"/>
      <c r="R969" s="1540"/>
      <c r="S969" s="1541"/>
      <c r="T969" s="45" t="s">
        <v>338</v>
      </c>
      <c r="U969" s="5"/>
      <c r="V969" s="5"/>
      <c r="W969" s="5"/>
      <c r="X969" s="5"/>
      <c r="Y969" s="5"/>
      <c r="Z969" s="46"/>
      <c r="AA969" s="1539"/>
      <c r="AB969" s="1540"/>
      <c r="AC969" s="1540"/>
      <c r="AD969" s="1540"/>
      <c r="AE969" s="1540"/>
      <c r="AF969" s="1540"/>
      <c r="AG969" s="1541"/>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471</v>
      </c>
      <c r="G970" s="5"/>
      <c r="H970" s="5"/>
      <c r="I970" s="5"/>
      <c r="J970" s="5"/>
      <c r="K970" s="5"/>
      <c r="L970" s="46"/>
      <c r="M970" s="1539"/>
      <c r="N970" s="1540"/>
      <c r="O970" s="1540"/>
      <c r="P970" s="1540"/>
      <c r="Q970" s="1540"/>
      <c r="R970" s="1540"/>
      <c r="S970" s="1541"/>
      <c r="T970" s="45" t="s">
        <v>376</v>
      </c>
      <c r="U970" s="5"/>
      <c r="V970" s="5"/>
      <c r="W970" s="5"/>
      <c r="X970" s="5"/>
      <c r="Y970" s="5"/>
      <c r="Z970" s="46"/>
      <c r="AA970" s="1539"/>
      <c r="AB970" s="1540"/>
      <c r="AC970" s="1540"/>
      <c r="AD970" s="1540"/>
      <c r="AE970" s="1540"/>
      <c r="AF970" s="1540"/>
      <c r="AG970" s="1541"/>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891</v>
      </c>
      <c r="G971" s="42"/>
      <c r="H971" s="42"/>
      <c r="I971" s="42"/>
      <c r="J971" s="42"/>
      <c r="K971" s="42"/>
      <c r="L971" s="58"/>
      <c r="M971" s="1671" t="s">
        <v>307</v>
      </c>
      <c r="N971" s="1672"/>
      <c r="O971" s="1672"/>
      <c r="P971" s="1672"/>
      <c r="Q971" s="1672"/>
      <c r="R971" s="1672"/>
      <c r="S971" s="1673"/>
      <c r="T971" s="1596"/>
      <c r="U971" s="1597"/>
      <c r="V971" s="1597"/>
      <c r="W971" s="1597"/>
      <c r="X971" s="1597"/>
      <c r="Y971" s="1597"/>
      <c r="Z971" s="1598"/>
      <c r="AA971" s="1539"/>
      <c r="AB971" s="1540"/>
      <c r="AC971" s="1540"/>
      <c r="AD971" s="1540"/>
      <c r="AE971" s="1540"/>
      <c r="AF971" s="1540"/>
      <c r="AG971" s="1541"/>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472</v>
      </c>
      <c r="G972" s="42"/>
      <c r="H972" s="42"/>
      <c r="I972" s="42"/>
      <c r="J972" s="42"/>
      <c r="K972" s="42"/>
      <c r="L972" s="58"/>
      <c r="M972" s="1539"/>
      <c r="N972" s="1540"/>
      <c r="O972" s="1540"/>
      <c r="P972" s="1540"/>
      <c r="Q972" s="1540"/>
      <c r="R972" s="1540"/>
      <c r="S972" s="1541"/>
      <c r="T972" s="1596"/>
      <c r="U972" s="1597"/>
      <c r="V972" s="1597"/>
      <c r="W972" s="1597"/>
      <c r="X972" s="1597"/>
      <c r="Y972" s="1597"/>
      <c r="Z972" s="1598"/>
      <c r="AA972" s="1539"/>
      <c r="AB972" s="1540"/>
      <c r="AC972" s="1540"/>
      <c r="AD972" s="1540"/>
      <c r="AE972" s="1540"/>
      <c r="AF972" s="1540"/>
      <c r="AG972" s="1541"/>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336</v>
      </c>
      <c r="G973" s="42"/>
      <c r="H973" s="42"/>
      <c r="I973" s="42"/>
      <c r="J973" s="42"/>
      <c r="K973" s="42"/>
      <c r="L973" s="42"/>
      <c r="M973" s="42"/>
      <c r="N973" s="42"/>
      <c r="O973" s="1757" t="s">
        <v>676</v>
      </c>
      <c r="P973" s="1716"/>
      <c r="Q973" s="92"/>
      <c r="R973" s="92"/>
      <c r="S973" s="93"/>
      <c r="T973" s="41" t="s">
        <v>169</v>
      </c>
      <c r="U973" s="42"/>
      <c r="V973" s="42"/>
      <c r="W973" s="1668" t="s">
        <v>334</v>
      </c>
      <c r="X973" s="1669"/>
      <c r="Y973" s="1669"/>
      <c r="Z973" s="1669"/>
      <c r="AA973" s="1669"/>
      <c r="AB973" s="1669"/>
      <c r="AC973" s="1669"/>
      <c r="AD973" s="1669"/>
      <c r="AE973" s="1669"/>
      <c r="AF973" s="1669"/>
      <c r="AG973" s="1670"/>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758" t="s">
        <v>33</v>
      </c>
      <c r="G974" s="1355"/>
      <c r="H974" s="1355"/>
      <c r="I974" s="1355"/>
      <c r="J974" s="1355"/>
      <c r="K974" s="1355"/>
      <c r="L974" s="1355"/>
      <c r="M974" s="1539"/>
      <c r="N974" s="1540"/>
      <c r="O974" s="1540"/>
      <c r="P974" s="1540"/>
      <c r="Q974" s="1540"/>
      <c r="R974" s="1540"/>
      <c r="S974" s="1541"/>
      <c r="T974" s="47"/>
      <c r="U974" s="48"/>
      <c r="V974" s="48"/>
      <c r="W974" s="48"/>
      <c r="X974" s="48"/>
      <c r="Y974" s="48"/>
      <c r="Z974" s="124" t="s">
        <v>134</v>
      </c>
      <c r="AA974" s="1620"/>
      <c r="AB974" s="1621"/>
      <c r="AC974" s="1621"/>
      <c r="AD974" s="1621"/>
      <c r="AE974" s="1621"/>
      <c r="AF974" s="1621"/>
      <c r="AG974" s="1622"/>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56"/>
      <c r="BH975" s="1656"/>
      <c r="BI975" s="1656"/>
      <c r="BJ975" s="1656"/>
      <c r="BK975" s="1656"/>
      <c r="BL975" s="1656"/>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446" t="s">
        <v>555</v>
      </c>
      <c r="B978" s="1446"/>
      <c r="C978" s="1446"/>
      <c r="D978" s="1446"/>
      <c r="E978" s="1446"/>
      <c r="F978" s="1446"/>
      <c r="G978" s="1446"/>
      <c r="H978" s="1446"/>
      <c r="I978" s="1446"/>
      <c r="J978" s="1446"/>
      <c r="K978" s="1446"/>
      <c r="L978" s="1446"/>
      <c r="M978" s="1446"/>
      <c r="N978" s="1446"/>
      <c r="O978" s="1446"/>
      <c r="P978" s="1446"/>
      <c r="Q978" s="1446"/>
      <c r="R978" s="1446"/>
      <c r="S978" s="1446"/>
      <c r="T978" s="1446"/>
      <c r="U978" s="1446"/>
      <c r="V978" s="1446"/>
      <c r="W978" s="1446"/>
      <c r="X978" s="1446"/>
      <c r="Y978" s="1446"/>
      <c r="Z978" s="1446"/>
      <c r="AA978" s="1446"/>
      <c r="AB978" s="1446"/>
      <c r="AC978" s="1446"/>
      <c r="AD978" s="1446"/>
      <c r="AE978" s="1446"/>
      <c r="AF978" s="1446"/>
      <c r="AG978" s="1446"/>
      <c r="AH978" s="1446"/>
      <c r="AI978" s="1446"/>
      <c r="AJ978" s="1446"/>
      <c r="AK978" s="1446"/>
      <c r="AL978" s="1446"/>
      <c r="AM978" s="1446"/>
      <c r="AN978" s="1446"/>
      <c r="AO978" s="1446"/>
      <c r="AP978" s="1446"/>
      <c r="AQ978" s="1446"/>
      <c r="AR978" s="1446"/>
      <c r="AS978" s="1446"/>
      <c r="AT978" s="1446"/>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446"/>
      <c r="B979" s="1446"/>
      <c r="C979" s="1446"/>
      <c r="D979" s="1446"/>
      <c r="E979" s="1446"/>
      <c r="F979" s="1446"/>
      <c r="G979" s="1446"/>
      <c r="H979" s="1446"/>
      <c r="I979" s="1446"/>
      <c r="J979" s="1446"/>
      <c r="K979" s="1446"/>
      <c r="L979" s="1446"/>
      <c r="M979" s="1446"/>
      <c r="N979" s="1446"/>
      <c r="O979" s="1446"/>
      <c r="P979" s="1446"/>
      <c r="Q979" s="1446"/>
      <c r="R979" s="1446"/>
      <c r="S979" s="1446"/>
      <c r="T979" s="1446"/>
      <c r="U979" s="1446"/>
      <c r="V979" s="1446"/>
      <c r="W979" s="1446"/>
      <c r="X979" s="1446"/>
      <c r="Y979" s="1446"/>
      <c r="Z979" s="1446"/>
      <c r="AA979" s="1446"/>
      <c r="AB979" s="1446"/>
      <c r="AC979" s="1446"/>
      <c r="AD979" s="1446"/>
      <c r="AE979" s="1446"/>
      <c r="AF979" s="1446"/>
      <c r="AG979" s="1446"/>
      <c r="AH979" s="1446"/>
      <c r="AI979" s="1446"/>
      <c r="AJ979" s="1446"/>
      <c r="AK979" s="1446"/>
      <c r="AL979" s="1446"/>
      <c r="AM979" s="1446"/>
      <c r="AN979" s="1446"/>
      <c r="AO979" s="1446"/>
      <c r="AP979" s="1446"/>
      <c r="AQ979" s="1446"/>
      <c r="AR979" s="1446"/>
      <c r="AS979" s="1446"/>
      <c r="AT979" s="1446"/>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446"/>
      <c r="B980" s="1446"/>
      <c r="C980" s="1446"/>
      <c r="D980" s="1446"/>
      <c r="E980" s="1446"/>
      <c r="F980" s="1446"/>
      <c r="G980" s="1446"/>
      <c r="H980" s="1446"/>
      <c r="I980" s="1446"/>
      <c r="J980" s="1446"/>
      <c r="K980" s="1446"/>
      <c r="L980" s="1446"/>
      <c r="M980" s="1446"/>
      <c r="N980" s="1446"/>
      <c r="O980" s="1446"/>
      <c r="P980" s="1446"/>
      <c r="Q980" s="1446"/>
      <c r="R980" s="1446"/>
      <c r="S980" s="1446"/>
      <c r="T980" s="1446"/>
      <c r="U980" s="1446"/>
      <c r="V980" s="1446"/>
      <c r="W980" s="1446"/>
      <c r="X980" s="1446"/>
      <c r="Y980" s="1446"/>
      <c r="Z980" s="1446"/>
      <c r="AA980" s="1446"/>
      <c r="AB980" s="1446"/>
      <c r="AC980" s="1446"/>
      <c r="AD980" s="1446"/>
      <c r="AE980" s="1446"/>
      <c r="AF980" s="1446"/>
      <c r="AG980" s="1446"/>
      <c r="AH980" s="1446"/>
      <c r="AI980" s="1446"/>
      <c r="AJ980" s="1446"/>
      <c r="AK980" s="1446"/>
      <c r="AL980" s="1446"/>
      <c r="AM980" s="1446"/>
      <c r="AN980" s="1446"/>
      <c r="AO980" s="1446"/>
      <c r="AP980" s="1446"/>
      <c r="AQ980" s="1446"/>
      <c r="AR980" s="1446"/>
      <c r="AS980" s="1446"/>
      <c r="AT980" s="1446"/>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319</v>
      </c>
      <c r="C982" s="2" t="s">
        <v>622</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547" t="s">
        <v>645</v>
      </c>
      <c r="E984" s="1548"/>
      <c r="F984" s="1548"/>
      <c r="G984" s="1548"/>
      <c r="H984" s="1548"/>
      <c r="I984" s="1548"/>
      <c r="J984" s="1548"/>
      <c r="K984" s="1548"/>
      <c r="L984" s="1548"/>
      <c r="M984" s="1548"/>
      <c r="N984" s="1548"/>
      <c r="O984" s="1548"/>
      <c r="P984" s="1548"/>
      <c r="Q984" s="1549"/>
      <c r="R984" s="1547" t="s">
        <v>646</v>
      </c>
      <c r="S984" s="1548"/>
      <c r="T984" s="1548"/>
      <c r="U984" s="1548"/>
      <c r="V984" s="1548"/>
      <c r="W984" s="1548"/>
      <c r="X984" s="1548"/>
      <c r="Y984" s="1548"/>
      <c r="Z984" s="1548"/>
      <c r="AA984" s="1549"/>
      <c r="AB984" s="1547" t="s">
        <v>647</v>
      </c>
      <c r="AC984" s="1548"/>
      <c r="AD984" s="1548"/>
      <c r="AE984" s="1548"/>
      <c r="AF984" s="1548"/>
      <c r="AG984" s="1548"/>
      <c r="AH984" s="1548"/>
      <c r="AI984" s="1549"/>
      <c r="AJ984" s="1547" t="s">
        <v>648</v>
      </c>
      <c r="AK984" s="1548"/>
      <c r="AL984" s="1548"/>
      <c r="AM984" s="1548"/>
      <c r="AN984" s="1548"/>
      <c r="AO984" s="1548"/>
      <c r="AP984" s="1548"/>
      <c r="AQ984" s="1549"/>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409" t="s">
        <v>640</v>
      </c>
      <c r="E985" s="1410"/>
      <c r="F985" s="1410"/>
      <c r="G985" s="1410"/>
      <c r="H985" s="1410"/>
      <c r="I985" s="1410"/>
      <c r="J985" s="1410"/>
      <c r="K985" s="1410"/>
      <c r="L985" s="1410"/>
      <c r="M985" s="1410"/>
      <c r="N985" s="1410"/>
      <c r="O985" s="1410"/>
      <c r="P985" s="1410"/>
      <c r="Q985" s="1411"/>
      <c r="R985" s="1589">
        <f>IF(ISNA(IF($BN$796="4%",(INDEX($BP$806:$BT$863,MATCH($CB$796,$BO$806:$BO$863,0),MATCH(D985,$BP$805:$BT$805,0))),(INDEX($BW$806:$CA$863,MATCH($CB$796,$BV$806:$BV$863,0),MATCH(D985,$BW$805:$CA$805,0))))),0,IF($BN$796="4%",(INDEX($BP$806:$BT$863,MATCH($CB$796,$BO$806:$BO$863,0),MATCH(D985,$BP$805:$BT$805,0))),(INDEX($BW$806:$CA$863,MATCH($CB$796,$BV$806:$BV$863,0),MATCH(D985,$BW$805:$CA$805,0)))))</f>
        <v>387110</v>
      </c>
      <c r="S985" s="1589"/>
      <c r="T985" s="1589"/>
      <c r="U985" s="1589"/>
      <c r="V985" s="1589"/>
      <c r="W985" s="1589"/>
      <c r="X985" s="1589"/>
      <c r="Y985" s="1589"/>
      <c r="Z985" s="1589"/>
      <c r="AA985" s="1589"/>
      <c r="AB985" s="1412">
        <f>BN660</f>
        <v>11</v>
      </c>
      <c r="AC985" s="1413"/>
      <c r="AD985" s="1413"/>
      <c r="AE985" s="1413"/>
      <c r="AF985" s="1413"/>
      <c r="AG985" s="1413"/>
      <c r="AH985" s="1413"/>
      <c r="AI985" s="1414"/>
      <c r="AJ985" s="1513">
        <f>IF(ISERROR((R985*AB985)),0,(R985*AB985))</f>
        <v>4258210</v>
      </c>
      <c r="AK985" s="1514"/>
      <c r="AL985" s="1514"/>
      <c r="AM985" s="1514"/>
      <c r="AN985" s="1514"/>
      <c r="AO985" s="1514"/>
      <c r="AP985" s="1514"/>
      <c r="AQ985" s="1515"/>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409" t="s">
        <v>325</v>
      </c>
      <c r="E986" s="1410"/>
      <c r="F986" s="1410"/>
      <c r="G986" s="1410"/>
      <c r="H986" s="1410"/>
      <c r="I986" s="1410"/>
      <c r="J986" s="1410"/>
      <c r="K986" s="1410"/>
      <c r="L986" s="1410"/>
      <c r="M986" s="1410"/>
      <c r="N986" s="1410"/>
      <c r="O986" s="1410"/>
      <c r="P986" s="1410"/>
      <c r="Q986" s="1411"/>
      <c r="R986" s="1589">
        <f>IF(ISNA(IF($BN$796="4%",(INDEX($BP$806:$BT$863,MATCH($CB$796,$BO$806:$BO$863,0),MATCH(D986,$BP$805:$BT$805,0))),(INDEX($BW$806:$CA$863,MATCH($CB$796,$BV$806:$BV$863,0),MATCH(D986,$BW$805:$CA$805,0))))),0,IF($BN$796="4%",(INDEX($BP$806:$BT$863,MATCH($CB$796,$BO$806:$BO$863,0),MATCH(D986,$BP$805:$BT$805,0))),(INDEX($BW$806:$CA$863,MATCH($CB$796,$BV$806:$BV$863,0),MATCH(D986,$BW$805:$CA$805,0)))))</f>
        <v>446334</v>
      </c>
      <c r="S986" s="1589"/>
      <c r="T986" s="1589"/>
      <c r="U986" s="1589"/>
      <c r="V986" s="1589"/>
      <c r="W986" s="1589"/>
      <c r="X986" s="1589"/>
      <c r="Y986" s="1589"/>
      <c r="Z986" s="1589"/>
      <c r="AA986" s="1589"/>
      <c r="AB986" s="1412">
        <f>BS660</f>
        <v>50</v>
      </c>
      <c r="AC986" s="1413"/>
      <c r="AD986" s="1413"/>
      <c r="AE986" s="1413"/>
      <c r="AF986" s="1413"/>
      <c r="AG986" s="1413"/>
      <c r="AH986" s="1413"/>
      <c r="AI986" s="1414"/>
      <c r="AJ986" s="1513">
        <f>IF(ISERROR((R986*AB986)),0,(R986*AB986))</f>
        <v>22316700</v>
      </c>
      <c r="AK986" s="1514"/>
      <c r="AL986" s="1514"/>
      <c r="AM986" s="1514"/>
      <c r="AN986" s="1514"/>
      <c r="AO986" s="1514"/>
      <c r="AP986" s="1514"/>
      <c r="AQ986" s="1515"/>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409" t="s">
        <v>163</v>
      </c>
      <c r="E987" s="1410"/>
      <c r="F987" s="1410"/>
      <c r="G987" s="1410"/>
      <c r="H987" s="1410"/>
      <c r="I987" s="1410"/>
      <c r="J987" s="1410"/>
      <c r="K987" s="1410"/>
      <c r="L987" s="1410"/>
      <c r="M987" s="1410"/>
      <c r="N987" s="1410"/>
      <c r="O987" s="1410"/>
      <c r="P987" s="1410"/>
      <c r="Q987" s="1411"/>
      <c r="R987" s="1589">
        <f>IF(ISNA(IF($BN$796="4%",(INDEX($BP$806:$BT$863,MATCH($CB$796,$BO$806:$BO$863,0),MATCH(D987,$BP$805:$BT$805,0))),(INDEX($BW$806:$CA$863,MATCH($CB$796,$BV$806:$BV$863,0),MATCH(D987,$BW$805:$CA$805,0))))),0,IF($BN$796="4%",(INDEX($BP$806:$BT$863,MATCH($CB$796,$BO$806:$BO$863,0),MATCH(D987,$BP$805:$BT$805,0))),(INDEX($BW$806:$CA$863,MATCH($CB$796,$BV$806:$BV$863,0),MATCH(D987,$BW$805:$CA$805,0)))))</f>
        <v>538400</v>
      </c>
      <c r="S987" s="1589"/>
      <c r="T987" s="1589"/>
      <c r="U987" s="1589"/>
      <c r="V987" s="1589"/>
      <c r="W987" s="1589"/>
      <c r="X987" s="1589"/>
      <c r="Y987" s="1589"/>
      <c r="Z987" s="1589"/>
      <c r="AA987" s="1589"/>
      <c r="AB987" s="1412">
        <f>BX660</f>
        <v>32</v>
      </c>
      <c r="AC987" s="1413"/>
      <c r="AD987" s="1413"/>
      <c r="AE987" s="1413"/>
      <c r="AF987" s="1413"/>
      <c r="AG987" s="1413"/>
      <c r="AH987" s="1413"/>
      <c r="AI987" s="1414"/>
      <c r="AJ987" s="1513">
        <f>IF(ISERROR((R987*AB987)),0,(R987*AB987))</f>
        <v>17228800</v>
      </c>
      <c r="AK987" s="1514"/>
      <c r="AL987" s="1514"/>
      <c r="AM987" s="1514"/>
      <c r="AN987" s="1514"/>
      <c r="AO987" s="1514"/>
      <c r="AP987" s="1514"/>
      <c r="AQ987" s="1515"/>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409" t="s">
        <v>164</v>
      </c>
      <c r="E988" s="1410"/>
      <c r="F988" s="1410"/>
      <c r="G988" s="1410"/>
      <c r="H988" s="1410"/>
      <c r="I988" s="1410"/>
      <c r="J988" s="1410"/>
      <c r="K988" s="1410"/>
      <c r="L988" s="1410"/>
      <c r="M988" s="1410"/>
      <c r="N988" s="1410"/>
      <c r="O988" s="1410"/>
      <c r="P988" s="1410"/>
      <c r="Q988" s="1411"/>
      <c r="R988" s="1589">
        <f>IF(ISNA(IF($BN$796="4%",(INDEX($BP$806:$BT$863,MATCH($CB$796,$BO$806:$BO$863,0),MATCH(D988,$BP$805:$BT$805,0))),(INDEX($BW$806:$CA$863,MATCH($CB$796,$BV$806:$BV$863,0),MATCH(D988,$BW$805:$CA$805,0))))),0,IF($BN$796="4%",(INDEX($BP$806:$BT$863,MATCH($CB$796,$BO$806:$BO$863,0),MATCH(D988,$BP$805:$BT$805,0))),(INDEX($BW$806:$CA$863,MATCH($CB$796,$BV$806:$BV$863,0),MATCH(D988,$BW$805:$CA$805,0)))))</f>
        <v>689152</v>
      </c>
      <c r="S988" s="1589"/>
      <c r="T988" s="1589"/>
      <c r="U988" s="1589"/>
      <c r="V988" s="1589"/>
      <c r="W988" s="1589"/>
      <c r="X988" s="1589"/>
      <c r="Y988" s="1589"/>
      <c r="Z988" s="1589"/>
      <c r="AA988" s="1589"/>
      <c r="AB988" s="1412">
        <f>CC660</f>
        <v>31</v>
      </c>
      <c r="AC988" s="1413"/>
      <c r="AD988" s="1413"/>
      <c r="AE988" s="1413"/>
      <c r="AF988" s="1413"/>
      <c r="AG988" s="1413"/>
      <c r="AH988" s="1413"/>
      <c r="AI988" s="1414"/>
      <c r="AJ988" s="1513">
        <f>IF(ISERROR((R988*AB988)),0,(R988*AB988))</f>
        <v>21363712</v>
      </c>
      <c r="AK988" s="1514"/>
      <c r="AL988" s="1514"/>
      <c r="AM988" s="1514"/>
      <c r="AN988" s="1514"/>
      <c r="AO988" s="1514"/>
      <c r="AP988" s="1514"/>
      <c r="AQ988" s="1515"/>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409" t="s">
        <v>467</v>
      </c>
      <c r="E989" s="1410"/>
      <c r="F989" s="1410"/>
      <c r="G989" s="1410"/>
      <c r="H989" s="1410"/>
      <c r="I989" s="1410"/>
      <c r="J989" s="1410"/>
      <c r="K989" s="1410"/>
      <c r="L989" s="1410"/>
      <c r="M989" s="1410"/>
      <c r="N989" s="1410"/>
      <c r="O989" s="1410"/>
      <c r="P989" s="1410"/>
      <c r="Q989" s="1411"/>
      <c r="R989" s="1589">
        <f>IF(ISNA(IF($BN$796="4%",(INDEX($BP$806:$BT$863,MATCH($CB$796,$BO$806:$BO$863,0),MATCH(D989,$BP$805:$BT$805,0))),(INDEX($BW$806:$CA$863,MATCH($CB$796,$BV$806:$BV$863,0),MATCH(D989,$BW$805:$CA$805,0))))),0,IF($BN$796="4%",(INDEX($BP$806:$BT$863,MATCH($CB$796,$BO$806:$BO$863,0),MATCH(D989,$BP$805:$BT$805,0))),(INDEX($BW$806:$CA$863,MATCH($CB$796,$BV$806:$BV$863,0),MATCH(D989,$BW$805:$CA$805,0)))))</f>
        <v>767758</v>
      </c>
      <c r="S989" s="1589"/>
      <c r="T989" s="1589"/>
      <c r="U989" s="1589"/>
      <c r="V989" s="1589"/>
      <c r="W989" s="1589"/>
      <c r="X989" s="1589"/>
      <c r="Y989" s="1589"/>
      <c r="Z989" s="1589"/>
      <c r="AA989" s="1589"/>
      <c r="AB989" s="1412">
        <f>CM660+CH660</f>
        <v>0</v>
      </c>
      <c r="AC989" s="1413"/>
      <c r="AD989" s="1413"/>
      <c r="AE989" s="1413"/>
      <c r="AF989" s="1413"/>
      <c r="AG989" s="1413"/>
      <c r="AH989" s="1413"/>
      <c r="AI989" s="1414"/>
      <c r="AJ989" s="1513">
        <f>IF(ISERROR((R989*AB989)),0,(R989*AB989))</f>
        <v>0</v>
      </c>
      <c r="AK989" s="1514"/>
      <c r="AL989" s="1514"/>
      <c r="AM989" s="1514"/>
      <c r="AN989" s="1514"/>
      <c r="AO989" s="1514"/>
      <c r="AP989" s="1514"/>
      <c r="AQ989" s="1515"/>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604" t="s">
        <v>799</v>
      </c>
      <c r="C990" s="1605"/>
      <c r="D990" s="1605"/>
      <c r="E990" s="1605"/>
      <c r="F990" s="1605"/>
      <c r="G990" s="1605"/>
      <c r="H990" s="1605"/>
      <c r="I990" s="1605"/>
      <c r="J990" s="1605"/>
      <c r="K990" s="1605"/>
      <c r="L990" s="1605"/>
      <c r="M990" s="1605"/>
      <c r="N990" s="1605"/>
      <c r="O990" s="1605"/>
      <c r="P990" s="1605"/>
      <c r="Q990" s="1605"/>
      <c r="R990" s="1605"/>
      <c r="S990" s="1605"/>
      <c r="T990" s="1605"/>
      <c r="U990" s="1605"/>
      <c r="V990" s="1605"/>
      <c r="W990" s="1605"/>
      <c r="X990" s="1605"/>
      <c r="Y990" s="1605"/>
      <c r="Z990" s="1605"/>
      <c r="AA990" s="1606"/>
      <c r="AB990" s="1412">
        <f>SUM(AB985:AI989)</f>
        <v>124</v>
      </c>
      <c r="AC990" s="1413"/>
      <c r="AD990" s="1413"/>
      <c r="AE990" s="1413"/>
      <c r="AF990" s="1413"/>
      <c r="AG990" s="1413"/>
      <c r="AH990" s="1413"/>
      <c r="AI990" s="1414"/>
      <c r="AJ990" s="1513"/>
      <c r="AK990" s="1514"/>
      <c r="AL990" s="1514"/>
      <c r="AM990" s="1514"/>
      <c r="AN990" s="1514"/>
      <c r="AO990" s="1514"/>
      <c r="AP990" s="1514"/>
      <c r="AQ990" s="1515"/>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586" t="s">
        <v>519</v>
      </c>
      <c r="C991" s="1587"/>
      <c r="D991" s="1587"/>
      <c r="E991" s="1587"/>
      <c r="F991" s="1587"/>
      <c r="G991" s="1587"/>
      <c r="H991" s="1587"/>
      <c r="I991" s="1587"/>
      <c r="J991" s="1587"/>
      <c r="K991" s="1587"/>
      <c r="L991" s="1587"/>
      <c r="M991" s="1587"/>
      <c r="N991" s="1587"/>
      <c r="O991" s="1587"/>
      <c r="P991" s="1587"/>
      <c r="Q991" s="1587"/>
      <c r="R991" s="1587"/>
      <c r="S991" s="1587"/>
      <c r="T991" s="1587"/>
      <c r="U991" s="1587"/>
      <c r="V991" s="1587"/>
      <c r="W991" s="1587"/>
      <c r="X991" s="1587"/>
      <c r="Y991" s="1587"/>
      <c r="Z991" s="1587"/>
      <c r="AA991" s="1587"/>
      <c r="AB991" s="1587"/>
      <c r="AC991" s="1587"/>
      <c r="AD991" s="1587"/>
      <c r="AE991" s="1587"/>
      <c r="AF991" s="1587"/>
      <c r="AG991" s="1587"/>
      <c r="AH991" s="1587"/>
      <c r="AI991" s="1588"/>
      <c r="AJ991" s="1513">
        <f>SUM(AJ985:AQ989)</f>
        <v>65167422</v>
      </c>
      <c r="AK991" s="1514"/>
      <c r="AL991" s="1514"/>
      <c r="AM991" s="1514"/>
      <c r="AN991" s="1514"/>
      <c r="AO991" s="1514"/>
      <c r="AP991" s="1514"/>
      <c r="AQ991" s="1515"/>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516"/>
      <c r="C992" s="1517"/>
      <c r="D992" s="1517"/>
      <c r="E992" s="1517"/>
      <c r="F992" s="1517"/>
      <c r="G992" s="1517"/>
      <c r="H992" s="1517"/>
      <c r="I992" s="1517"/>
      <c r="J992" s="1517"/>
      <c r="K992" s="1517"/>
      <c r="L992" s="1517"/>
      <c r="M992" s="1517"/>
      <c r="N992" s="1517"/>
      <c r="O992" s="1517"/>
      <c r="P992" s="1517"/>
      <c r="Q992" s="1517"/>
      <c r="R992" s="1517"/>
      <c r="S992" s="1517"/>
      <c r="T992" s="1517"/>
      <c r="U992" s="1517"/>
      <c r="V992" s="1517"/>
      <c r="W992" s="1517"/>
      <c r="X992" s="1517"/>
      <c r="Y992" s="1517"/>
      <c r="Z992" s="1517"/>
      <c r="AA992" s="1517"/>
      <c r="AB992" s="1517"/>
      <c r="AC992" s="1517"/>
      <c r="AD992" s="1517"/>
      <c r="AE992" s="1518"/>
      <c r="AF992" s="1522" t="s">
        <v>673</v>
      </c>
      <c r="AG992" s="1523"/>
      <c r="AH992" s="1523"/>
      <c r="AI992" s="1524"/>
      <c r="AJ992" s="1516"/>
      <c r="AK992" s="1517"/>
      <c r="AL992" s="1517"/>
      <c r="AM992" s="1517"/>
      <c r="AN992" s="1517"/>
      <c r="AO992" s="1517"/>
      <c r="AP992" s="1517"/>
      <c r="AQ992" s="1518"/>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675</v>
      </c>
      <c r="D993" s="1529" t="s">
        <v>1324</v>
      </c>
      <c r="E993" s="1530"/>
      <c r="F993" s="1530"/>
      <c r="G993" s="1530"/>
      <c r="H993" s="1530"/>
      <c r="I993" s="1530"/>
      <c r="J993" s="1530"/>
      <c r="K993" s="1530"/>
      <c r="L993" s="1530"/>
      <c r="M993" s="1530"/>
      <c r="N993" s="1530"/>
      <c r="O993" s="1530"/>
      <c r="P993" s="1530"/>
      <c r="Q993" s="1530"/>
      <c r="R993" s="1530"/>
      <c r="S993" s="1530"/>
      <c r="T993" s="1530"/>
      <c r="U993" s="1530"/>
      <c r="V993" s="1530"/>
      <c r="W993" s="1530"/>
      <c r="X993" s="1530"/>
      <c r="Y993" s="1530"/>
      <c r="Z993" s="1530"/>
      <c r="AA993" s="1530"/>
      <c r="AB993" s="1530"/>
      <c r="AC993" s="1530"/>
      <c r="AD993" s="1530"/>
      <c r="AE993" s="1531"/>
      <c r="AF993" s="79"/>
      <c r="AG993" s="1525" t="s">
        <v>552</v>
      </c>
      <c r="AH993" s="1526"/>
      <c r="AI993" s="87"/>
      <c r="AJ993" s="1426">
        <f>ROUND(IF(AND(AG993="yes",D999&gt;0),AJ991*0.2,0),0)</f>
        <v>13033484</v>
      </c>
      <c r="AK993" s="1427"/>
      <c r="AL993" s="1427"/>
      <c r="AM993" s="1427"/>
      <c r="AN993" s="1427"/>
      <c r="AO993" s="1427"/>
      <c r="AP993" s="1427"/>
      <c r="AQ993" s="1428"/>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590" t="s">
        <v>2568</v>
      </c>
      <c r="E994" s="1591"/>
      <c r="F994" s="1591"/>
      <c r="G994" s="1591"/>
      <c r="H994" s="1591"/>
      <c r="I994" s="1591"/>
      <c r="J994" s="1591"/>
      <c r="K994" s="1591"/>
      <c r="L994" s="1591"/>
      <c r="M994" s="1591"/>
      <c r="N994" s="1591"/>
      <c r="O994" s="1591"/>
      <c r="P994" s="1591"/>
      <c r="Q994" s="1591"/>
      <c r="R994" s="1591"/>
      <c r="S994" s="1591"/>
      <c r="T994" s="1591"/>
      <c r="U994" s="1591"/>
      <c r="V994" s="1591"/>
      <c r="W994" s="1591"/>
      <c r="X994" s="1591"/>
      <c r="Y994" s="1591"/>
      <c r="Z994" s="1591"/>
      <c r="AA994" s="1591"/>
      <c r="AB994" s="1591"/>
      <c r="AC994" s="1591"/>
      <c r="AD994" s="1591"/>
      <c r="AE994" s="1592"/>
      <c r="AF994" s="73"/>
      <c r="AG994" s="14"/>
      <c r="AH994" s="14"/>
      <c r="AI994" s="83"/>
      <c r="AJ994" s="1429"/>
      <c r="AK994" s="1430"/>
      <c r="AL994" s="1430"/>
      <c r="AM994" s="1430"/>
      <c r="AN994" s="1430"/>
      <c r="AO994" s="1430"/>
      <c r="AP994" s="1430"/>
      <c r="AQ994" s="1431"/>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590"/>
      <c r="E995" s="1591"/>
      <c r="F995" s="1591"/>
      <c r="G995" s="1591"/>
      <c r="H995" s="1591"/>
      <c r="I995" s="1591"/>
      <c r="J995" s="1591"/>
      <c r="K995" s="1591"/>
      <c r="L995" s="1591"/>
      <c r="M995" s="1591"/>
      <c r="N995" s="1591"/>
      <c r="O995" s="1591"/>
      <c r="P995" s="1591"/>
      <c r="Q995" s="1591"/>
      <c r="R995" s="1591"/>
      <c r="S995" s="1591"/>
      <c r="T995" s="1591"/>
      <c r="U995" s="1591"/>
      <c r="V995" s="1591"/>
      <c r="W995" s="1591"/>
      <c r="X995" s="1591"/>
      <c r="Y995" s="1591"/>
      <c r="Z995" s="1591"/>
      <c r="AA995" s="1591"/>
      <c r="AB995" s="1591"/>
      <c r="AC995" s="1591"/>
      <c r="AD995" s="1591"/>
      <c r="AE995" s="1592"/>
      <c r="AF995" s="73"/>
      <c r="AG995" s="14"/>
      <c r="AH995" s="14"/>
      <c r="AI995" s="83"/>
      <c r="AJ995" s="1429"/>
      <c r="AK995" s="1430"/>
      <c r="AL995" s="1430"/>
      <c r="AM995" s="1430"/>
      <c r="AN995" s="1430"/>
      <c r="AO995" s="1430"/>
      <c r="AP995" s="1430"/>
      <c r="AQ995" s="1431"/>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590"/>
      <c r="E996" s="1591"/>
      <c r="F996" s="1591"/>
      <c r="G996" s="1591"/>
      <c r="H996" s="1591"/>
      <c r="I996" s="1591"/>
      <c r="J996" s="1591"/>
      <c r="K996" s="1591"/>
      <c r="L996" s="1591"/>
      <c r="M996" s="1591"/>
      <c r="N996" s="1591"/>
      <c r="O996" s="1591"/>
      <c r="P996" s="1591"/>
      <c r="Q996" s="1591"/>
      <c r="R996" s="1591"/>
      <c r="S996" s="1591"/>
      <c r="T996" s="1591"/>
      <c r="U996" s="1591"/>
      <c r="V996" s="1591"/>
      <c r="W996" s="1591"/>
      <c r="X996" s="1591"/>
      <c r="Y996" s="1591"/>
      <c r="Z996" s="1591"/>
      <c r="AA996" s="1591"/>
      <c r="AB996" s="1591"/>
      <c r="AC996" s="1591"/>
      <c r="AD996" s="1591"/>
      <c r="AE996" s="1592"/>
      <c r="AF996" s="73"/>
      <c r="AG996" s="14"/>
      <c r="AH996" s="14"/>
      <c r="AI996" s="83"/>
      <c r="AJ996" s="1429"/>
      <c r="AK996" s="1430"/>
      <c r="AL996" s="1430"/>
      <c r="AM996" s="1430"/>
      <c r="AN996" s="1430"/>
      <c r="AO996" s="1430"/>
      <c r="AP996" s="1430"/>
      <c r="AQ996" s="1431"/>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590"/>
      <c r="E997" s="1591"/>
      <c r="F997" s="1591"/>
      <c r="G997" s="1591"/>
      <c r="H997" s="1591"/>
      <c r="I997" s="1591"/>
      <c r="J997" s="1591"/>
      <c r="K997" s="1591"/>
      <c r="L997" s="1591"/>
      <c r="M997" s="1591"/>
      <c r="N997" s="1591"/>
      <c r="O997" s="1591"/>
      <c r="P997" s="1591"/>
      <c r="Q997" s="1591"/>
      <c r="R997" s="1591"/>
      <c r="S997" s="1591"/>
      <c r="T997" s="1591"/>
      <c r="U997" s="1591"/>
      <c r="V997" s="1591"/>
      <c r="W997" s="1591"/>
      <c r="X997" s="1591"/>
      <c r="Y997" s="1591"/>
      <c r="Z997" s="1591"/>
      <c r="AA997" s="1591"/>
      <c r="AB997" s="1591"/>
      <c r="AC997" s="1591"/>
      <c r="AD997" s="1591"/>
      <c r="AE997" s="1592"/>
      <c r="AF997" s="73"/>
      <c r="AG997" s="14"/>
      <c r="AH997" s="14"/>
      <c r="AI997" s="83"/>
      <c r="AJ997" s="1429"/>
      <c r="AK997" s="1430"/>
      <c r="AL997" s="1430"/>
      <c r="AM997" s="1430"/>
      <c r="AN997" s="1430"/>
      <c r="AO997" s="1430"/>
      <c r="AP997" s="1430"/>
      <c r="AQ997" s="1431"/>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593" t="s">
        <v>2569</v>
      </c>
      <c r="E998" s="1594"/>
      <c r="F998" s="1594"/>
      <c r="G998" s="1594"/>
      <c r="H998" s="1594"/>
      <c r="I998" s="1594"/>
      <c r="J998" s="1594"/>
      <c r="K998" s="1594"/>
      <c r="L998" s="1594"/>
      <c r="M998" s="1594"/>
      <c r="N998" s="1594"/>
      <c r="O998" s="1594"/>
      <c r="P998" s="1594"/>
      <c r="Q998" s="1594"/>
      <c r="R998" s="1594"/>
      <c r="S998" s="1594"/>
      <c r="T998" s="1594"/>
      <c r="U998" s="1594"/>
      <c r="V998" s="1594"/>
      <c r="W998" s="1594"/>
      <c r="X998" s="1594"/>
      <c r="Y998" s="1594"/>
      <c r="Z998" s="1594"/>
      <c r="AA998" s="1594"/>
      <c r="AB998" s="1594"/>
      <c r="AC998" s="1594"/>
      <c r="AD998" s="1594"/>
      <c r="AE998" s="1595"/>
      <c r="AF998" s="73"/>
      <c r="AG998" s="14"/>
      <c r="AH998" s="14"/>
      <c r="AI998" s="83"/>
      <c r="AJ998" s="1429"/>
      <c r="AK998" s="1430"/>
      <c r="AL998" s="1430"/>
      <c r="AM998" s="1430"/>
      <c r="AN998" s="1430"/>
      <c r="AO998" s="1430"/>
      <c r="AP998" s="1430"/>
      <c r="AQ998" s="1431"/>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607" t="s">
        <v>2776</v>
      </c>
      <c r="E999" s="1608"/>
      <c r="F999" s="1608"/>
      <c r="G999" s="1608"/>
      <c r="H999" s="1608"/>
      <c r="I999" s="1608"/>
      <c r="J999" s="1608"/>
      <c r="K999" s="1608"/>
      <c r="L999" s="1608"/>
      <c r="M999" s="1608"/>
      <c r="N999" s="1608"/>
      <c r="O999" s="1608"/>
      <c r="P999" s="1608"/>
      <c r="Q999" s="1608"/>
      <c r="R999" s="1608"/>
      <c r="S999" s="1608"/>
      <c r="T999" s="1608"/>
      <c r="U999" s="1608"/>
      <c r="V999" s="1608"/>
      <c r="W999" s="1608"/>
      <c r="X999" s="1608"/>
      <c r="Y999" s="1608"/>
      <c r="Z999" s="1608"/>
      <c r="AA999" s="1608"/>
      <c r="AB999" s="1608"/>
      <c r="AC999" s="1608"/>
      <c r="AD999" s="1608"/>
      <c r="AE999" s="1609"/>
      <c r="AF999" s="77"/>
      <c r="AG999" s="7"/>
      <c r="AH999" s="7"/>
      <c r="AI999" s="78"/>
      <c r="AJ999" s="1432"/>
      <c r="AK999" s="1433"/>
      <c r="AL999" s="1433"/>
      <c r="AM999" s="1433"/>
      <c r="AN999" s="1433"/>
      <c r="AO999" s="1433"/>
      <c r="AP999" s="1433"/>
      <c r="AQ999" s="1434"/>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519" t="s">
        <v>1394</v>
      </c>
      <c r="E1000" s="1520"/>
      <c r="F1000" s="1520"/>
      <c r="G1000" s="1520"/>
      <c r="H1000" s="1520"/>
      <c r="I1000" s="1520"/>
      <c r="J1000" s="1520"/>
      <c r="K1000" s="1520"/>
      <c r="L1000" s="1520"/>
      <c r="M1000" s="1520"/>
      <c r="N1000" s="1520"/>
      <c r="O1000" s="1520"/>
      <c r="P1000" s="1520"/>
      <c r="Q1000" s="1520"/>
      <c r="R1000" s="1520"/>
      <c r="S1000" s="1520"/>
      <c r="T1000" s="1520"/>
      <c r="U1000" s="1520"/>
      <c r="V1000" s="1520"/>
      <c r="W1000" s="1520"/>
      <c r="X1000" s="1520"/>
      <c r="Y1000" s="1520"/>
      <c r="Z1000" s="1520"/>
      <c r="AA1000" s="1520"/>
      <c r="AB1000" s="1520"/>
      <c r="AC1000" s="1520"/>
      <c r="AD1000" s="1520"/>
      <c r="AE1000" s="1521"/>
      <c r="AF1000" s="79"/>
      <c r="AG1000" s="1527" t="s">
        <v>676</v>
      </c>
      <c r="AH1000" s="1528"/>
      <c r="AI1000" s="87"/>
      <c r="AJ1000" s="1426">
        <f>ROUND(IF(AG1000="yes",AJ991*0.05,0),0)</f>
        <v>0</v>
      </c>
      <c r="AK1000" s="1427"/>
      <c r="AL1000" s="1427"/>
      <c r="AM1000" s="1427"/>
      <c r="AN1000" s="1427"/>
      <c r="AO1000" s="1427"/>
      <c r="AP1000" s="1427"/>
      <c r="AQ1000" s="1428"/>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590" t="s">
        <v>1392</v>
      </c>
      <c r="E1001" s="1591"/>
      <c r="F1001" s="1591"/>
      <c r="G1001" s="1591"/>
      <c r="H1001" s="1591"/>
      <c r="I1001" s="1591"/>
      <c r="J1001" s="1591"/>
      <c r="K1001" s="1591"/>
      <c r="L1001" s="1591"/>
      <c r="M1001" s="1591"/>
      <c r="N1001" s="1591"/>
      <c r="O1001" s="1591"/>
      <c r="P1001" s="1591"/>
      <c r="Q1001" s="1591"/>
      <c r="R1001" s="1591"/>
      <c r="S1001" s="1591"/>
      <c r="T1001" s="1591"/>
      <c r="U1001" s="1591"/>
      <c r="V1001" s="1591"/>
      <c r="W1001" s="1591"/>
      <c r="X1001" s="1591"/>
      <c r="Y1001" s="1591"/>
      <c r="Z1001" s="1591"/>
      <c r="AA1001" s="1591"/>
      <c r="AB1001" s="1591"/>
      <c r="AC1001" s="1591"/>
      <c r="AD1001" s="1591"/>
      <c r="AE1001" s="1592"/>
      <c r="AF1001" s="73"/>
      <c r="AG1001" s="14"/>
      <c r="AH1001" s="14"/>
      <c r="AI1001" s="83"/>
      <c r="AJ1001" s="1429"/>
      <c r="AK1001" s="1430"/>
      <c r="AL1001" s="1430"/>
      <c r="AM1001" s="1430"/>
      <c r="AN1001" s="1430"/>
      <c r="AO1001" s="1430"/>
      <c r="AP1001" s="1430"/>
      <c r="AQ1001" s="1431"/>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590"/>
      <c r="E1002" s="1591"/>
      <c r="F1002" s="1591"/>
      <c r="G1002" s="1591"/>
      <c r="H1002" s="1591"/>
      <c r="I1002" s="1591"/>
      <c r="J1002" s="1591"/>
      <c r="K1002" s="1591"/>
      <c r="L1002" s="1591"/>
      <c r="M1002" s="1591"/>
      <c r="N1002" s="1591"/>
      <c r="O1002" s="1591"/>
      <c r="P1002" s="1591"/>
      <c r="Q1002" s="1591"/>
      <c r="R1002" s="1591"/>
      <c r="S1002" s="1591"/>
      <c r="T1002" s="1591"/>
      <c r="U1002" s="1591"/>
      <c r="V1002" s="1591"/>
      <c r="W1002" s="1591"/>
      <c r="X1002" s="1591"/>
      <c r="Y1002" s="1591"/>
      <c r="Z1002" s="1591"/>
      <c r="AA1002" s="1591"/>
      <c r="AB1002" s="1591"/>
      <c r="AC1002" s="1591"/>
      <c r="AD1002" s="1591"/>
      <c r="AE1002" s="1592"/>
      <c r="AF1002" s="73"/>
      <c r="AG1002" s="14"/>
      <c r="AH1002" s="14"/>
      <c r="AI1002" s="83"/>
      <c r="AJ1002" s="1429"/>
      <c r="AK1002" s="1430"/>
      <c r="AL1002" s="1430"/>
      <c r="AM1002" s="1430"/>
      <c r="AN1002" s="1430"/>
      <c r="AO1002" s="1430"/>
      <c r="AP1002" s="1430"/>
      <c r="AQ1002" s="1431"/>
      <c r="AR1002" s="68"/>
      <c r="AS1002" s="68"/>
      <c r="AT1002" s="68"/>
      <c r="AU1002" s="68"/>
      <c r="AV1002" s="68"/>
      <c r="AW1002" s="68"/>
      <c r="AX1002" s="68"/>
      <c r="AY1002" s="949">
        <f>G753+O797</f>
        <v>123</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590"/>
      <c r="E1003" s="1591"/>
      <c r="F1003" s="1591"/>
      <c r="G1003" s="1591"/>
      <c r="H1003" s="1591"/>
      <c r="I1003" s="1591"/>
      <c r="J1003" s="1591"/>
      <c r="K1003" s="1591"/>
      <c r="L1003" s="1591"/>
      <c r="M1003" s="1591"/>
      <c r="N1003" s="1591"/>
      <c r="O1003" s="1591"/>
      <c r="P1003" s="1591"/>
      <c r="Q1003" s="1591"/>
      <c r="R1003" s="1591"/>
      <c r="S1003" s="1591"/>
      <c r="T1003" s="1591"/>
      <c r="U1003" s="1591"/>
      <c r="V1003" s="1591"/>
      <c r="W1003" s="1591"/>
      <c r="X1003" s="1591"/>
      <c r="Y1003" s="1591"/>
      <c r="Z1003" s="1591"/>
      <c r="AA1003" s="1591"/>
      <c r="AB1003" s="1591"/>
      <c r="AC1003" s="1591"/>
      <c r="AD1003" s="1591"/>
      <c r="AE1003" s="1592"/>
      <c r="AF1003" s="73"/>
      <c r="AG1003" s="14"/>
      <c r="AH1003" s="14"/>
      <c r="AI1003" s="83"/>
      <c r="AJ1003" s="1429"/>
      <c r="AK1003" s="1430"/>
      <c r="AL1003" s="1430"/>
      <c r="AM1003" s="1430"/>
      <c r="AN1003" s="1430"/>
      <c r="AO1003" s="1430"/>
      <c r="AP1003" s="1430"/>
      <c r="AQ1003" s="1431"/>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590"/>
      <c r="E1004" s="1591"/>
      <c r="F1004" s="1591"/>
      <c r="G1004" s="1591"/>
      <c r="H1004" s="1591"/>
      <c r="I1004" s="1591"/>
      <c r="J1004" s="1591"/>
      <c r="K1004" s="1591"/>
      <c r="L1004" s="1591"/>
      <c r="M1004" s="1591"/>
      <c r="N1004" s="1591"/>
      <c r="O1004" s="1591"/>
      <c r="P1004" s="1591"/>
      <c r="Q1004" s="1591"/>
      <c r="R1004" s="1591"/>
      <c r="S1004" s="1591"/>
      <c r="T1004" s="1591"/>
      <c r="U1004" s="1591"/>
      <c r="V1004" s="1591"/>
      <c r="W1004" s="1591"/>
      <c r="X1004" s="1591"/>
      <c r="Y1004" s="1591"/>
      <c r="Z1004" s="1591"/>
      <c r="AA1004" s="1591"/>
      <c r="AB1004" s="1591"/>
      <c r="AC1004" s="1591"/>
      <c r="AD1004" s="1591"/>
      <c r="AE1004" s="1592"/>
      <c r="AF1004" s="73"/>
      <c r="AG1004" s="14"/>
      <c r="AH1004" s="14"/>
      <c r="AI1004" s="83"/>
      <c r="AJ1004" s="1429"/>
      <c r="AK1004" s="1430"/>
      <c r="AL1004" s="1430"/>
      <c r="AM1004" s="1430"/>
      <c r="AN1004" s="1430"/>
      <c r="AO1004" s="1430"/>
      <c r="AP1004" s="1430"/>
      <c r="AQ1004" s="1431"/>
      <c r="AR1004" s="68"/>
      <c r="AS1004" s="68"/>
      <c r="AT1004" s="68"/>
      <c r="AU1004" s="68"/>
      <c r="AV1004" s="68"/>
      <c r="AW1004" s="68"/>
      <c r="AX1004" s="68"/>
      <c r="AY1004" s="948">
        <f>ROUNDDOWN(X1047/I1047,2)</f>
        <v>0.47</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593"/>
      <c r="E1005" s="1594"/>
      <c r="F1005" s="1594"/>
      <c r="G1005" s="1594"/>
      <c r="H1005" s="1594"/>
      <c r="I1005" s="1594"/>
      <c r="J1005" s="1594"/>
      <c r="K1005" s="1594"/>
      <c r="L1005" s="1594"/>
      <c r="M1005" s="1594"/>
      <c r="N1005" s="1594"/>
      <c r="O1005" s="1594"/>
      <c r="P1005" s="1594"/>
      <c r="Q1005" s="1594"/>
      <c r="R1005" s="1594"/>
      <c r="S1005" s="1594"/>
      <c r="T1005" s="1594"/>
      <c r="U1005" s="1594"/>
      <c r="V1005" s="1594"/>
      <c r="W1005" s="1594"/>
      <c r="X1005" s="1594"/>
      <c r="Y1005" s="1594"/>
      <c r="Z1005" s="1594"/>
      <c r="AA1005" s="1594"/>
      <c r="AB1005" s="1594"/>
      <c r="AC1005" s="1594"/>
      <c r="AD1005" s="1594"/>
      <c r="AE1005" s="1595"/>
      <c r="AF1005" s="77"/>
      <c r="AG1005" s="7"/>
      <c r="AH1005" s="7"/>
      <c r="AI1005" s="78"/>
      <c r="AJ1005" s="1432"/>
      <c r="AK1005" s="1433"/>
      <c r="AL1005" s="1433"/>
      <c r="AM1005" s="1433"/>
      <c r="AN1005" s="1433"/>
      <c r="AO1005" s="1433"/>
      <c r="AP1005" s="1433"/>
      <c r="AQ1005" s="1434"/>
      <c r="AR1005" s="68"/>
      <c r="AS1005" s="68"/>
      <c r="AT1005" s="68"/>
      <c r="AU1005" s="68"/>
      <c r="AV1005" s="68"/>
      <c r="AW1005" s="68"/>
      <c r="AX1005" s="68"/>
      <c r="AY1005" s="948">
        <f>ROUNDDOWN(X1051/I1051,2)</f>
        <v>0.15</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679</v>
      </c>
      <c r="D1006" s="1519" t="s">
        <v>1871</v>
      </c>
      <c r="E1006" s="1520"/>
      <c r="F1006" s="1520"/>
      <c r="G1006" s="1520"/>
      <c r="H1006" s="1520"/>
      <c r="I1006" s="1520"/>
      <c r="J1006" s="1520"/>
      <c r="K1006" s="1520"/>
      <c r="L1006" s="1520"/>
      <c r="M1006" s="1520"/>
      <c r="N1006" s="1520"/>
      <c r="O1006" s="1520"/>
      <c r="P1006" s="1520"/>
      <c r="Q1006" s="1520"/>
      <c r="R1006" s="1520"/>
      <c r="S1006" s="1520"/>
      <c r="T1006" s="1520"/>
      <c r="U1006" s="1520"/>
      <c r="V1006" s="1520"/>
      <c r="W1006" s="1520"/>
      <c r="X1006" s="1520"/>
      <c r="Y1006" s="1520"/>
      <c r="Z1006" s="1520"/>
      <c r="AA1006" s="1520"/>
      <c r="AB1006" s="1520"/>
      <c r="AC1006" s="1520"/>
      <c r="AD1006" s="1520"/>
      <c r="AE1006" s="1521"/>
      <c r="AF1006" s="86"/>
      <c r="AG1006" s="1527" t="s">
        <v>676</v>
      </c>
      <c r="AH1006" s="1528"/>
      <c r="AI1006" s="87"/>
      <c r="AJ1006" s="1426">
        <f>ROUND(IF(AG1006="yes",AJ991*0.1,0),0)</f>
        <v>0</v>
      </c>
      <c r="AK1006" s="1427"/>
      <c r="AL1006" s="1427"/>
      <c r="AM1006" s="1427"/>
      <c r="AN1006" s="1427"/>
      <c r="AO1006" s="1427"/>
      <c r="AP1006" s="1427"/>
      <c r="AQ1006" s="1428"/>
      <c r="AR1006" s="68"/>
      <c r="AS1006" s="68"/>
      <c r="AT1006" s="68"/>
      <c r="AU1006" s="68"/>
      <c r="AV1006" s="68"/>
      <c r="AW1006" s="68"/>
      <c r="AX1006" s="68"/>
      <c r="BB1006" s="34"/>
      <c r="BD1006" s="34"/>
      <c r="BE1006" s="34"/>
      <c r="BF1006" s="34"/>
    </row>
    <row r="1007" spans="1:157" ht="12.95" customHeight="1">
      <c r="A1007" s="14"/>
      <c r="B1007" s="73"/>
      <c r="C1007" s="74"/>
      <c r="D1007" s="1507" t="s">
        <v>1393</v>
      </c>
      <c r="E1007" s="1508"/>
      <c r="F1007" s="1508"/>
      <c r="G1007" s="1508"/>
      <c r="H1007" s="1508"/>
      <c r="I1007" s="1508"/>
      <c r="J1007" s="1508"/>
      <c r="K1007" s="1508"/>
      <c r="L1007" s="1508"/>
      <c r="M1007" s="1508"/>
      <c r="N1007" s="1508"/>
      <c r="O1007" s="1508"/>
      <c r="P1007" s="1508"/>
      <c r="Q1007" s="1508"/>
      <c r="R1007" s="1508"/>
      <c r="S1007" s="1508"/>
      <c r="T1007" s="1508"/>
      <c r="U1007" s="1508"/>
      <c r="V1007" s="1508"/>
      <c r="W1007" s="1508"/>
      <c r="X1007" s="1508"/>
      <c r="Y1007" s="1508"/>
      <c r="Z1007" s="1508"/>
      <c r="AA1007" s="1508"/>
      <c r="AB1007" s="1508"/>
      <c r="AC1007" s="1508"/>
      <c r="AD1007" s="1508"/>
      <c r="AE1007" s="1509"/>
      <c r="AF1007" s="73"/>
      <c r="AI1007" s="83"/>
      <c r="AJ1007" s="1429"/>
      <c r="AK1007" s="1430"/>
      <c r="AL1007" s="1430"/>
      <c r="AM1007" s="1430"/>
      <c r="AN1007" s="1430"/>
      <c r="AO1007" s="1430"/>
      <c r="AP1007" s="1430"/>
      <c r="AQ1007" s="1431"/>
      <c r="AR1007" s="68"/>
      <c r="AS1007" s="68"/>
      <c r="AT1007" s="68"/>
      <c r="AU1007" s="68"/>
      <c r="AV1007" s="68"/>
      <c r="AW1007" s="68"/>
      <c r="AX1007" s="68"/>
    </row>
    <row r="1008" spans="1:157" ht="12.95" customHeight="1">
      <c r="A1008" s="14"/>
      <c r="B1008" s="73"/>
      <c r="C1008" s="74"/>
      <c r="D1008" s="1507"/>
      <c r="E1008" s="1508"/>
      <c r="F1008" s="1508"/>
      <c r="G1008" s="1508"/>
      <c r="H1008" s="1508"/>
      <c r="I1008" s="1508"/>
      <c r="J1008" s="1508"/>
      <c r="K1008" s="1508"/>
      <c r="L1008" s="1508"/>
      <c r="M1008" s="1508"/>
      <c r="N1008" s="1508"/>
      <c r="O1008" s="1508"/>
      <c r="P1008" s="1508"/>
      <c r="Q1008" s="1508"/>
      <c r="R1008" s="1508"/>
      <c r="S1008" s="1508"/>
      <c r="T1008" s="1508"/>
      <c r="U1008" s="1508"/>
      <c r="V1008" s="1508"/>
      <c r="W1008" s="1508"/>
      <c r="X1008" s="1508"/>
      <c r="Y1008" s="1508"/>
      <c r="Z1008" s="1508"/>
      <c r="AA1008" s="1508"/>
      <c r="AB1008" s="1508"/>
      <c r="AC1008" s="1508"/>
      <c r="AD1008" s="1508"/>
      <c r="AE1008" s="1509"/>
      <c r="AF1008" s="73"/>
      <c r="AG1008" s="14"/>
      <c r="AH1008" s="14"/>
      <c r="AI1008" s="83"/>
      <c r="AJ1008" s="1429"/>
      <c r="AK1008" s="1430"/>
      <c r="AL1008" s="1430"/>
      <c r="AM1008" s="1430"/>
      <c r="AN1008" s="1430"/>
      <c r="AO1008" s="1430"/>
      <c r="AP1008" s="1430"/>
      <c r="AQ1008" s="1431"/>
      <c r="AR1008" s="68"/>
      <c r="AS1008" s="68"/>
      <c r="AT1008" s="68"/>
      <c r="AU1008" s="68"/>
      <c r="AV1008" s="68"/>
      <c r="AW1008" s="68"/>
      <c r="AX1008" s="68"/>
    </row>
    <row r="1009" spans="1:51" ht="12.95" customHeight="1">
      <c r="A1009" s="14"/>
      <c r="B1009" s="85"/>
      <c r="C1009" s="76"/>
      <c r="D1009" s="1532"/>
      <c r="E1009" s="1533"/>
      <c r="F1009" s="1533"/>
      <c r="G1009" s="1533"/>
      <c r="H1009" s="1533"/>
      <c r="I1009" s="1533"/>
      <c r="J1009" s="1533"/>
      <c r="K1009" s="1533"/>
      <c r="L1009" s="1533"/>
      <c r="M1009" s="1533"/>
      <c r="N1009" s="1533"/>
      <c r="O1009" s="1533"/>
      <c r="P1009" s="1533"/>
      <c r="Q1009" s="1533"/>
      <c r="R1009" s="1533"/>
      <c r="S1009" s="1533"/>
      <c r="T1009" s="1533"/>
      <c r="U1009" s="1533"/>
      <c r="V1009" s="1533"/>
      <c r="W1009" s="1533"/>
      <c r="X1009" s="1533"/>
      <c r="Y1009" s="1533"/>
      <c r="Z1009" s="1533"/>
      <c r="AA1009" s="1533"/>
      <c r="AB1009" s="1533"/>
      <c r="AC1009" s="1533"/>
      <c r="AD1009" s="1533"/>
      <c r="AE1009" s="1534"/>
      <c r="AF1009" s="77"/>
      <c r="AG1009" s="7"/>
      <c r="AH1009" s="7"/>
      <c r="AI1009" s="78"/>
      <c r="AJ1009" s="1432"/>
      <c r="AK1009" s="1433"/>
      <c r="AL1009" s="1433"/>
      <c r="AM1009" s="1433"/>
      <c r="AN1009" s="1433"/>
      <c r="AO1009" s="1433"/>
      <c r="AP1009" s="1433"/>
      <c r="AQ1009" s="1434"/>
      <c r="AR1009" s="68"/>
      <c r="AS1009" s="68"/>
      <c r="AT1009" s="68"/>
      <c r="AU1009" s="68"/>
      <c r="AV1009" s="68"/>
      <c r="AW1009" s="68"/>
      <c r="AX1009" s="68"/>
    </row>
    <row r="1010" spans="1:51" ht="12.95" customHeight="1">
      <c r="A1010" s="14"/>
      <c r="B1010" s="79"/>
      <c r="C1010" s="80" t="s">
        <v>212</v>
      </c>
      <c r="D1010" s="1519" t="s">
        <v>1395</v>
      </c>
      <c r="E1010" s="1520"/>
      <c r="F1010" s="1520"/>
      <c r="G1010" s="1520"/>
      <c r="H1010" s="1520"/>
      <c r="I1010" s="1520"/>
      <c r="J1010" s="1520"/>
      <c r="K1010" s="1520"/>
      <c r="L1010" s="1520"/>
      <c r="M1010" s="1520"/>
      <c r="N1010" s="1520"/>
      <c r="O1010" s="1520"/>
      <c r="P1010" s="1520"/>
      <c r="Q1010" s="1520"/>
      <c r="R1010" s="1520"/>
      <c r="S1010" s="1520"/>
      <c r="T1010" s="1520"/>
      <c r="U1010" s="1520"/>
      <c r="V1010" s="1520"/>
      <c r="W1010" s="1520"/>
      <c r="X1010" s="1520"/>
      <c r="Y1010" s="1520"/>
      <c r="Z1010" s="1520"/>
      <c r="AA1010" s="1520"/>
      <c r="AB1010" s="1520"/>
      <c r="AC1010" s="1520"/>
      <c r="AD1010" s="1520"/>
      <c r="AE1010" s="1521"/>
      <c r="AF1010" s="79"/>
      <c r="AG1010" s="1527" t="s">
        <v>552</v>
      </c>
      <c r="AH1010" s="1528"/>
      <c r="AI1010" s="87"/>
      <c r="AJ1010" s="1426">
        <f>ROUND(IF(AG1010="yes",AJ991*0.02,0),0)</f>
        <v>1303348</v>
      </c>
      <c r="AK1010" s="1427"/>
      <c r="AL1010" s="1427"/>
      <c r="AM1010" s="1427"/>
      <c r="AN1010" s="1427"/>
      <c r="AO1010" s="1427"/>
      <c r="AP1010" s="1427"/>
      <c r="AQ1010" s="1428"/>
      <c r="AR1010" s="68"/>
      <c r="AS1010" s="68"/>
      <c r="AT1010" s="68"/>
      <c r="AU1010" s="68"/>
      <c r="AV1010" s="68"/>
      <c r="AW1010" s="68"/>
      <c r="AX1010" s="68"/>
      <c r="AY1010" s="215">
        <f>IF(SUM(AY1012:AY1020)&lt;=0.1,SUM(AY1012:AY1020),0.1)</f>
        <v>0</v>
      </c>
    </row>
    <row r="1011" spans="1:51" ht="14.25" customHeight="1">
      <c r="A1011" s="14"/>
      <c r="B1011" s="73"/>
      <c r="C1011" s="74"/>
      <c r="D1011" s="1532" t="s">
        <v>1396</v>
      </c>
      <c r="E1011" s="1533"/>
      <c r="F1011" s="1533"/>
      <c r="G1011" s="1533"/>
      <c r="H1011" s="1533"/>
      <c r="I1011" s="1533"/>
      <c r="J1011" s="1533"/>
      <c r="K1011" s="1533"/>
      <c r="L1011" s="1533"/>
      <c r="M1011" s="1533"/>
      <c r="N1011" s="1533"/>
      <c r="O1011" s="1533"/>
      <c r="P1011" s="1533"/>
      <c r="Q1011" s="1533"/>
      <c r="R1011" s="1533"/>
      <c r="S1011" s="1533"/>
      <c r="T1011" s="1533"/>
      <c r="U1011" s="1533"/>
      <c r="V1011" s="1533"/>
      <c r="W1011" s="1533"/>
      <c r="X1011" s="1533"/>
      <c r="Y1011" s="1533"/>
      <c r="Z1011" s="1533"/>
      <c r="AA1011" s="1533"/>
      <c r="AB1011" s="1533"/>
      <c r="AC1011" s="1533"/>
      <c r="AD1011" s="1533"/>
      <c r="AE1011" s="1534"/>
      <c r="AF1011" s="77"/>
      <c r="AG1011" s="7"/>
      <c r="AH1011" s="7"/>
      <c r="AI1011" s="78"/>
      <c r="AJ1011" s="1432"/>
      <c r="AK1011" s="1433"/>
      <c r="AL1011" s="1433"/>
      <c r="AM1011" s="1433"/>
      <c r="AN1011" s="1433"/>
      <c r="AO1011" s="1433"/>
      <c r="AP1011" s="1433"/>
      <c r="AQ1011" s="1434"/>
      <c r="AR1011" s="68"/>
      <c r="AS1011" s="68"/>
      <c r="AT1011" s="68"/>
      <c r="AU1011" s="68"/>
      <c r="AV1011" s="68"/>
      <c r="AW1011" s="68"/>
      <c r="AX1011" s="68"/>
    </row>
    <row r="1012" spans="1:51" ht="12.95" customHeight="1">
      <c r="A1012" s="14"/>
      <c r="B1012" s="79"/>
      <c r="C1012" s="80" t="s">
        <v>215</v>
      </c>
      <c r="D1012" s="1519" t="s">
        <v>1397</v>
      </c>
      <c r="E1012" s="1520"/>
      <c r="F1012" s="1520"/>
      <c r="G1012" s="1520"/>
      <c r="H1012" s="1520"/>
      <c r="I1012" s="1520"/>
      <c r="J1012" s="1520"/>
      <c r="K1012" s="1520"/>
      <c r="L1012" s="1520"/>
      <c r="M1012" s="1520"/>
      <c r="N1012" s="1520"/>
      <c r="O1012" s="1520"/>
      <c r="P1012" s="1520"/>
      <c r="Q1012" s="1520"/>
      <c r="R1012" s="1520"/>
      <c r="S1012" s="1520"/>
      <c r="T1012" s="1520"/>
      <c r="U1012" s="1520"/>
      <c r="V1012" s="1520"/>
      <c r="W1012" s="1520"/>
      <c r="X1012" s="1520"/>
      <c r="Y1012" s="1520"/>
      <c r="Z1012" s="1520"/>
      <c r="AA1012" s="1520"/>
      <c r="AB1012" s="1520"/>
      <c r="AC1012" s="1520"/>
      <c r="AD1012" s="1520"/>
      <c r="AE1012" s="1521"/>
      <c r="AF1012" s="79"/>
      <c r="AG1012" s="1527" t="s">
        <v>676</v>
      </c>
      <c r="AH1012" s="1528"/>
      <c r="AI1012" s="79"/>
      <c r="AJ1012" s="1426">
        <f>ROUND(IF(AG1012="yes",AJ991*0.02,0),0)</f>
        <v>0</v>
      </c>
      <c r="AK1012" s="1427"/>
      <c r="AL1012" s="1427"/>
      <c r="AM1012" s="1427"/>
      <c r="AN1012" s="1427"/>
      <c r="AO1012" s="1427"/>
      <c r="AP1012" s="1427"/>
      <c r="AQ1012" s="1428"/>
      <c r="AR1012" s="68"/>
      <c r="AS1012" s="68"/>
      <c r="AT1012" s="68"/>
      <c r="AU1012" s="68"/>
      <c r="AV1012" s="68"/>
      <c r="AW1012" s="68"/>
      <c r="AX1012" s="68"/>
      <c r="AY1012" s="213">
        <f>IF(A1064="Yes",0.05,0)</f>
        <v>0</v>
      </c>
    </row>
    <row r="1013" spans="1:51" ht="12.95" customHeight="1">
      <c r="A1013" s="14"/>
      <c r="B1013" s="73"/>
      <c r="C1013" s="74"/>
      <c r="D1013" s="1507" t="s">
        <v>1398</v>
      </c>
      <c r="E1013" s="1508"/>
      <c r="F1013" s="1508"/>
      <c r="G1013" s="1508"/>
      <c r="H1013" s="1508"/>
      <c r="I1013" s="1508"/>
      <c r="J1013" s="1508"/>
      <c r="K1013" s="1508"/>
      <c r="L1013" s="1508"/>
      <c r="M1013" s="1508"/>
      <c r="N1013" s="1508"/>
      <c r="O1013" s="1508"/>
      <c r="P1013" s="1508"/>
      <c r="Q1013" s="1508"/>
      <c r="R1013" s="1508"/>
      <c r="S1013" s="1508"/>
      <c r="T1013" s="1508"/>
      <c r="U1013" s="1508"/>
      <c r="V1013" s="1508"/>
      <c r="W1013" s="1508"/>
      <c r="X1013" s="1508"/>
      <c r="Y1013" s="1508"/>
      <c r="Z1013" s="1508"/>
      <c r="AA1013" s="1508"/>
      <c r="AB1013" s="1508"/>
      <c r="AC1013" s="1508"/>
      <c r="AD1013" s="1508"/>
      <c r="AE1013" s="1509"/>
      <c r="AF1013" s="1399" t="str">
        <f>IF(AND(AG1012="yes",AB212&lt;&gt;1),"The project may not be eligible for this boost","")</f>
        <v/>
      </c>
      <c r="AG1013" s="1400"/>
      <c r="AH1013" s="1400"/>
      <c r="AI1013" s="1401"/>
      <c r="AJ1013" s="1429"/>
      <c r="AK1013" s="1430"/>
      <c r="AL1013" s="1430"/>
      <c r="AM1013" s="1430"/>
      <c r="AN1013" s="1430"/>
      <c r="AO1013" s="1430"/>
      <c r="AP1013" s="1430"/>
      <c r="AQ1013" s="1431"/>
      <c r="AR1013" s="68"/>
      <c r="AS1013" s="68"/>
      <c r="AT1013" s="68"/>
      <c r="AU1013" s="68"/>
      <c r="AV1013" s="68"/>
      <c r="AW1013" s="68"/>
      <c r="AX1013" s="68"/>
      <c r="AY1013" s="213">
        <f>IF(A1070="Yes",0.02,0)</f>
        <v>0</v>
      </c>
    </row>
    <row r="1014" spans="1:51" ht="12.95" customHeight="1">
      <c r="A1014" s="14"/>
      <c r="B1014" s="75"/>
      <c r="C1014" s="76"/>
      <c r="D1014" s="1532"/>
      <c r="E1014" s="1533"/>
      <c r="F1014" s="1533"/>
      <c r="G1014" s="1533"/>
      <c r="H1014" s="1533"/>
      <c r="I1014" s="1533"/>
      <c r="J1014" s="1533"/>
      <c r="K1014" s="1533"/>
      <c r="L1014" s="1533"/>
      <c r="M1014" s="1533"/>
      <c r="N1014" s="1533"/>
      <c r="O1014" s="1533"/>
      <c r="P1014" s="1533"/>
      <c r="Q1014" s="1533"/>
      <c r="R1014" s="1533"/>
      <c r="S1014" s="1533"/>
      <c r="T1014" s="1533"/>
      <c r="U1014" s="1533"/>
      <c r="V1014" s="1533"/>
      <c r="W1014" s="1533"/>
      <c r="X1014" s="1533"/>
      <c r="Y1014" s="1533"/>
      <c r="Z1014" s="1533"/>
      <c r="AA1014" s="1533"/>
      <c r="AB1014" s="1533"/>
      <c r="AC1014" s="1533"/>
      <c r="AD1014" s="1533"/>
      <c r="AE1014" s="1534"/>
      <c r="AF1014" s="1402"/>
      <c r="AG1014" s="1403"/>
      <c r="AH1014" s="1403"/>
      <c r="AI1014" s="1404"/>
      <c r="AJ1014" s="1432"/>
      <c r="AK1014" s="1433"/>
      <c r="AL1014" s="1433"/>
      <c r="AM1014" s="1433"/>
      <c r="AN1014" s="1433"/>
      <c r="AO1014" s="1433"/>
      <c r="AP1014" s="1433"/>
      <c r="AQ1014" s="1434"/>
      <c r="AR1014" s="68"/>
      <c r="AS1014" s="68"/>
      <c r="AT1014" s="68"/>
      <c r="AU1014" s="68"/>
      <c r="AV1014" s="68"/>
      <c r="AW1014" s="68"/>
      <c r="AX1014" s="68"/>
      <c r="AY1014" s="213">
        <f>IF(A1076="Yes",0.04,0)</f>
        <v>0</v>
      </c>
    </row>
    <row r="1015" spans="1:51" ht="12.95" customHeight="1">
      <c r="A1015" s="14"/>
      <c r="B1015" s="79"/>
      <c r="C1015" s="80" t="s">
        <v>218</v>
      </c>
      <c r="D1015" s="1529" t="s">
        <v>1399</v>
      </c>
      <c r="E1015" s="1530"/>
      <c r="F1015" s="1530"/>
      <c r="G1015" s="1530"/>
      <c r="H1015" s="1530"/>
      <c r="I1015" s="1530"/>
      <c r="J1015" s="1530"/>
      <c r="K1015" s="1530"/>
      <c r="L1015" s="1530"/>
      <c r="M1015" s="1530"/>
      <c r="N1015" s="1530"/>
      <c r="O1015" s="1530"/>
      <c r="P1015" s="1530"/>
      <c r="Q1015" s="1530"/>
      <c r="R1015" s="1530"/>
      <c r="S1015" s="1530"/>
      <c r="T1015" s="1530"/>
      <c r="U1015" s="1530"/>
      <c r="V1015" s="1530"/>
      <c r="W1015" s="1530"/>
      <c r="X1015" s="1530"/>
      <c r="Y1015" s="1530"/>
      <c r="Z1015" s="1530"/>
      <c r="AA1015" s="1530"/>
      <c r="AB1015" s="1530"/>
      <c r="AC1015" s="1530"/>
      <c r="AD1015" s="1530"/>
      <c r="AE1015" s="1531"/>
      <c r="AF1015" s="79"/>
      <c r="AG1015" s="1527" t="s">
        <v>676</v>
      </c>
      <c r="AH1015" s="1528"/>
      <c r="AI1015" s="87"/>
      <c r="AJ1015" s="1426">
        <f>IF(AG1015="yes",AJ991*AY1010,0)</f>
        <v>0</v>
      </c>
      <c r="AK1015" s="1427"/>
      <c r="AL1015" s="1427"/>
      <c r="AM1015" s="1427"/>
      <c r="AN1015" s="1427"/>
      <c r="AO1015" s="1427"/>
      <c r="AP1015" s="1427"/>
      <c r="AQ1015" s="1428"/>
      <c r="AR1015" s="68"/>
      <c r="AS1015" s="68"/>
      <c r="AT1015" s="68"/>
      <c r="AU1015" s="68"/>
      <c r="AV1015" s="68"/>
      <c r="AW1015" s="68"/>
      <c r="AX1015" s="68"/>
      <c r="AY1015" s="213">
        <f>IF(A1083="Yes",0.04,0)</f>
        <v>0</v>
      </c>
    </row>
    <row r="1016" spans="1:51" ht="12.95" customHeight="1">
      <c r="A1016" s="14"/>
      <c r="B1016" s="73"/>
      <c r="C1016" s="74"/>
      <c r="D1016" s="1507" t="s">
        <v>1400</v>
      </c>
      <c r="E1016" s="1508"/>
      <c r="F1016" s="1508"/>
      <c r="G1016" s="1508"/>
      <c r="H1016" s="1508"/>
      <c r="I1016" s="1508"/>
      <c r="J1016" s="1508"/>
      <c r="K1016" s="1508"/>
      <c r="L1016" s="1508"/>
      <c r="M1016" s="1508"/>
      <c r="N1016" s="1508"/>
      <c r="O1016" s="1508"/>
      <c r="P1016" s="1508"/>
      <c r="Q1016" s="1508"/>
      <c r="R1016" s="1508"/>
      <c r="S1016" s="1508"/>
      <c r="T1016" s="1508"/>
      <c r="U1016" s="1508"/>
      <c r="V1016" s="1508"/>
      <c r="W1016" s="1508"/>
      <c r="X1016" s="1508"/>
      <c r="Y1016" s="1508"/>
      <c r="Z1016" s="1508"/>
      <c r="AA1016" s="1508"/>
      <c r="AB1016" s="1508"/>
      <c r="AC1016" s="1508"/>
      <c r="AD1016" s="1508"/>
      <c r="AE1016" s="1509"/>
      <c r="AF1016" s="1393" t="str">
        <f>IF(AND(AG1015="Yes",AY1010=0),AY1022,"")</f>
        <v/>
      </c>
      <c r="AG1016" s="1394"/>
      <c r="AH1016" s="1394"/>
      <c r="AI1016" s="1395"/>
      <c r="AJ1016" s="1429"/>
      <c r="AK1016" s="1430"/>
      <c r="AL1016" s="1430"/>
      <c r="AM1016" s="1430"/>
      <c r="AN1016" s="1430"/>
      <c r="AO1016" s="1430"/>
      <c r="AP1016" s="1430"/>
      <c r="AQ1016" s="1431"/>
      <c r="AR1016" s="68"/>
      <c r="AS1016" s="68"/>
      <c r="AT1016" s="68"/>
      <c r="AU1016" s="68"/>
      <c r="AV1016" s="68"/>
      <c r="AW1016" s="68"/>
      <c r="AX1016" s="68"/>
      <c r="AY1016" s="213">
        <f>IF(A1086="Yes",0.01,0)</f>
        <v>0</v>
      </c>
    </row>
    <row r="1017" spans="1:51" ht="12.95" customHeight="1">
      <c r="A1017" s="14"/>
      <c r="B1017" s="73"/>
      <c r="C1017" s="74"/>
      <c r="D1017" s="1507"/>
      <c r="E1017" s="1508"/>
      <c r="F1017" s="1508"/>
      <c r="G1017" s="1508"/>
      <c r="H1017" s="1508"/>
      <c r="I1017" s="1508"/>
      <c r="J1017" s="1508"/>
      <c r="K1017" s="1508"/>
      <c r="L1017" s="1508"/>
      <c r="M1017" s="1508"/>
      <c r="N1017" s="1508"/>
      <c r="O1017" s="1508"/>
      <c r="P1017" s="1508"/>
      <c r="Q1017" s="1508"/>
      <c r="R1017" s="1508"/>
      <c r="S1017" s="1508"/>
      <c r="T1017" s="1508"/>
      <c r="U1017" s="1508"/>
      <c r="V1017" s="1508"/>
      <c r="W1017" s="1508"/>
      <c r="X1017" s="1508"/>
      <c r="Y1017" s="1508"/>
      <c r="Z1017" s="1508"/>
      <c r="AA1017" s="1508"/>
      <c r="AB1017" s="1508"/>
      <c r="AC1017" s="1508"/>
      <c r="AD1017" s="1508"/>
      <c r="AE1017" s="1509"/>
      <c r="AF1017" s="1393"/>
      <c r="AG1017" s="1394"/>
      <c r="AH1017" s="1394"/>
      <c r="AI1017" s="1395"/>
      <c r="AJ1017" s="1429"/>
      <c r="AK1017" s="1430"/>
      <c r="AL1017" s="1430"/>
      <c r="AM1017" s="1430"/>
      <c r="AN1017" s="1430"/>
      <c r="AO1017" s="1430"/>
      <c r="AP1017" s="1430"/>
      <c r="AQ1017" s="1431"/>
      <c r="AR1017" s="68"/>
      <c r="AS1017" s="68"/>
      <c r="AT1017" s="68"/>
      <c r="AU1017" s="68"/>
      <c r="AV1017" s="68"/>
      <c r="AW1017" s="68"/>
      <c r="AX1017" s="68"/>
      <c r="AY1017" s="213">
        <f>IF(A1091="Yes",0.01,0)</f>
        <v>0</v>
      </c>
    </row>
    <row r="1018" spans="1:51" ht="12.95" customHeight="1">
      <c r="A1018" s="14"/>
      <c r="B1018" s="81"/>
      <c r="C1018" s="82"/>
      <c r="D1018" s="1532"/>
      <c r="E1018" s="1533"/>
      <c r="F1018" s="1533"/>
      <c r="G1018" s="1533"/>
      <c r="H1018" s="1533"/>
      <c r="I1018" s="1533"/>
      <c r="J1018" s="1533"/>
      <c r="K1018" s="1533"/>
      <c r="L1018" s="1533"/>
      <c r="M1018" s="1533"/>
      <c r="N1018" s="1533"/>
      <c r="O1018" s="1533"/>
      <c r="P1018" s="1533"/>
      <c r="Q1018" s="1533"/>
      <c r="R1018" s="1533"/>
      <c r="S1018" s="1533"/>
      <c r="T1018" s="1533"/>
      <c r="U1018" s="1533"/>
      <c r="V1018" s="1533"/>
      <c r="W1018" s="1533"/>
      <c r="X1018" s="1533"/>
      <c r="Y1018" s="1533"/>
      <c r="Z1018" s="1533"/>
      <c r="AA1018" s="1533"/>
      <c r="AB1018" s="1533"/>
      <c r="AC1018" s="1533"/>
      <c r="AD1018" s="1533"/>
      <c r="AE1018" s="1534"/>
      <c r="AF1018" s="1396"/>
      <c r="AG1018" s="1397"/>
      <c r="AH1018" s="1397"/>
      <c r="AI1018" s="1398"/>
      <c r="AJ1018" s="1432"/>
      <c r="AK1018" s="1433"/>
      <c r="AL1018" s="1433"/>
      <c r="AM1018" s="1433"/>
      <c r="AN1018" s="1433"/>
      <c r="AO1018" s="1433"/>
      <c r="AP1018" s="1433"/>
      <c r="AQ1018" s="1434"/>
      <c r="AR1018" s="68"/>
      <c r="AS1018" s="68"/>
      <c r="AT1018" s="68"/>
      <c r="AU1018" s="68"/>
      <c r="AV1018" s="68"/>
      <c r="AW1018" s="68"/>
      <c r="AX1018" s="68"/>
      <c r="AY1018" s="213">
        <f>IF(A1094="Yes",0.01,0)</f>
        <v>0</v>
      </c>
    </row>
    <row r="1019" spans="1:51" ht="12.95" customHeight="1">
      <c r="A1019" s="14"/>
      <c r="B1019" s="79"/>
      <c r="C1019" s="80" t="s">
        <v>223</v>
      </c>
      <c r="D1019" s="1564" t="s">
        <v>1401</v>
      </c>
      <c r="E1019" s="1565"/>
      <c r="F1019" s="1565"/>
      <c r="G1019" s="1565"/>
      <c r="H1019" s="1565"/>
      <c r="I1019" s="1565"/>
      <c r="J1019" s="1565"/>
      <c r="K1019" s="1565"/>
      <c r="L1019" s="1565"/>
      <c r="M1019" s="1565"/>
      <c r="N1019" s="1565"/>
      <c r="O1019" s="1565"/>
      <c r="P1019" s="1565"/>
      <c r="Q1019" s="1565"/>
      <c r="R1019" s="1565"/>
      <c r="S1019" s="1565"/>
      <c r="T1019" s="1565"/>
      <c r="U1019" s="1565"/>
      <c r="V1019" s="1565"/>
      <c r="W1019" s="1565"/>
      <c r="X1019" s="1565"/>
      <c r="Y1019" s="1565"/>
      <c r="Z1019" s="1565"/>
      <c r="AA1019" s="1565"/>
      <c r="AB1019" s="1565"/>
      <c r="AC1019" s="1565"/>
      <c r="AD1019" s="1565"/>
      <c r="AE1019" s="1566"/>
      <c r="AF1019" s="79"/>
      <c r="AG1019" s="1527" t="s">
        <v>676</v>
      </c>
      <c r="AH1019" s="1528"/>
      <c r="AI1019" s="87"/>
      <c r="AJ1019" s="1426">
        <f>ROUND(IF(AND(AG1019="Yes",J1023&lt;&gt;"N/A",AF1022&lt;&gt;""),MIN(AF1022,(0.15*AJ991)),0),0)</f>
        <v>0</v>
      </c>
      <c r="AK1019" s="1427"/>
      <c r="AL1019" s="1427"/>
      <c r="AM1019" s="1427"/>
      <c r="AN1019" s="1427"/>
      <c r="AO1019" s="1427"/>
      <c r="AP1019" s="1427"/>
      <c r="AQ1019" s="1428"/>
      <c r="AR1019" s="68"/>
      <c r="AS1019" s="68"/>
      <c r="AT1019" s="68"/>
      <c r="AU1019" s="68"/>
      <c r="AV1019" s="68"/>
      <c r="AW1019" s="68"/>
      <c r="AX1019" s="68"/>
      <c r="AY1019" s="213">
        <f>IF(A1098="Yes",0.02,0)</f>
        <v>0</v>
      </c>
    </row>
    <row r="1020" spans="1:51" ht="12.95" customHeight="1">
      <c r="A1020" s="14"/>
      <c r="B1020" s="81"/>
      <c r="C1020" s="84"/>
      <c r="D1020" s="1567"/>
      <c r="E1020" s="1568"/>
      <c r="F1020" s="1568"/>
      <c r="G1020" s="1568"/>
      <c r="H1020" s="1568"/>
      <c r="I1020" s="1568"/>
      <c r="J1020" s="1568"/>
      <c r="K1020" s="1568"/>
      <c r="L1020" s="1568"/>
      <c r="M1020" s="1568"/>
      <c r="N1020" s="1568"/>
      <c r="O1020" s="1568"/>
      <c r="P1020" s="1568"/>
      <c r="Q1020" s="1568"/>
      <c r="R1020" s="1568"/>
      <c r="S1020" s="1568"/>
      <c r="T1020" s="1568"/>
      <c r="U1020" s="1568"/>
      <c r="V1020" s="1568"/>
      <c r="W1020" s="1568"/>
      <c r="X1020" s="1568"/>
      <c r="Y1020" s="1568"/>
      <c r="Z1020" s="1568"/>
      <c r="AA1020" s="1568"/>
      <c r="AB1020" s="1568"/>
      <c r="AC1020" s="1568"/>
      <c r="AD1020" s="1568"/>
      <c r="AE1020" s="1569"/>
      <c r="AF1020" s="1535" t="str">
        <f>IF(AG1019="yes","Please Select Type and Enter Amount:","")</f>
        <v/>
      </c>
      <c r="AG1020" s="1536"/>
      <c r="AH1020" s="1536"/>
      <c r="AI1020" s="1537"/>
      <c r="AJ1020" s="1429"/>
      <c r="AK1020" s="1430"/>
      <c r="AL1020" s="1430"/>
      <c r="AM1020" s="1430"/>
      <c r="AN1020" s="1430"/>
      <c r="AO1020" s="1430"/>
      <c r="AP1020" s="1430"/>
      <c r="AQ1020" s="1431"/>
      <c r="AR1020" s="68"/>
      <c r="AS1020" s="68"/>
      <c r="AT1020" s="68"/>
      <c r="AU1020" s="68"/>
      <c r="AV1020" s="68"/>
      <c r="AW1020" s="68"/>
      <c r="AX1020" s="68"/>
      <c r="AY1020" s="214">
        <f>IF(A1103="Yes",0.02,0)</f>
        <v>0</v>
      </c>
    </row>
    <row r="1021" spans="1:51" ht="12.95" customHeight="1">
      <c r="A1021" s="14"/>
      <c r="B1021" s="81"/>
      <c r="C1021" s="84"/>
      <c r="D1021" s="1507" t="s">
        <v>1402</v>
      </c>
      <c r="E1021" s="1508"/>
      <c r="F1021" s="1508"/>
      <c r="G1021" s="1508"/>
      <c r="H1021" s="1508"/>
      <c r="I1021" s="1508"/>
      <c r="J1021" s="1508"/>
      <c r="K1021" s="1508"/>
      <c r="L1021" s="1508"/>
      <c r="M1021" s="1508"/>
      <c r="N1021" s="1508"/>
      <c r="O1021" s="1508"/>
      <c r="P1021" s="1508"/>
      <c r="Q1021" s="1508"/>
      <c r="R1021" s="1508"/>
      <c r="S1021" s="1508"/>
      <c r="T1021" s="1508"/>
      <c r="U1021" s="1508"/>
      <c r="V1021" s="1508"/>
      <c r="W1021" s="1508"/>
      <c r="X1021" s="1508"/>
      <c r="Y1021" s="1508"/>
      <c r="Z1021" s="1508"/>
      <c r="AA1021" s="1508"/>
      <c r="AB1021" s="1508"/>
      <c r="AC1021" s="1508"/>
      <c r="AD1021" s="1508"/>
      <c r="AE1021" s="1509"/>
      <c r="AF1021" s="1535"/>
      <c r="AG1021" s="1536"/>
      <c r="AH1021" s="1536"/>
      <c r="AI1021" s="1537"/>
      <c r="AJ1021" s="1429"/>
      <c r="AK1021" s="1430"/>
      <c r="AL1021" s="1430"/>
      <c r="AM1021" s="1430"/>
      <c r="AN1021" s="1430"/>
      <c r="AO1021" s="1430"/>
      <c r="AP1021" s="1430"/>
      <c r="AQ1021" s="1431"/>
      <c r="AR1021" s="68"/>
      <c r="AS1021" s="68"/>
      <c r="AT1021" s="68"/>
      <c r="AU1021" s="68"/>
      <c r="AV1021" s="68"/>
      <c r="AW1021" s="68"/>
      <c r="AX1021" s="68"/>
      <c r="AY1021" s="68"/>
    </row>
    <row r="1022" spans="1:51" ht="12.95" customHeight="1">
      <c r="A1022" s="14"/>
      <c r="B1022" s="81"/>
      <c r="C1022" s="84"/>
      <c r="D1022" s="1507"/>
      <c r="E1022" s="1508"/>
      <c r="F1022" s="1508"/>
      <c r="G1022" s="1508"/>
      <c r="H1022" s="1508"/>
      <c r="I1022" s="1508"/>
      <c r="J1022" s="1508"/>
      <c r="K1022" s="1508"/>
      <c r="L1022" s="1508"/>
      <c r="M1022" s="1508"/>
      <c r="N1022" s="1508"/>
      <c r="O1022" s="1508"/>
      <c r="P1022" s="1508"/>
      <c r="Q1022" s="1508"/>
      <c r="R1022" s="1508"/>
      <c r="S1022" s="1508"/>
      <c r="T1022" s="1508"/>
      <c r="U1022" s="1508"/>
      <c r="V1022" s="1508"/>
      <c r="W1022" s="1508"/>
      <c r="X1022" s="1508"/>
      <c r="Y1022" s="1508"/>
      <c r="Z1022" s="1508"/>
      <c r="AA1022" s="1508"/>
      <c r="AB1022" s="1508"/>
      <c r="AC1022" s="1508"/>
      <c r="AD1022" s="1508"/>
      <c r="AE1022" s="1509"/>
      <c r="AF1022" s="1538"/>
      <c r="AG1022" s="1538"/>
      <c r="AH1022" s="1538"/>
      <c r="AI1022" s="1538"/>
      <c r="AJ1022" s="1429"/>
      <c r="AK1022" s="1430"/>
      <c r="AL1022" s="1430"/>
      <c r="AM1022" s="1430"/>
      <c r="AN1022" s="1430"/>
      <c r="AO1022" s="1430"/>
      <c r="AP1022" s="1430"/>
      <c r="AQ1022" s="1431"/>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359</v>
      </c>
      <c r="E1023" s="90"/>
      <c r="F1023" s="90"/>
      <c r="G1023" s="104"/>
      <c r="H1023" s="104"/>
      <c r="I1023" s="49"/>
      <c r="J1023" s="1510" t="s">
        <v>598</v>
      </c>
      <c r="K1023" s="1511"/>
      <c r="L1023" s="1511"/>
      <c r="M1023" s="1511"/>
      <c r="N1023" s="1511"/>
      <c r="O1023" s="1511"/>
      <c r="P1023" s="1511"/>
      <c r="Q1023" s="1511"/>
      <c r="R1023" s="1511"/>
      <c r="S1023" s="1511"/>
      <c r="T1023" s="1511"/>
      <c r="U1023" s="1511"/>
      <c r="V1023" s="1511"/>
      <c r="W1023" s="1511"/>
      <c r="X1023" s="1511"/>
      <c r="Y1023" s="1511"/>
      <c r="Z1023" s="1511"/>
      <c r="AA1023" s="1511"/>
      <c r="AB1023" s="1511"/>
      <c r="AC1023" s="1511"/>
      <c r="AD1023" s="1511"/>
      <c r="AE1023" s="1512"/>
      <c r="AF1023" s="1538"/>
      <c r="AG1023" s="1538"/>
      <c r="AH1023" s="1538"/>
      <c r="AI1023" s="1538"/>
      <c r="AJ1023" s="1432"/>
      <c r="AK1023" s="1433"/>
      <c r="AL1023" s="1433"/>
      <c r="AM1023" s="1433"/>
      <c r="AN1023" s="1433"/>
      <c r="AO1023" s="1433"/>
      <c r="AP1023" s="1433"/>
      <c r="AQ1023" s="1434"/>
      <c r="AR1023" s="68"/>
      <c r="AS1023" s="68"/>
      <c r="AT1023" s="68"/>
      <c r="AU1023" s="68"/>
      <c r="AV1023" s="68"/>
      <c r="AW1023" s="68"/>
      <c r="AX1023" s="68"/>
      <c r="AY1023" s="68"/>
    </row>
    <row r="1024" spans="1:51" ht="12.95" customHeight="1">
      <c r="A1024" s="14"/>
      <c r="B1024" s="79"/>
      <c r="C1024" s="80" t="s">
        <v>229</v>
      </c>
      <c r="D1024" s="1519" t="s">
        <v>1403</v>
      </c>
      <c r="E1024" s="1520"/>
      <c r="F1024" s="1520"/>
      <c r="G1024" s="1520"/>
      <c r="H1024" s="1520"/>
      <c r="I1024" s="1520"/>
      <c r="J1024" s="1520"/>
      <c r="K1024" s="1520"/>
      <c r="L1024" s="1520"/>
      <c r="M1024" s="1520"/>
      <c r="N1024" s="1520"/>
      <c r="O1024" s="1520"/>
      <c r="P1024" s="1520"/>
      <c r="Q1024" s="1520"/>
      <c r="R1024" s="1520"/>
      <c r="S1024" s="1520"/>
      <c r="T1024" s="1520"/>
      <c r="U1024" s="1520"/>
      <c r="V1024" s="1520"/>
      <c r="W1024" s="1520"/>
      <c r="X1024" s="1520"/>
      <c r="Y1024" s="1520"/>
      <c r="Z1024" s="1520"/>
      <c r="AA1024" s="1520"/>
      <c r="AB1024" s="1520"/>
      <c r="AC1024" s="1520"/>
      <c r="AD1024" s="1520"/>
      <c r="AE1024" s="1521"/>
      <c r="AF1024" s="79"/>
      <c r="AG1024" s="1527" t="s">
        <v>552</v>
      </c>
      <c r="AH1024" s="1528"/>
      <c r="AI1024" s="87"/>
      <c r="AJ1024" s="1426">
        <f>ROUND(IF(AG1024="Yes",AF1026,0),0)</f>
        <v>2380393</v>
      </c>
      <c r="AK1024" s="1427"/>
      <c r="AL1024" s="1427"/>
      <c r="AM1024" s="1427"/>
      <c r="AN1024" s="1427"/>
      <c r="AO1024" s="1427"/>
      <c r="AP1024" s="1427"/>
      <c r="AQ1024" s="1428"/>
      <c r="AR1024" s="68"/>
      <c r="AS1024" s="68"/>
      <c r="AT1024" s="68"/>
      <c r="AU1024" s="68"/>
      <c r="AV1024" s="68"/>
      <c r="AW1024" s="68"/>
      <c r="AX1024" s="68"/>
      <c r="AY1024" s="68"/>
    </row>
    <row r="1025" spans="1:51" ht="12.95" customHeight="1">
      <c r="A1025" s="14"/>
      <c r="B1025" s="73"/>
      <c r="C1025" s="74"/>
      <c r="D1025" s="1507" t="s">
        <v>1878</v>
      </c>
      <c r="E1025" s="1508"/>
      <c r="F1025" s="1508"/>
      <c r="G1025" s="1508"/>
      <c r="H1025" s="1508"/>
      <c r="I1025" s="1508"/>
      <c r="J1025" s="1508"/>
      <c r="K1025" s="1508"/>
      <c r="L1025" s="1508"/>
      <c r="M1025" s="1508"/>
      <c r="N1025" s="1508"/>
      <c r="O1025" s="1508"/>
      <c r="P1025" s="1508"/>
      <c r="Q1025" s="1508"/>
      <c r="R1025" s="1508"/>
      <c r="S1025" s="1508"/>
      <c r="T1025" s="1508"/>
      <c r="U1025" s="1508"/>
      <c r="V1025" s="1508"/>
      <c r="W1025" s="1508"/>
      <c r="X1025" s="1508"/>
      <c r="Y1025" s="1508"/>
      <c r="Z1025" s="1508"/>
      <c r="AA1025" s="1508"/>
      <c r="AB1025" s="1508"/>
      <c r="AC1025" s="1508"/>
      <c r="AD1025" s="1508"/>
      <c r="AE1025" s="1509"/>
      <c r="AF1025" s="1570" t="str">
        <f>IF(AG1024="yes","Enter Amount:","")</f>
        <v>Enter Amount:</v>
      </c>
      <c r="AG1025" s="1571"/>
      <c r="AH1025" s="1571"/>
      <c r="AI1025" s="1572"/>
      <c r="AJ1025" s="1429"/>
      <c r="AK1025" s="1430"/>
      <c r="AL1025" s="1430"/>
      <c r="AM1025" s="1430"/>
      <c r="AN1025" s="1430"/>
      <c r="AO1025" s="1430"/>
      <c r="AP1025" s="1430"/>
      <c r="AQ1025" s="1431"/>
      <c r="AR1025" s="68"/>
      <c r="AS1025" s="68"/>
      <c r="AT1025" s="68"/>
      <c r="AU1025" s="68"/>
      <c r="AV1025" s="68"/>
      <c r="AW1025" s="68"/>
      <c r="AX1025" s="68"/>
      <c r="AY1025" s="68"/>
    </row>
    <row r="1026" spans="1:51" ht="12.95" customHeight="1">
      <c r="A1026" s="14"/>
      <c r="B1026" s="73"/>
      <c r="C1026" s="74"/>
      <c r="D1026" s="1507"/>
      <c r="E1026" s="1508"/>
      <c r="F1026" s="1508"/>
      <c r="G1026" s="1508"/>
      <c r="H1026" s="1508"/>
      <c r="I1026" s="1508"/>
      <c r="J1026" s="1508"/>
      <c r="K1026" s="1508"/>
      <c r="L1026" s="1508"/>
      <c r="M1026" s="1508"/>
      <c r="N1026" s="1508"/>
      <c r="O1026" s="1508"/>
      <c r="P1026" s="1508"/>
      <c r="Q1026" s="1508"/>
      <c r="R1026" s="1508"/>
      <c r="S1026" s="1508"/>
      <c r="T1026" s="1508"/>
      <c r="U1026" s="1508"/>
      <c r="V1026" s="1508"/>
      <c r="W1026" s="1508"/>
      <c r="X1026" s="1508"/>
      <c r="Y1026" s="1508"/>
      <c r="Z1026" s="1508"/>
      <c r="AA1026" s="1508"/>
      <c r="AB1026" s="1508"/>
      <c r="AC1026" s="1508"/>
      <c r="AD1026" s="1508"/>
      <c r="AE1026" s="1509"/>
      <c r="AF1026" s="1538">
        <f>'Sources and Uses Budget'!B85</f>
        <v>2380393</v>
      </c>
      <c r="AG1026" s="1538"/>
      <c r="AH1026" s="1538"/>
      <c r="AI1026" s="1538"/>
      <c r="AJ1026" s="1429"/>
      <c r="AK1026" s="1430"/>
      <c r="AL1026" s="1430"/>
      <c r="AM1026" s="1430"/>
      <c r="AN1026" s="1430"/>
      <c r="AO1026" s="1430"/>
      <c r="AP1026" s="1430"/>
      <c r="AQ1026" s="1431"/>
      <c r="AR1026" s="68"/>
      <c r="AS1026" s="68"/>
      <c r="AT1026" s="68"/>
      <c r="AU1026" s="68"/>
      <c r="AV1026" s="68"/>
      <c r="AW1026" s="68"/>
      <c r="AX1026" s="68"/>
      <c r="AY1026" s="68"/>
    </row>
    <row r="1027" spans="1:51" ht="12.95" customHeight="1">
      <c r="A1027" s="14"/>
      <c r="B1027" s="85"/>
      <c r="C1027" s="84"/>
      <c r="D1027" s="1532"/>
      <c r="E1027" s="1533"/>
      <c r="F1027" s="1533"/>
      <c r="G1027" s="1533"/>
      <c r="H1027" s="1533"/>
      <c r="I1027" s="1533"/>
      <c r="J1027" s="1533"/>
      <c r="K1027" s="1533"/>
      <c r="L1027" s="1533"/>
      <c r="M1027" s="1533"/>
      <c r="N1027" s="1533"/>
      <c r="O1027" s="1533"/>
      <c r="P1027" s="1533"/>
      <c r="Q1027" s="1533"/>
      <c r="R1027" s="1533"/>
      <c r="S1027" s="1533"/>
      <c r="T1027" s="1533"/>
      <c r="U1027" s="1533"/>
      <c r="V1027" s="1533"/>
      <c r="W1027" s="1533"/>
      <c r="X1027" s="1533"/>
      <c r="Y1027" s="1533"/>
      <c r="Z1027" s="1533"/>
      <c r="AA1027" s="1533"/>
      <c r="AB1027" s="1533"/>
      <c r="AC1027" s="1533"/>
      <c r="AD1027" s="1533"/>
      <c r="AE1027" s="1534"/>
      <c r="AF1027" s="1538"/>
      <c r="AG1027" s="1538"/>
      <c r="AH1027" s="1538"/>
      <c r="AI1027" s="1538"/>
      <c r="AJ1027" s="1432"/>
      <c r="AK1027" s="1433"/>
      <c r="AL1027" s="1433"/>
      <c r="AM1027" s="1433"/>
      <c r="AN1027" s="1433"/>
      <c r="AO1027" s="1433"/>
      <c r="AP1027" s="1433"/>
      <c r="AQ1027" s="1434"/>
      <c r="AR1027" s="68"/>
      <c r="AS1027" s="68"/>
      <c r="AT1027" s="68"/>
      <c r="AU1027" s="68"/>
      <c r="AV1027" s="68"/>
      <c r="AW1027" s="68"/>
      <c r="AX1027" s="68"/>
      <c r="AY1027" s="68"/>
    </row>
    <row r="1028" spans="1:51" ht="12.95" customHeight="1">
      <c r="A1028" s="14"/>
      <c r="B1028" s="79"/>
      <c r="C1028" s="80" t="s">
        <v>234</v>
      </c>
      <c r="D1028" s="1529" t="s">
        <v>1404</v>
      </c>
      <c r="E1028" s="1530"/>
      <c r="F1028" s="1530"/>
      <c r="G1028" s="1530"/>
      <c r="H1028" s="1530"/>
      <c r="I1028" s="1530"/>
      <c r="J1028" s="1530"/>
      <c r="K1028" s="1530"/>
      <c r="L1028" s="1530"/>
      <c r="M1028" s="1530"/>
      <c r="N1028" s="1530"/>
      <c r="O1028" s="1530"/>
      <c r="P1028" s="1530"/>
      <c r="Q1028" s="1530"/>
      <c r="R1028" s="1530"/>
      <c r="S1028" s="1530"/>
      <c r="T1028" s="1530"/>
      <c r="U1028" s="1530"/>
      <c r="V1028" s="1530"/>
      <c r="W1028" s="1530"/>
      <c r="X1028" s="1530"/>
      <c r="Y1028" s="1530"/>
      <c r="Z1028" s="1530"/>
      <c r="AA1028" s="1530"/>
      <c r="AB1028" s="1530"/>
      <c r="AC1028" s="1530"/>
      <c r="AD1028" s="1530"/>
      <c r="AE1028" s="1531"/>
      <c r="AF1028" s="79"/>
      <c r="AG1028" s="1527" t="s">
        <v>552</v>
      </c>
      <c r="AH1028" s="1528"/>
      <c r="AI1028" s="87"/>
      <c r="AJ1028" s="1426">
        <f>ROUND(IF(AG1028="yes",(AJ991*0.1),0),0)</f>
        <v>6516742</v>
      </c>
      <c r="AK1028" s="1427"/>
      <c r="AL1028" s="1427"/>
      <c r="AM1028" s="1427"/>
      <c r="AN1028" s="1427"/>
      <c r="AO1028" s="1427"/>
      <c r="AP1028" s="1427"/>
      <c r="AQ1028" s="1428"/>
      <c r="AR1028" s="68"/>
      <c r="AS1028" s="68"/>
      <c r="AT1028" s="68"/>
      <c r="AU1028" s="68"/>
      <c r="AV1028" s="68"/>
      <c r="AW1028" s="68"/>
      <c r="AX1028" s="68"/>
      <c r="AY1028" s="68"/>
    </row>
    <row r="1029" spans="1:51" ht="12.95" customHeight="1">
      <c r="A1029" s="14"/>
      <c r="B1029" s="73"/>
      <c r="C1029" s="74"/>
      <c r="D1029" s="1507" t="s">
        <v>1405</v>
      </c>
      <c r="E1029" s="1508"/>
      <c r="F1029" s="1508"/>
      <c r="G1029" s="1508"/>
      <c r="H1029" s="1508"/>
      <c r="I1029" s="1508"/>
      <c r="J1029" s="1508"/>
      <c r="K1029" s="1508"/>
      <c r="L1029" s="1508"/>
      <c r="M1029" s="1508"/>
      <c r="N1029" s="1508"/>
      <c r="O1029" s="1508"/>
      <c r="P1029" s="1508"/>
      <c r="Q1029" s="1508"/>
      <c r="R1029" s="1508"/>
      <c r="S1029" s="1508"/>
      <c r="T1029" s="1508"/>
      <c r="U1029" s="1508"/>
      <c r="V1029" s="1508"/>
      <c r="W1029" s="1508"/>
      <c r="X1029" s="1508"/>
      <c r="Y1029" s="1508"/>
      <c r="Z1029" s="1508"/>
      <c r="AA1029" s="1508"/>
      <c r="AB1029" s="1508"/>
      <c r="AC1029" s="1508"/>
      <c r="AD1029" s="1508"/>
      <c r="AE1029" s="1509"/>
      <c r="AF1029" s="73"/>
      <c r="AG1029" s="14"/>
      <c r="AH1029" s="14"/>
      <c r="AI1029" s="83"/>
      <c r="AJ1029" s="1429"/>
      <c r="AK1029" s="1430"/>
      <c r="AL1029" s="1430"/>
      <c r="AM1029" s="1430"/>
      <c r="AN1029" s="1430"/>
      <c r="AO1029" s="1430"/>
      <c r="AP1029" s="1430"/>
      <c r="AQ1029" s="1431"/>
      <c r="AR1029" s="68"/>
      <c r="AS1029" s="68"/>
      <c r="AT1029" s="68"/>
      <c r="AU1029" s="68"/>
      <c r="AV1029" s="68"/>
      <c r="AW1029" s="68"/>
      <c r="AX1029" s="68"/>
      <c r="AY1029" s="68"/>
    </row>
    <row r="1030" spans="1:51" ht="12.95" customHeight="1">
      <c r="A1030" s="14"/>
      <c r="B1030" s="77"/>
      <c r="C1030" s="74"/>
      <c r="D1030" s="1532"/>
      <c r="E1030" s="1533"/>
      <c r="F1030" s="1533"/>
      <c r="G1030" s="1533"/>
      <c r="H1030" s="1533"/>
      <c r="I1030" s="1533"/>
      <c r="J1030" s="1533"/>
      <c r="K1030" s="1533"/>
      <c r="L1030" s="1533"/>
      <c r="M1030" s="1533"/>
      <c r="N1030" s="1533"/>
      <c r="O1030" s="1533"/>
      <c r="P1030" s="1533"/>
      <c r="Q1030" s="1533"/>
      <c r="R1030" s="1533"/>
      <c r="S1030" s="1533"/>
      <c r="T1030" s="1533"/>
      <c r="U1030" s="1533"/>
      <c r="V1030" s="1533"/>
      <c r="W1030" s="1533"/>
      <c r="X1030" s="1533"/>
      <c r="Y1030" s="1533"/>
      <c r="Z1030" s="1533"/>
      <c r="AA1030" s="1533"/>
      <c r="AB1030" s="1533"/>
      <c r="AC1030" s="1533"/>
      <c r="AD1030" s="1533"/>
      <c r="AE1030" s="1534"/>
      <c r="AF1030" s="73"/>
      <c r="AG1030" s="14"/>
      <c r="AH1030" s="14"/>
      <c r="AI1030" s="83"/>
      <c r="AJ1030" s="1432"/>
      <c r="AK1030" s="1433"/>
      <c r="AL1030" s="1433"/>
      <c r="AM1030" s="1433"/>
      <c r="AN1030" s="1433"/>
      <c r="AO1030" s="1433"/>
      <c r="AP1030" s="1433"/>
      <c r="AQ1030" s="1434"/>
      <c r="AR1030" s="68"/>
      <c r="AS1030" s="68"/>
      <c r="AT1030" s="68"/>
      <c r="AU1030" s="68"/>
      <c r="AV1030" s="68"/>
      <c r="AW1030" s="68"/>
      <c r="AX1030" s="68"/>
      <c r="AY1030" s="68"/>
    </row>
    <row r="1031" spans="1:51" ht="12.95" customHeight="1">
      <c r="A1031" s="14"/>
      <c r="B1031" s="73"/>
      <c r="C1031" s="367" t="s">
        <v>695</v>
      </c>
      <c r="D1031" s="1519" t="s">
        <v>1874</v>
      </c>
      <c r="E1031" s="1520"/>
      <c r="F1031" s="1520"/>
      <c r="G1031" s="1520"/>
      <c r="H1031" s="1520"/>
      <c r="I1031" s="1520"/>
      <c r="J1031" s="1520"/>
      <c r="K1031" s="1520"/>
      <c r="L1031" s="1520"/>
      <c r="M1031" s="1520"/>
      <c r="N1031" s="1520"/>
      <c r="O1031" s="1520"/>
      <c r="P1031" s="1520"/>
      <c r="Q1031" s="1520"/>
      <c r="R1031" s="1520"/>
      <c r="S1031" s="1520"/>
      <c r="T1031" s="1520"/>
      <c r="U1031" s="1520"/>
      <c r="V1031" s="1520"/>
      <c r="W1031" s="1520"/>
      <c r="X1031" s="1520"/>
      <c r="Y1031" s="1520"/>
      <c r="Z1031" s="1520"/>
      <c r="AA1031" s="1520"/>
      <c r="AB1031" s="1520"/>
      <c r="AC1031" s="1520"/>
      <c r="AD1031" s="1520"/>
      <c r="AE1031" s="1521"/>
      <c r="AF1031" s="79"/>
      <c r="AG1031" s="1527" t="s">
        <v>676</v>
      </c>
      <c r="AH1031" s="1528"/>
      <c r="AI1031" s="87"/>
      <c r="AJ1031" s="1426">
        <f>ROUND(IF(AG1031="yes",(AJ991*0.15),0),0)</f>
        <v>0</v>
      </c>
      <c r="AK1031" s="1427"/>
      <c r="AL1031" s="1427"/>
      <c r="AM1031" s="1427"/>
      <c r="AN1031" s="1427"/>
      <c r="AO1031" s="1427"/>
      <c r="AP1031" s="1427"/>
      <c r="AQ1031" s="1428"/>
      <c r="AR1031" s="68"/>
      <c r="AS1031" s="68"/>
      <c r="AT1031" s="68"/>
      <c r="AU1031" s="68"/>
      <c r="AV1031" s="68"/>
      <c r="AW1031" s="68"/>
      <c r="AX1031" s="68"/>
      <c r="AY1031" s="68"/>
    </row>
    <row r="1032" spans="1:51" ht="12.95" customHeight="1">
      <c r="A1032" s="14"/>
      <c r="B1032" s="73"/>
      <c r="C1032" s="74"/>
      <c r="D1032" s="1559" t="s">
        <v>1875</v>
      </c>
      <c r="E1032" s="1272"/>
      <c r="F1032" s="1272"/>
      <c r="G1032" s="1272"/>
      <c r="H1032" s="1272"/>
      <c r="I1032" s="1272"/>
      <c r="J1032" s="1272"/>
      <c r="K1032" s="1272"/>
      <c r="L1032" s="1272"/>
      <c r="M1032" s="1272"/>
      <c r="N1032" s="1272"/>
      <c r="O1032" s="1272"/>
      <c r="P1032" s="1272"/>
      <c r="Q1032" s="1272"/>
      <c r="R1032" s="1272"/>
      <c r="S1032" s="1272"/>
      <c r="T1032" s="1272"/>
      <c r="U1032" s="1272"/>
      <c r="V1032" s="1272"/>
      <c r="W1032" s="1272"/>
      <c r="X1032" s="1272"/>
      <c r="Y1032" s="1272"/>
      <c r="Z1032" s="1272"/>
      <c r="AA1032" s="1272"/>
      <c r="AB1032" s="1272"/>
      <c r="AC1032" s="1272"/>
      <c r="AD1032" s="1272"/>
      <c r="AE1032" s="1560"/>
      <c r="AF1032" s="950"/>
      <c r="AG1032" s="951"/>
      <c r="AH1032" s="951"/>
      <c r="AI1032" s="952"/>
      <c r="AJ1032" s="1429"/>
      <c r="AK1032" s="1430"/>
      <c r="AL1032" s="1430"/>
      <c r="AM1032" s="1430"/>
      <c r="AN1032" s="1430"/>
      <c r="AO1032" s="1430"/>
      <c r="AP1032" s="1430"/>
      <c r="AQ1032" s="1431"/>
      <c r="AR1032" s="68"/>
      <c r="AS1032" s="68"/>
      <c r="AT1032" s="68"/>
      <c r="AU1032" s="68"/>
      <c r="AV1032" s="68"/>
      <c r="AW1032" s="68"/>
      <c r="AX1032" s="68"/>
      <c r="AY1032" s="68"/>
    </row>
    <row r="1033" spans="1:51" ht="12.95" customHeight="1">
      <c r="A1033" s="14"/>
      <c r="B1033" s="73"/>
      <c r="C1033" s="74"/>
      <c r="D1033" s="1559"/>
      <c r="E1033" s="1272"/>
      <c r="F1033" s="1272"/>
      <c r="G1033" s="1272"/>
      <c r="H1033" s="1272"/>
      <c r="I1033" s="1272"/>
      <c r="J1033" s="1272"/>
      <c r="K1033" s="1272"/>
      <c r="L1033" s="1272"/>
      <c r="M1033" s="1272"/>
      <c r="N1033" s="1272"/>
      <c r="O1033" s="1272"/>
      <c r="P1033" s="1272"/>
      <c r="Q1033" s="1272"/>
      <c r="R1033" s="1272"/>
      <c r="S1033" s="1272"/>
      <c r="T1033" s="1272"/>
      <c r="U1033" s="1272"/>
      <c r="V1033" s="1272"/>
      <c r="W1033" s="1272"/>
      <c r="X1033" s="1272"/>
      <c r="Y1033" s="1272"/>
      <c r="Z1033" s="1272"/>
      <c r="AA1033" s="1272"/>
      <c r="AB1033" s="1272"/>
      <c r="AC1033" s="1272"/>
      <c r="AD1033" s="1272"/>
      <c r="AE1033" s="1560"/>
      <c r="AF1033" s="950"/>
      <c r="AG1033" s="951"/>
      <c r="AH1033" s="951"/>
      <c r="AI1033" s="952"/>
      <c r="AJ1033" s="1429"/>
      <c r="AK1033" s="1430"/>
      <c r="AL1033" s="1430"/>
      <c r="AM1033" s="1430"/>
      <c r="AN1033" s="1430"/>
      <c r="AO1033" s="1430"/>
      <c r="AP1033" s="1430"/>
      <c r="AQ1033" s="1431"/>
      <c r="AR1033" s="68"/>
      <c r="AS1033" s="68"/>
      <c r="AT1033" s="68"/>
      <c r="AU1033" s="68"/>
      <c r="AV1033" s="68"/>
      <c r="AW1033" s="68"/>
      <c r="AX1033" s="68"/>
      <c r="AY1033" s="68"/>
    </row>
    <row r="1034" spans="1:51" ht="12.95" customHeight="1">
      <c r="A1034" s="14"/>
      <c r="B1034" s="73"/>
      <c r="C1034" s="74"/>
      <c r="D1034" s="1561"/>
      <c r="E1034" s="1562"/>
      <c r="F1034" s="1562"/>
      <c r="G1034" s="1562"/>
      <c r="H1034" s="1562"/>
      <c r="I1034" s="1562"/>
      <c r="J1034" s="1562"/>
      <c r="K1034" s="1562"/>
      <c r="L1034" s="1562"/>
      <c r="M1034" s="1562"/>
      <c r="N1034" s="1562"/>
      <c r="O1034" s="1562"/>
      <c r="P1034" s="1562"/>
      <c r="Q1034" s="1562"/>
      <c r="R1034" s="1562"/>
      <c r="S1034" s="1562"/>
      <c r="T1034" s="1562"/>
      <c r="U1034" s="1562"/>
      <c r="V1034" s="1562"/>
      <c r="W1034" s="1562"/>
      <c r="X1034" s="1562"/>
      <c r="Y1034" s="1562"/>
      <c r="Z1034" s="1562"/>
      <c r="AA1034" s="1562"/>
      <c r="AB1034" s="1562"/>
      <c r="AC1034" s="1562"/>
      <c r="AD1034" s="1562"/>
      <c r="AE1034" s="1563"/>
      <c r="AF1034" s="953"/>
      <c r="AG1034" s="954"/>
      <c r="AH1034" s="954"/>
      <c r="AI1034" s="955"/>
      <c r="AJ1034" s="1432"/>
      <c r="AK1034" s="1433"/>
      <c r="AL1034" s="1433"/>
      <c r="AM1034" s="1433"/>
      <c r="AN1034" s="1433"/>
      <c r="AO1034" s="1433"/>
      <c r="AP1034" s="1433"/>
      <c r="AQ1034" s="1434"/>
      <c r="AR1034" s="68"/>
      <c r="AS1034" s="68"/>
      <c r="AT1034" s="68"/>
      <c r="AU1034" s="68"/>
      <c r="AV1034" s="68"/>
      <c r="AW1034" s="68"/>
      <c r="AX1034" s="68"/>
      <c r="AY1034" s="68"/>
    </row>
    <row r="1035" spans="1:51" ht="12.95" customHeight="1">
      <c r="A1035" s="14"/>
      <c r="B1035" s="73"/>
      <c r="C1035" s="367" t="s">
        <v>695</v>
      </c>
      <c r="D1035" s="1529" t="s">
        <v>1876</v>
      </c>
      <c r="E1035" s="1530"/>
      <c r="F1035" s="1530"/>
      <c r="G1035" s="1530"/>
      <c r="H1035" s="1530"/>
      <c r="I1035" s="1530"/>
      <c r="J1035" s="1530"/>
      <c r="K1035" s="1530"/>
      <c r="L1035" s="1530"/>
      <c r="M1035" s="1530"/>
      <c r="N1035" s="1530"/>
      <c r="O1035" s="1530"/>
      <c r="P1035" s="1530"/>
      <c r="Q1035" s="1530"/>
      <c r="R1035" s="1530"/>
      <c r="S1035" s="1530"/>
      <c r="T1035" s="1530"/>
      <c r="U1035" s="1530"/>
      <c r="V1035" s="1530"/>
      <c r="W1035" s="1530"/>
      <c r="X1035" s="1530"/>
      <c r="Y1035" s="1530"/>
      <c r="Z1035" s="1530"/>
      <c r="AA1035" s="1530"/>
      <c r="AB1035" s="1530"/>
      <c r="AC1035" s="1530"/>
      <c r="AD1035" s="1530"/>
      <c r="AE1035" s="1531"/>
      <c r="AF1035" s="73"/>
      <c r="AG1035" s="1616" t="s">
        <v>552</v>
      </c>
      <c r="AH1035" s="1617"/>
      <c r="AI1035" s="83"/>
      <c r="AJ1035" s="1426">
        <f>ROUND(IF(AND(AG1035="yes",AJ1031=0),(AJ991*0.1),0),0)</f>
        <v>6516742</v>
      </c>
      <c r="AK1035" s="1427"/>
      <c r="AL1035" s="1427"/>
      <c r="AM1035" s="1427"/>
      <c r="AN1035" s="1427"/>
      <c r="AO1035" s="1427"/>
      <c r="AP1035" s="1427"/>
      <c r="AQ1035" s="1428"/>
      <c r="AR1035" s="68"/>
      <c r="AS1035" s="68"/>
      <c r="AT1035" s="68"/>
      <c r="AU1035" s="68"/>
      <c r="AV1035" s="68"/>
      <c r="AW1035" s="68"/>
      <c r="AX1035" s="68"/>
      <c r="AY1035" s="68"/>
    </row>
    <row r="1036" spans="1:51" ht="12.95" customHeight="1">
      <c r="A1036" s="14"/>
      <c r="B1036" s="73"/>
      <c r="C1036" s="74"/>
      <c r="D1036" s="1559" t="s">
        <v>1877</v>
      </c>
      <c r="E1036" s="1272"/>
      <c r="F1036" s="1272"/>
      <c r="G1036" s="1272"/>
      <c r="H1036" s="1272"/>
      <c r="I1036" s="1272"/>
      <c r="J1036" s="1272"/>
      <c r="K1036" s="1272"/>
      <c r="L1036" s="1272"/>
      <c r="M1036" s="1272"/>
      <c r="N1036" s="1272"/>
      <c r="O1036" s="1272"/>
      <c r="P1036" s="1272"/>
      <c r="Q1036" s="1272"/>
      <c r="R1036" s="1272"/>
      <c r="S1036" s="1272"/>
      <c r="T1036" s="1272"/>
      <c r="U1036" s="1272"/>
      <c r="V1036" s="1272"/>
      <c r="W1036" s="1272"/>
      <c r="X1036" s="1272"/>
      <c r="Y1036" s="1272"/>
      <c r="Z1036" s="1272"/>
      <c r="AA1036" s="1272"/>
      <c r="AB1036" s="1272"/>
      <c r="AC1036" s="1272"/>
      <c r="AD1036" s="1272"/>
      <c r="AE1036" s="1560"/>
      <c r="AF1036" s="73"/>
      <c r="AG1036" s="14"/>
      <c r="AH1036" s="14"/>
      <c r="AI1036" s="83"/>
      <c r="AJ1036" s="1429"/>
      <c r="AK1036" s="1430"/>
      <c r="AL1036" s="1430"/>
      <c r="AM1036" s="1430"/>
      <c r="AN1036" s="1430"/>
      <c r="AO1036" s="1430"/>
      <c r="AP1036" s="1430"/>
      <c r="AQ1036" s="1431"/>
      <c r="AR1036" s="68"/>
      <c r="AS1036" s="68"/>
      <c r="AT1036" s="68"/>
      <c r="AU1036" s="68"/>
      <c r="AV1036" s="68"/>
      <c r="AW1036" s="68"/>
      <c r="AX1036" s="68"/>
      <c r="AY1036" s="68"/>
    </row>
    <row r="1037" spans="1:51" ht="12.95" customHeight="1">
      <c r="A1037" s="14"/>
      <c r="B1037" s="73"/>
      <c r="C1037" s="74"/>
      <c r="D1037" s="1559"/>
      <c r="E1037" s="1272"/>
      <c r="F1037" s="1272"/>
      <c r="G1037" s="1272"/>
      <c r="H1037" s="1272"/>
      <c r="I1037" s="1272"/>
      <c r="J1037" s="1272"/>
      <c r="K1037" s="1272"/>
      <c r="L1037" s="1272"/>
      <c r="M1037" s="1272"/>
      <c r="N1037" s="1272"/>
      <c r="O1037" s="1272"/>
      <c r="P1037" s="1272"/>
      <c r="Q1037" s="1272"/>
      <c r="R1037" s="1272"/>
      <c r="S1037" s="1272"/>
      <c r="T1037" s="1272"/>
      <c r="U1037" s="1272"/>
      <c r="V1037" s="1272"/>
      <c r="W1037" s="1272"/>
      <c r="X1037" s="1272"/>
      <c r="Y1037" s="1272"/>
      <c r="Z1037" s="1272"/>
      <c r="AA1037" s="1272"/>
      <c r="AB1037" s="1272"/>
      <c r="AC1037" s="1272"/>
      <c r="AD1037" s="1272"/>
      <c r="AE1037" s="1560"/>
      <c r="AF1037" s="73"/>
      <c r="AG1037" s="14"/>
      <c r="AH1037" s="14"/>
      <c r="AI1037" s="83"/>
      <c r="AJ1037" s="1429"/>
      <c r="AK1037" s="1430"/>
      <c r="AL1037" s="1430"/>
      <c r="AM1037" s="1430"/>
      <c r="AN1037" s="1430"/>
      <c r="AO1037" s="1430"/>
      <c r="AP1037" s="1430"/>
      <c r="AQ1037" s="1431"/>
      <c r="AR1037" s="68"/>
      <c r="AS1037" s="68"/>
      <c r="AT1037" s="68"/>
      <c r="AU1037" s="68"/>
      <c r="AV1037" s="68"/>
      <c r="AW1037" s="68"/>
      <c r="AX1037" s="68"/>
      <c r="AY1037" s="68"/>
    </row>
    <row r="1038" spans="1:51" ht="12.95" customHeight="1">
      <c r="A1038" s="14"/>
      <c r="B1038" s="73"/>
      <c r="C1038" s="74"/>
      <c r="D1038" s="1559"/>
      <c r="E1038" s="1272"/>
      <c r="F1038" s="1272"/>
      <c r="G1038" s="1272"/>
      <c r="H1038" s="1272"/>
      <c r="I1038" s="1272"/>
      <c r="J1038" s="1272"/>
      <c r="K1038" s="1272"/>
      <c r="L1038" s="1272"/>
      <c r="M1038" s="1272"/>
      <c r="N1038" s="1272"/>
      <c r="O1038" s="1272"/>
      <c r="P1038" s="1272"/>
      <c r="Q1038" s="1272"/>
      <c r="R1038" s="1272"/>
      <c r="S1038" s="1272"/>
      <c r="T1038" s="1272"/>
      <c r="U1038" s="1272"/>
      <c r="V1038" s="1272"/>
      <c r="W1038" s="1272"/>
      <c r="X1038" s="1272"/>
      <c r="Y1038" s="1272"/>
      <c r="Z1038" s="1272"/>
      <c r="AA1038" s="1272"/>
      <c r="AB1038" s="1272"/>
      <c r="AC1038" s="1272"/>
      <c r="AD1038" s="1272"/>
      <c r="AE1038" s="1560"/>
      <c r="AF1038" s="73"/>
      <c r="AG1038" s="14"/>
      <c r="AH1038" s="14"/>
      <c r="AI1038" s="83"/>
      <c r="AJ1038" s="1429"/>
      <c r="AK1038" s="1430"/>
      <c r="AL1038" s="1430"/>
      <c r="AM1038" s="1430"/>
      <c r="AN1038" s="1430"/>
      <c r="AO1038" s="1430"/>
      <c r="AP1038" s="1430"/>
      <c r="AQ1038" s="1431"/>
      <c r="AR1038" s="68"/>
      <c r="AS1038" s="68"/>
      <c r="AT1038" s="68"/>
      <c r="AU1038" s="68"/>
      <c r="AV1038" s="68"/>
      <c r="AW1038" s="68"/>
      <c r="AX1038" s="68"/>
      <c r="AY1038" s="68"/>
    </row>
    <row r="1039" spans="1:51" ht="12.95" customHeight="1">
      <c r="A1039" s="14"/>
      <c r="B1039" s="73"/>
      <c r="C1039" s="74"/>
      <c r="D1039" s="1561"/>
      <c r="E1039" s="1562"/>
      <c r="F1039" s="1562"/>
      <c r="G1039" s="1562"/>
      <c r="H1039" s="1562"/>
      <c r="I1039" s="1562"/>
      <c r="J1039" s="1562"/>
      <c r="K1039" s="1562"/>
      <c r="L1039" s="1562"/>
      <c r="M1039" s="1562"/>
      <c r="N1039" s="1562"/>
      <c r="O1039" s="1562"/>
      <c r="P1039" s="1562"/>
      <c r="Q1039" s="1562"/>
      <c r="R1039" s="1562"/>
      <c r="S1039" s="1562"/>
      <c r="T1039" s="1562"/>
      <c r="U1039" s="1562"/>
      <c r="V1039" s="1562"/>
      <c r="W1039" s="1562"/>
      <c r="X1039" s="1562"/>
      <c r="Y1039" s="1562"/>
      <c r="Z1039" s="1562"/>
      <c r="AA1039" s="1562"/>
      <c r="AB1039" s="1562"/>
      <c r="AC1039" s="1562"/>
      <c r="AD1039" s="1562"/>
      <c r="AE1039" s="1563"/>
      <c r="AF1039" s="73"/>
      <c r="AG1039" s="14"/>
      <c r="AH1039" s="14"/>
      <c r="AI1039" s="83"/>
      <c r="AJ1039" s="1429"/>
      <c r="AK1039" s="1430"/>
      <c r="AL1039" s="1430"/>
      <c r="AM1039" s="1430"/>
      <c r="AN1039" s="1430"/>
      <c r="AO1039" s="1430"/>
      <c r="AP1039" s="1430"/>
      <c r="AQ1039" s="1431"/>
      <c r="AR1039" s="68"/>
      <c r="AS1039" s="68"/>
      <c r="AT1039" s="68"/>
      <c r="AU1039" s="68"/>
      <c r="AV1039" s="68"/>
      <c r="AW1039" s="68"/>
      <c r="AX1039" s="68"/>
      <c r="AY1039" s="68"/>
    </row>
    <row r="1040" spans="1:51" ht="12.95" customHeight="1">
      <c r="A1040" s="14"/>
      <c r="B1040" s="79"/>
      <c r="C1040" s="131" t="s">
        <v>1032</v>
      </c>
      <c r="D1040" s="1519" t="s">
        <v>1406</v>
      </c>
      <c r="E1040" s="1520"/>
      <c r="F1040" s="1520"/>
      <c r="G1040" s="1520"/>
      <c r="H1040" s="1520"/>
      <c r="I1040" s="1520"/>
      <c r="J1040" s="1520"/>
      <c r="K1040" s="1520"/>
      <c r="L1040" s="1520"/>
      <c r="M1040" s="1520"/>
      <c r="N1040" s="1520"/>
      <c r="O1040" s="1520"/>
      <c r="P1040" s="1520"/>
      <c r="Q1040" s="1520"/>
      <c r="R1040" s="1520"/>
      <c r="S1040" s="1520"/>
      <c r="T1040" s="1520"/>
      <c r="U1040" s="1520"/>
      <c r="V1040" s="1520"/>
      <c r="W1040" s="1520"/>
      <c r="X1040" s="1520"/>
      <c r="Y1040" s="1520"/>
      <c r="Z1040" s="1520"/>
      <c r="AA1040" s="1520"/>
      <c r="AB1040" s="1520"/>
      <c r="AC1040" s="1520"/>
      <c r="AD1040" s="1520"/>
      <c r="AE1040" s="1521"/>
      <c r="AF1040" s="79"/>
      <c r="AG1040" s="1527" t="s">
        <v>676</v>
      </c>
      <c r="AH1040" s="1528"/>
      <c r="AI1040" s="87"/>
      <c r="AJ1040" s="1426">
        <f>ROUND(IF(AG1040="yes",(AJ991*0.1),0),0)</f>
        <v>0</v>
      </c>
      <c r="AK1040" s="1427"/>
      <c r="AL1040" s="1427"/>
      <c r="AM1040" s="1427"/>
      <c r="AN1040" s="1427"/>
      <c r="AO1040" s="1427"/>
      <c r="AP1040" s="1427"/>
      <c r="AQ1040" s="1428"/>
      <c r="AR1040" s="68"/>
      <c r="AS1040" s="68"/>
      <c r="AT1040" s="68"/>
      <c r="AU1040" s="68"/>
      <c r="AV1040" s="68"/>
      <c r="AW1040" s="68"/>
      <c r="AX1040" s="68"/>
      <c r="AY1040" s="68"/>
    </row>
    <row r="1041" spans="1:51" ht="12.95" customHeight="1">
      <c r="A1041" s="14"/>
      <c r="B1041" s="73"/>
      <c r="C1041" s="74"/>
      <c r="D1041" s="1507" t="s">
        <v>2502</v>
      </c>
      <c r="E1041" s="1508"/>
      <c r="F1041" s="1508"/>
      <c r="G1041" s="1508"/>
      <c r="H1041" s="1508"/>
      <c r="I1041" s="1508"/>
      <c r="J1041" s="1508"/>
      <c r="K1041" s="1508"/>
      <c r="L1041" s="1508"/>
      <c r="M1041" s="1508"/>
      <c r="N1041" s="1508"/>
      <c r="O1041" s="1508"/>
      <c r="P1041" s="1508"/>
      <c r="Q1041" s="1508"/>
      <c r="R1041" s="1508"/>
      <c r="S1041" s="1508"/>
      <c r="T1041" s="1508"/>
      <c r="U1041" s="1508"/>
      <c r="V1041" s="1508"/>
      <c r="W1041" s="1508"/>
      <c r="X1041" s="1508"/>
      <c r="Y1041" s="1508"/>
      <c r="Z1041" s="1508"/>
      <c r="AA1041" s="1508"/>
      <c r="AB1041" s="1508"/>
      <c r="AC1041" s="1508"/>
      <c r="AD1041" s="1508"/>
      <c r="AE1041" s="1509"/>
      <c r="AF1041" s="73"/>
      <c r="AG1041" s="14"/>
      <c r="AH1041" s="14"/>
      <c r="AI1041" s="83"/>
      <c r="AJ1041" s="1429"/>
      <c r="AK1041" s="1430"/>
      <c r="AL1041" s="1430"/>
      <c r="AM1041" s="1430"/>
      <c r="AN1041" s="1430"/>
      <c r="AO1041" s="1430"/>
      <c r="AP1041" s="1430"/>
      <c r="AQ1041" s="1431"/>
      <c r="AR1041" s="68"/>
      <c r="AS1041" s="68"/>
      <c r="AT1041" s="68"/>
      <c r="AU1041" s="68"/>
      <c r="AV1041" s="68"/>
      <c r="AW1041" s="68"/>
      <c r="AX1041" s="68"/>
      <c r="AY1041" s="68"/>
    </row>
    <row r="1042" spans="1:51" ht="12.95" customHeight="1">
      <c r="A1042" s="14"/>
      <c r="B1042" s="73"/>
      <c r="C1042" s="74"/>
      <c r="D1042" s="1507"/>
      <c r="E1042" s="1508"/>
      <c r="F1042" s="1508"/>
      <c r="G1042" s="1508"/>
      <c r="H1042" s="1508"/>
      <c r="I1042" s="1508"/>
      <c r="J1042" s="1508"/>
      <c r="K1042" s="1508"/>
      <c r="L1042" s="1508"/>
      <c r="M1042" s="1508"/>
      <c r="N1042" s="1508"/>
      <c r="O1042" s="1508"/>
      <c r="P1042" s="1508"/>
      <c r="Q1042" s="1508"/>
      <c r="R1042" s="1508"/>
      <c r="S1042" s="1508"/>
      <c r="T1042" s="1508"/>
      <c r="U1042" s="1508"/>
      <c r="V1042" s="1508"/>
      <c r="W1042" s="1508"/>
      <c r="X1042" s="1508"/>
      <c r="Y1042" s="1508"/>
      <c r="Z1042" s="1508"/>
      <c r="AA1042" s="1508"/>
      <c r="AB1042" s="1508"/>
      <c r="AC1042" s="1508"/>
      <c r="AD1042" s="1508"/>
      <c r="AE1042" s="1509"/>
      <c r="AF1042" s="73"/>
      <c r="AG1042" s="14"/>
      <c r="AH1042" s="14"/>
      <c r="AI1042" s="83"/>
      <c r="AJ1042" s="1429"/>
      <c r="AK1042" s="1430"/>
      <c r="AL1042" s="1430"/>
      <c r="AM1042" s="1430"/>
      <c r="AN1042" s="1430"/>
      <c r="AO1042" s="1430"/>
      <c r="AP1042" s="1430"/>
      <c r="AQ1042" s="1431"/>
      <c r="AR1042" s="68"/>
      <c r="AS1042" s="68"/>
      <c r="AT1042" s="68"/>
      <c r="AU1042" s="68"/>
      <c r="AV1042" s="68"/>
      <c r="AW1042" s="68"/>
      <c r="AX1042" s="68"/>
      <c r="AY1042" s="68"/>
    </row>
    <row r="1043" spans="1:51" ht="12.95" customHeight="1">
      <c r="A1043" s="14"/>
      <c r="B1043" s="73"/>
      <c r="C1043" s="74"/>
      <c r="D1043" s="1532"/>
      <c r="E1043" s="1533"/>
      <c r="F1043" s="1533"/>
      <c r="G1043" s="1533"/>
      <c r="H1043" s="1533"/>
      <c r="I1043" s="1533"/>
      <c r="J1043" s="1533"/>
      <c r="K1043" s="1533"/>
      <c r="L1043" s="1533"/>
      <c r="M1043" s="1533"/>
      <c r="N1043" s="1533"/>
      <c r="O1043" s="1533"/>
      <c r="P1043" s="1533"/>
      <c r="Q1043" s="1533"/>
      <c r="R1043" s="1533"/>
      <c r="S1043" s="1533"/>
      <c r="T1043" s="1533"/>
      <c r="U1043" s="1533"/>
      <c r="V1043" s="1533"/>
      <c r="W1043" s="1533"/>
      <c r="X1043" s="1533"/>
      <c r="Y1043" s="1533"/>
      <c r="Z1043" s="1533"/>
      <c r="AA1043" s="1533"/>
      <c r="AB1043" s="1533"/>
      <c r="AC1043" s="1533"/>
      <c r="AD1043" s="1533"/>
      <c r="AE1043" s="1534"/>
      <c r="AF1043" s="73"/>
      <c r="AG1043" s="14"/>
      <c r="AH1043" s="14"/>
      <c r="AI1043" s="83"/>
      <c r="AJ1043" s="1432"/>
      <c r="AK1043" s="1433"/>
      <c r="AL1043" s="1433"/>
      <c r="AM1043" s="1433"/>
      <c r="AN1043" s="1433"/>
      <c r="AO1043" s="1433"/>
      <c r="AP1043" s="1433"/>
      <c r="AQ1043" s="1434"/>
      <c r="AR1043" s="68"/>
      <c r="AS1043" s="68"/>
      <c r="AT1043" s="68"/>
      <c r="AU1043" s="68"/>
      <c r="AV1043" s="68"/>
      <c r="AW1043" s="68"/>
      <c r="AX1043" s="68"/>
      <c r="AY1043" s="68"/>
    </row>
    <row r="1044" spans="1:51" ht="12.95" customHeight="1">
      <c r="A1044" s="14"/>
      <c r="B1044" s="79"/>
      <c r="C1044" s="131" t="s">
        <v>1872</v>
      </c>
      <c r="D1044" s="1529" t="s">
        <v>2054</v>
      </c>
      <c r="E1044" s="1530"/>
      <c r="F1044" s="1530"/>
      <c r="G1044" s="1530"/>
      <c r="H1044" s="1530"/>
      <c r="I1044" s="1530"/>
      <c r="J1044" s="1530"/>
      <c r="K1044" s="1530"/>
      <c r="L1044" s="1530"/>
      <c r="M1044" s="1530"/>
      <c r="N1044" s="1530"/>
      <c r="O1044" s="1530"/>
      <c r="P1044" s="1530"/>
      <c r="Q1044" s="1530"/>
      <c r="R1044" s="1530"/>
      <c r="S1044" s="1530"/>
      <c r="T1044" s="1530"/>
      <c r="U1044" s="1530"/>
      <c r="V1044" s="1530"/>
      <c r="W1044" s="1530"/>
      <c r="X1044" s="1530"/>
      <c r="Y1044" s="1530"/>
      <c r="Z1044" s="1530"/>
      <c r="AA1044" s="1530"/>
      <c r="AB1044" s="1530"/>
      <c r="AC1044" s="1530"/>
      <c r="AD1044" s="1530"/>
      <c r="AE1044" s="1531"/>
      <c r="AF1044" s="79"/>
      <c r="AG1044" s="1602" t="str">
        <f>IF(X1047&gt;0,"Yes","No")</f>
        <v>Yes</v>
      </c>
      <c r="AH1044" s="1603"/>
      <c r="AI1044" s="87"/>
      <c r="AJ1044" s="1426">
        <f>IF((X1047=0),0,AY1004*AJ991)</f>
        <v>30628688.34</v>
      </c>
      <c r="AK1044" s="1427"/>
      <c r="AL1044" s="1427"/>
      <c r="AM1044" s="1427"/>
      <c r="AN1044" s="1427"/>
      <c r="AO1044" s="1427"/>
      <c r="AP1044" s="1427"/>
      <c r="AQ1044" s="1428"/>
      <c r="AR1044" s="68"/>
      <c r="AS1044" s="68"/>
      <c r="AT1044" s="68"/>
      <c r="AU1044" s="68"/>
      <c r="AV1044" s="68"/>
      <c r="AW1044" s="68"/>
      <c r="AX1044" s="68"/>
      <c r="AY1044" s="68"/>
    </row>
    <row r="1045" spans="1:51" ht="12.95" customHeight="1">
      <c r="A1045" s="14"/>
      <c r="B1045" s="73"/>
      <c r="C1045" s="476"/>
      <c r="D1045" s="1507" t="s">
        <v>1408</v>
      </c>
      <c r="E1045" s="1508"/>
      <c r="F1045" s="1508"/>
      <c r="G1045" s="1508"/>
      <c r="H1045" s="1508"/>
      <c r="I1045" s="1508"/>
      <c r="J1045" s="1508"/>
      <c r="K1045" s="1508"/>
      <c r="L1045" s="1508"/>
      <c r="M1045" s="1508"/>
      <c r="N1045" s="1508"/>
      <c r="O1045" s="1508"/>
      <c r="P1045" s="1508"/>
      <c r="Q1045" s="1508"/>
      <c r="R1045" s="1508"/>
      <c r="S1045" s="1508"/>
      <c r="T1045" s="1508"/>
      <c r="U1045" s="1508"/>
      <c r="V1045" s="1508"/>
      <c r="W1045" s="1508"/>
      <c r="X1045" s="1508"/>
      <c r="Y1045" s="1508"/>
      <c r="Z1045" s="1508"/>
      <c r="AA1045" s="1508"/>
      <c r="AB1045" s="1508"/>
      <c r="AC1045" s="1508"/>
      <c r="AD1045" s="1508"/>
      <c r="AE1045" s="1509"/>
      <c r="AF1045" s="73"/>
      <c r="AG1045" s="477"/>
      <c r="AH1045" s="477"/>
      <c r="AI1045" s="83"/>
      <c r="AJ1045" s="1429"/>
      <c r="AK1045" s="1430"/>
      <c r="AL1045" s="1430"/>
      <c r="AM1045" s="1430"/>
      <c r="AN1045" s="1430"/>
      <c r="AO1045" s="1430"/>
      <c r="AP1045" s="1430"/>
      <c r="AQ1045" s="1431"/>
      <c r="AR1045" s="68"/>
      <c r="AS1045" s="68"/>
      <c r="AT1045" s="68"/>
      <c r="AU1045" s="13"/>
      <c r="AV1045" s="68"/>
      <c r="AW1045" s="68"/>
      <c r="AX1045" s="68"/>
      <c r="AY1045" s="68"/>
    </row>
    <row r="1046" spans="1:51" ht="12.95" customHeight="1">
      <c r="A1046" s="14"/>
      <c r="B1046" s="73"/>
      <c r="C1046" s="476"/>
      <c r="D1046" s="1507"/>
      <c r="E1046" s="1508"/>
      <c r="F1046" s="1508"/>
      <c r="G1046" s="1508"/>
      <c r="H1046" s="1508"/>
      <c r="I1046" s="1508"/>
      <c r="J1046" s="1508"/>
      <c r="K1046" s="1508"/>
      <c r="L1046" s="1508"/>
      <c r="M1046" s="1508"/>
      <c r="N1046" s="1508"/>
      <c r="O1046" s="1508"/>
      <c r="P1046" s="1508"/>
      <c r="Q1046" s="1508"/>
      <c r="R1046" s="1508"/>
      <c r="S1046" s="1508"/>
      <c r="T1046" s="1508"/>
      <c r="U1046" s="1508"/>
      <c r="V1046" s="1508"/>
      <c r="W1046" s="1508"/>
      <c r="X1046" s="1508"/>
      <c r="Y1046" s="1508"/>
      <c r="Z1046" s="1508"/>
      <c r="AA1046" s="1508"/>
      <c r="AB1046" s="1508"/>
      <c r="AC1046" s="1508"/>
      <c r="AD1046" s="1508"/>
      <c r="AE1046" s="1509"/>
      <c r="AF1046" s="73"/>
      <c r="AG1046" s="477"/>
      <c r="AH1046" s="477"/>
      <c r="AI1046" s="83"/>
      <c r="AJ1046" s="1429"/>
      <c r="AK1046" s="1430"/>
      <c r="AL1046" s="1430"/>
      <c r="AM1046" s="1430"/>
      <c r="AN1046" s="1430"/>
      <c r="AO1046" s="1430"/>
      <c r="AP1046" s="1430"/>
      <c r="AQ1046" s="1431"/>
      <c r="AR1046" s="68"/>
      <c r="AS1046" s="68"/>
      <c r="AT1046" s="68"/>
      <c r="AU1046" s="13"/>
      <c r="AV1046" s="68"/>
      <c r="AW1046" s="68"/>
      <c r="AX1046" s="68"/>
      <c r="AY1046" s="68"/>
    </row>
    <row r="1047" spans="1:51" ht="12.95" customHeight="1">
      <c r="A1047" s="14"/>
      <c r="B1047" s="77"/>
      <c r="C1047" s="78"/>
      <c r="D1047" s="132" t="s">
        <v>989</v>
      </c>
      <c r="E1047" s="133"/>
      <c r="F1047" s="133"/>
      <c r="G1047" s="133"/>
      <c r="H1047" s="133"/>
      <c r="I1047" s="1614">
        <f>AY1002</f>
        <v>123</v>
      </c>
      <c r="J1047" s="1615"/>
      <c r="K1047" s="7"/>
      <c r="L1047" s="133"/>
      <c r="M1047" s="133"/>
      <c r="N1047" s="133"/>
      <c r="O1047" s="133"/>
      <c r="P1047" s="133"/>
      <c r="Q1047" s="133"/>
      <c r="R1047" s="133"/>
      <c r="S1047" s="133"/>
      <c r="T1047" s="133"/>
      <c r="U1047" s="133"/>
      <c r="V1047" s="134" t="s">
        <v>990</v>
      </c>
      <c r="W1047" s="48"/>
      <c r="X1047" s="1612">
        <f>BG632</f>
        <v>59</v>
      </c>
      <c r="Y1047" s="1613"/>
      <c r="Z1047" s="48"/>
      <c r="AA1047" s="48"/>
      <c r="AB1047" s="48"/>
      <c r="AC1047" s="48"/>
      <c r="AD1047" s="48"/>
      <c r="AE1047" s="49"/>
      <c r="AF1047" s="959"/>
      <c r="AG1047" s="960"/>
      <c r="AH1047" s="960"/>
      <c r="AI1047" s="961"/>
      <c r="AJ1047" s="1432"/>
      <c r="AK1047" s="1433"/>
      <c r="AL1047" s="1433"/>
      <c r="AM1047" s="1433"/>
      <c r="AN1047" s="1433"/>
      <c r="AO1047" s="1433"/>
      <c r="AP1047" s="1433"/>
      <c r="AQ1047" s="1434"/>
      <c r="AR1047" s="68"/>
      <c r="AS1047" s="68"/>
      <c r="AT1047" s="68"/>
      <c r="AU1047" s="14"/>
      <c r="AV1047" s="68"/>
      <c r="AW1047" s="68"/>
      <c r="AX1047" s="68"/>
      <c r="AY1047" s="68"/>
    </row>
    <row r="1048" spans="1:51" ht="12.95" customHeight="1">
      <c r="A1048" s="14"/>
      <c r="B1048" s="79"/>
      <c r="C1048" s="131" t="s">
        <v>1873</v>
      </c>
      <c r="D1048" s="1519" t="s">
        <v>2533</v>
      </c>
      <c r="E1048" s="1520"/>
      <c r="F1048" s="1520"/>
      <c r="G1048" s="1520"/>
      <c r="H1048" s="1520"/>
      <c r="I1048" s="1520"/>
      <c r="J1048" s="1520"/>
      <c r="K1048" s="1520"/>
      <c r="L1048" s="1520"/>
      <c r="M1048" s="1520"/>
      <c r="N1048" s="1520"/>
      <c r="O1048" s="1520"/>
      <c r="P1048" s="1520"/>
      <c r="Q1048" s="1520"/>
      <c r="R1048" s="1520"/>
      <c r="S1048" s="1520"/>
      <c r="T1048" s="1520"/>
      <c r="U1048" s="1520"/>
      <c r="V1048" s="1520"/>
      <c r="W1048" s="1520"/>
      <c r="X1048" s="1520"/>
      <c r="Y1048" s="1520"/>
      <c r="Z1048" s="1520"/>
      <c r="AA1048" s="1520"/>
      <c r="AB1048" s="1520"/>
      <c r="AC1048" s="1520"/>
      <c r="AD1048" s="1520"/>
      <c r="AE1048" s="1521"/>
      <c r="AF1048" s="73"/>
      <c r="AG1048" s="1602" t="str">
        <f>IF(X1051&gt;0,"Yes","No")</f>
        <v>Yes</v>
      </c>
      <c r="AH1048" s="1603"/>
      <c r="AI1048" s="83"/>
      <c r="AJ1048" s="1426">
        <f>IF((X1051=0),0,(2*AY1005)*AJ991)</f>
        <v>19550226.599999998</v>
      </c>
      <c r="AK1048" s="1427"/>
      <c r="AL1048" s="1427"/>
      <c r="AM1048" s="1427"/>
      <c r="AN1048" s="1427"/>
      <c r="AO1048" s="1427"/>
      <c r="AP1048" s="1427"/>
      <c r="AQ1048" s="1428"/>
      <c r="AR1048" s="68"/>
      <c r="AS1048" s="68"/>
      <c r="AT1048" s="68"/>
      <c r="AU1048" s="14"/>
      <c r="AV1048" s="68"/>
      <c r="AW1048" s="68"/>
      <c r="AX1048" s="68"/>
      <c r="AY1048" s="68"/>
    </row>
    <row r="1049" spans="1:51" ht="12.95" customHeight="1">
      <c r="A1049" s="14"/>
      <c r="B1049" s="73"/>
      <c r="C1049" s="476"/>
      <c r="D1049" s="1507" t="s">
        <v>1407</v>
      </c>
      <c r="E1049" s="1508"/>
      <c r="F1049" s="1508"/>
      <c r="G1049" s="1508"/>
      <c r="H1049" s="1508"/>
      <c r="I1049" s="1508"/>
      <c r="J1049" s="1508"/>
      <c r="K1049" s="1508"/>
      <c r="L1049" s="1508"/>
      <c r="M1049" s="1508"/>
      <c r="N1049" s="1508"/>
      <c r="O1049" s="1508"/>
      <c r="P1049" s="1508"/>
      <c r="Q1049" s="1508"/>
      <c r="R1049" s="1508"/>
      <c r="S1049" s="1508"/>
      <c r="T1049" s="1508"/>
      <c r="U1049" s="1508"/>
      <c r="V1049" s="1508"/>
      <c r="W1049" s="1508"/>
      <c r="X1049" s="1508"/>
      <c r="Y1049" s="1508"/>
      <c r="Z1049" s="1508"/>
      <c r="AA1049" s="1508"/>
      <c r="AB1049" s="1508"/>
      <c r="AC1049" s="1508"/>
      <c r="AD1049" s="1508"/>
      <c r="AE1049" s="1509"/>
      <c r="AF1049" s="73"/>
      <c r="AG1049" s="477"/>
      <c r="AH1049" s="477"/>
      <c r="AI1049" s="83"/>
      <c r="AJ1049" s="1429"/>
      <c r="AK1049" s="1430"/>
      <c r="AL1049" s="1430"/>
      <c r="AM1049" s="1430"/>
      <c r="AN1049" s="1430"/>
      <c r="AO1049" s="1430"/>
      <c r="AP1049" s="1430"/>
      <c r="AQ1049" s="1431"/>
      <c r="AR1049" s="68"/>
      <c r="AS1049" s="68"/>
      <c r="AT1049" s="68"/>
      <c r="AU1049" s="68"/>
      <c r="AV1049" s="68"/>
      <c r="AW1049" s="68"/>
      <c r="AX1049" s="68"/>
      <c r="AY1049" s="68"/>
    </row>
    <row r="1050" spans="1:51" ht="12.95" customHeight="1">
      <c r="A1050" s="14"/>
      <c r="B1050" s="73"/>
      <c r="C1050" s="83"/>
      <c r="D1050" s="1507"/>
      <c r="E1050" s="1508"/>
      <c r="F1050" s="1508"/>
      <c r="G1050" s="1508"/>
      <c r="H1050" s="1508"/>
      <c r="I1050" s="1508"/>
      <c r="J1050" s="1508"/>
      <c r="K1050" s="1508"/>
      <c r="L1050" s="1508"/>
      <c r="M1050" s="1508"/>
      <c r="N1050" s="1508"/>
      <c r="O1050" s="1508"/>
      <c r="P1050" s="1508"/>
      <c r="Q1050" s="1508"/>
      <c r="R1050" s="1508"/>
      <c r="S1050" s="1508"/>
      <c r="T1050" s="1508"/>
      <c r="U1050" s="1508"/>
      <c r="V1050" s="1508"/>
      <c r="W1050" s="1508"/>
      <c r="X1050" s="1508"/>
      <c r="Y1050" s="1508"/>
      <c r="Z1050" s="1508"/>
      <c r="AA1050" s="1508"/>
      <c r="AB1050" s="1508"/>
      <c r="AC1050" s="1508"/>
      <c r="AD1050" s="1508"/>
      <c r="AE1050" s="1509"/>
      <c r="AF1050" s="956"/>
      <c r="AG1050" s="957"/>
      <c r="AH1050" s="957"/>
      <c r="AI1050" s="958"/>
      <c r="AJ1050" s="1429"/>
      <c r="AK1050" s="1430"/>
      <c r="AL1050" s="1430"/>
      <c r="AM1050" s="1430"/>
      <c r="AN1050" s="1430"/>
      <c r="AO1050" s="1430"/>
      <c r="AP1050" s="1430"/>
      <c r="AQ1050" s="1431"/>
      <c r="AR1050" s="68"/>
      <c r="AS1050" s="68"/>
      <c r="AT1050" s="68"/>
      <c r="AU1050" s="68"/>
      <c r="AV1050" s="68"/>
      <c r="AW1050" s="68"/>
      <c r="AX1050" s="68"/>
      <c r="AY1050" s="68"/>
    </row>
    <row r="1051" spans="1:51" ht="12.95" customHeight="1">
      <c r="A1051" s="14"/>
      <c r="B1051" s="77"/>
      <c r="C1051" s="78"/>
      <c r="D1051" s="132" t="s">
        <v>989</v>
      </c>
      <c r="E1051" s="133"/>
      <c r="F1051" s="133"/>
      <c r="G1051" s="133"/>
      <c r="H1051" s="133"/>
      <c r="I1051" s="1614">
        <f>AY1002</f>
        <v>123</v>
      </c>
      <c r="J1051" s="1615"/>
      <c r="K1051" s="14"/>
      <c r="L1051" s="133"/>
      <c r="M1051" s="133"/>
      <c r="N1051" s="133"/>
      <c r="O1051" s="133"/>
      <c r="P1051" s="133"/>
      <c r="Q1051" s="133"/>
      <c r="R1051" s="133"/>
      <c r="S1051" s="133"/>
      <c r="T1051" s="133"/>
      <c r="U1051" s="133"/>
      <c r="V1051" s="134" t="s">
        <v>991</v>
      </c>
      <c r="X1051" s="1612">
        <f>BK632</f>
        <v>19</v>
      </c>
      <c r="Y1051" s="1613"/>
      <c r="AF1051" s="959"/>
      <c r="AG1051" s="960"/>
      <c r="AH1051" s="960"/>
      <c r="AI1051" s="961"/>
      <c r="AJ1051" s="1432"/>
      <c r="AK1051" s="1433"/>
      <c r="AL1051" s="1433"/>
      <c r="AM1051" s="1433"/>
      <c r="AN1051" s="1433"/>
      <c r="AO1051" s="1433"/>
      <c r="AP1051" s="1433"/>
      <c r="AQ1051" s="1434"/>
      <c r="AR1051" s="68"/>
      <c r="AS1051" s="68"/>
      <c r="AT1051" s="68"/>
      <c r="AU1051" s="68"/>
      <c r="AV1051" s="68"/>
      <c r="AW1051" s="68"/>
      <c r="AX1051" s="68"/>
      <c r="AY1051" s="68"/>
    </row>
    <row r="1052" spans="1:51" ht="12.95" customHeight="1">
      <c r="A1052" s="14"/>
      <c r="B1052" s="102"/>
      <c r="C1052" s="103"/>
      <c r="D1052" s="1610" t="s">
        <v>520</v>
      </c>
      <c r="E1052" s="1610"/>
      <c r="F1052" s="1610"/>
      <c r="G1052" s="1610"/>
      <c r="H1052" s="1610"/>
      <c r="I1052" s="1610"/>
      <c r="J1052" s="1610"/>
      <c r="K1052" s="1610"/>
      <c r="L1052" s="1610"/>
      <c r="M1052" s="1610"/>
      <c r="N1052" s="1610"/>
      <c r="O1052" s="1610"/>
      <c r="P1052" s="1610"/>
      <c r="Q1052" s="1610"/>
      <c r="R1052" s="1610"/>
      <c r="S1052" s="1610"/>
      <c r="T1052" s="1610"/>
      <c r="U1052" s="1610"/>
      <c r="V1052" s="1610"/>
      <c r="W1052" s="1610"/>
      <c r="X1052" s="1610"/>
      <c r="Y1052" s="1610"/>
      <c r="Z1052" s="1610"/>
      <c r="AA1052" s="1610"/>
      <c r="AB1052" s="1610"/>
      <c r="AC1052" s="1610"/>
      <c r="AD1052" s="1610"/>
      <c r="AE1052" s="1610"/>
      <c r="AF1052" s="1610"/>
      <c r="AG1052" s="1610"/>
      <c r="AH1052" s="1610"/>
      <c r="AI1052" s="1611"/>
      <c r="AJ1052" s="1599">
        <f>SUM(AJ991:AQ1051)</f>
        <v>145097045.94</v>
      </c>
      <c r="AK1052" s="1600"/>
      <c r="AL1052" s="1600"/>
      <c r="AM1052" s="1600"/>
      <c r="AN1052" s="1600"/>
      <c r="AO1052" s="1600"/>
      <c r="AP1052" s="1600"/>
      <c r="AQ1052" s="1601"/>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418">
        <f>IF(ISNA(IF((AJ1019&gt;(AJ991*0.15)),"(f) cannot be greater than 15% of unadjusted eligible basis.",0)),"",(IF((AJ1019&gt;(AJ991*0.15)),"(f) cannot be greater than 15% of unadjusted eligible basis.",0)))</f>
        <v>0</v>
      </c>
      <c r="C1059" s="1418"/>
      <c r="D1059" s="1418"/>
      <c r="E1059" s="1418"/>
      <c r="F1059" s="1418"/>
      <c r="G1059" s="1418"/>
      <c r="H1059" s="1418"/>
      <c r="I1059" s="1418"/>
      <c r="J1059" s="1418"/>
      <c r="K1059" s="1418"/>
      <c r="L1059" s="1418"/>
      <c r="M1059" s="1418"/>
      <c r="N1059" s="1418"/>
      <c r="O1059" s="1418"/>
      <c r="P1059" s="1418"/>
      <c r="Q1059" s="1418"/>
      <c r="R1059" s="1418"/>
      <c r="S1059" s="1418"/>
      <c r="T1059" s="1418"/>
      <c r="U1059" s="1418"/>
      <c r="V1059" s="1418"/>
      <c r="W1059" s="1418"/>
      <c r="X1059" s="1418"/>
      <c r="Y1059" s="1418"/>
      <c r="Z1059" s="1418"/>
      <c r="AA1059" s="1418"/>
      <c r="AB1059" s="1418"/>
      <c r="AC1059" s="1418"/>
      <c r="AD1059" s="1418"/>
      <c r="AE1059" s="1418"/>
      <c r="AF1059" s="1418"/>
      <c r="AG1059" s="1418"/>
      <c r="AH1059" s="1418"/>
      <c r="AI1059" s="1418"/>
      <c r="AJ1059" s="1418"/>
      <c r="AK1059" s="1418"/>
      <c r="AL1059" s="1418"/>
      <c r="AM1059" s="1418"/>
      <c r="AN1059" s="1418"/>
      <c r="AO1059" s="1418"/>
      <c r="AP1059" s="1418"/>
      <c r="AQ1059" s="68"/>
      <c r="AR1059" s="68"/>
      <c r="AS1059" s="68"/>
      <c r="AT1059" s="68"/>
      <c r="AU1059" s="68"/>
      <c r="AV1059" s="68"/>
      <c r="AW1059" s="68"/>
      <c r="AX1059" s="68"/>
      <c r="AY1059" s="68"/>
    </row>
    <row r="1060" spans="1:51" ht="12.95" customHeight="1">
      <c r="A1060" s="1304" t="s">
        <v>802</v>
      </c>
      <c r="B1060" s="1304"/>
      <c r="C1060" s="1304"/>
      <c r="D1060" s="1304"/>
      <c r="E1060" s="1304"/>
      <c r="F1060" s="1304"/>
      <c r="G1060" s="1304"/>
      <c r="H1060" s="1304"/>
      <c r="I1060" s="1304"/>
      <c r="J1060" s="1304"/>
      <c r="K1060" s="1304"/>
      <c r="L1060" s="1304"/>
      <c r="M1060" s="1304"/>
      <c r="N1060" s="1304"/>
      <c r="O1060" s="1304"/>
      <c r="P1060" s="1304"/>
      <c r="Q1060" s="1304"/>
      <c r="R1060" s="1304"/>
      <c r="S1060" s="1304"/>
      <c r="T1060" s="1304"/>
      <c r="U1060" s="1304"/>
      <c r="V1060" s="1304"/>
      <c r="W1060" s="1304"/>
      <c r="X1060" s="1304"/>
      <c r="Y1060" s="1304"/>
      <c r="Z1060" s="1304"/>
      <c r="AA1060" s="1304"/>
      <c r="AB1060" s="1304"/>
      <c r="AC1060" s="1304"/>
      <c r="AD1060" s="1304"/>
      <c r="AE1060" s="1304"/>
      <c r="AF1060" s="1304"/>
      <c r="AG1060" s="1304"/>
      <c r="AH1060" s="1304"/>
      <c r="AI1060" s="1304"/>
      <c r="AJ1060" s="1304"/>
      <c r="AK1060" s="1304"/>
      <c r="AL1060" s="1304"/>
      <c r="AM1060" s="1304"/>
      <c r="AN1060" s="1304"/>
      <c r="AO1060" s="1304"/>
      <c r="AP1060" s="1304"/>
      <c r="AQ1060" s="1304"/>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803</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804</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358" t="s">
        <v>598</v>
      </c>
      <c r="B1064" s="1358"/>
      <c r="C1064" s="8">
        <v>1</v>
      </c>
      <c r="D1064" s="1268" t="s">
        <v>1131</v>
      </c>
      <c r="E1064" s="1268"/>
      <c r="F1064" s="1268"/>
      <c r="G1064" s="1268"/>
      <c r="H1064" s="1268"/>
      <c r="I1064" s="1268"/>
      <c r="J1064" s="1268"/>
      <c r="K1064" s="1268"/>
      <c r="L1064" s="1268"/>
      <c r="M1064" s="1268"/>
      <c r="N1064" s="1268"/>
      <c r="O1064" s="1268"/>
      <c r="P1064" s="1268"/>
      <c r="Q1064" s="1268"/>
      <c r="R1064" s="1268"/>
      <c r="S1064" s="1268"/>
      <c r="T1064" s="1268"/>
      <c r="U1064" s="1268"/>
      <c r="V1064" s="1268"/>
      <c r="W1064" s="1268"/>
      <c r="X1064" s="1268"/>
      <c r="Y1064" s="1268"/>
      <c r="Z1064" s="1268"/>
      <c r="AA1064" s="1268"/>
      <c r="AB1064" s="1268"/>
      <c r="AC1064" s="1268"/>
      <c r="AD1064" s="1268"/>
      <c r="AE1064" s="1268"/>
      <c r="AF1064" s="1268"/>
      <c r="AG1064" s="1268"/>
      <c r="AH1064" s="1268"/>
      <c r="AI1064" s="1268"/>
      <c r="AJ1064" s="1268"/>
      <c r="AK1064" s="1268"/>
      <c r="AL1064" s="68"/>
      <c r="AM1064" s="68"/>
      <c r="AN1064" s="68"/>
      <c r="AO1064" s="68"/>
      <c r="AP1064" s="68"/>
      <c r="AQ1064" s="68"/>
      <c r="AR1064" s="68"/>
      <c r="AS1064" s="68"/>
      <c r="AT1064" s="68"/>
      <c r="AV1064" s="68"/>
      <c r="AW1064" s="68"/>
      <c r="AX1064" s="68"/>
      <c r="AY1064" s="68"/>
    </row>
    <row r="1065" spans="1:51" ht="12.95" customHeight="1">
      <c r="A1065" s="1"/>
      <c r="B1065" s="1"/>
      <c r="C1065" s="8"/>
      <c r="D1065" s="1268"/>
      <c r="E1065" s="1268"/>
      <c r="F1065" s="1268"/>
      <c r="G1065" s="1268"/>
      <c r="H1065" s="1268"/>
      <c r="I1065" s="1268"/>
      <c r="J1065" s="1268"/>
      <c r="K1065" s="1268"/>
      <c r="L1065" s="1268"/>
      <c r="M1065" s="1268"/>
      <c r="N1065" s="1268"/>
      <c r="O1065" s="1268"/>
      <c r="P1065" s="1268"/>
      <c r="Q1065" s="1268"/>
      <c r="R1065" s="1268"/>
      <c r="S1065" s="1268"/>
      <c r="T1065" s="1268"/>
      <c r="U1065" s="1268"/>
      <c r="V1065" s="1268"/>
      <c r="W1065" s="1268"/>
      <c r="X1065" s="1268"/>
      <c r="Y1065" s="1268"/>
      <c r="Z1065" s="1268"/>
      <c r="AA1065" s="1268"/>
      <c r="AB1065" s="1268"/>
      <c r="AC1065" s="1268"/>
      <c r="AD1065" s="1268"/>
      <c r="AE1065" s="1268"/>
      <c r="AF1065" s="1268"/>
      <c r="AG1065" s="1268"/>
      <c r="AH1065" s="1268"/>
      <c r="AI1065" s="1268"/>
      <c r="AJ1065" s="1268"/>
      <c r="AK1065" s="1268"/>
      <c r="AL1065" s="68"/>
      <c r="AM1065" s="68"/>
      <c r="AN1065" s="68"/>
      <c r="AO1065" s="68"/>
      <c r="AP1065" s="68"/>
      <c r="AQ1065" s="68"/>
      <c r="AR1065" s="68"/>
      <c r="AS1065" s="68"/>
      <c r="AT1065" s="68"/>
      <c r="AV1065" s="68"/>
      <c r="AW1065" s="68"/>
      <c r="AX1065" s="68"/>
      <c r="AY1065" s="68"/>
    </row>
    <row r="1066" spans="1:51" ht="12.95" customHeight="1">
      <c r="A1066" s="1"/>
      <c r="B1066" s="1"/>
      <c r="C1066" s="8"/>
      <c r="D1066" s="1268"/>
      <c r="E1066" s="1268"/>
      <c r="F1066" s="1268"/>
      <c r="G1066" s="1268"/>
      <c r="H1066" s="1268"/>
      <c r="I1066" s="1268"/>
      <c r="J1066" s="1268"/>
      <c r="K1066" s="1268"/>
      <c r="L1066" s="1268"/>
      <c r="M1066" s="1268"/>
      <c r="N1066" s="1268"/>
      <c r="O1066" s="1268"/>
      <c r="P1066" s="1268"/>
      <c r="Q1066" s="1268"/>
      <c r="R1066" s="1268"/>
      <c r="S1066" s="1268"/>
      <c r="T1066" s="1268"/>
      <c r="U1066" s="1268"/>
      <c r="V1066" s="1268"/>
      <c r="W1066" s="1268"/>
      <c r="X1066" s="1268"/>
      <c r="Y1066" s="1268"/>
      <c r="Z1066" s="1268"/>
      <c r="AA1066" s="1268"/>
      <c r="AB1066" s="1268"/>
      <c r="AC1066" s="1268"/>
      <c r="AD1066" s="1268"/>
      <c r="AE1066" s="1268"/>
      <c r="AF1066" s="1268"/>
      <c r="AG1066" s="1268"/>
      <c r="AH1066" s="1268"/>
      <c r="AI1066" s="1268"/>
      <c r="AJ1066" s="1268"/>
      <c r="AK1066" s="1268"/>
      <c r="AL1066" s="68"/>
      <c r="AM1066" s="68"/>
      <c r="AN1066" s="68"/>
      <c r="AO1066" s="68"/>
      <c r="AP1066" s="68"/>
      <c r="AQ1066" s="68"/>
      <c r="AR1066" s="68"/>
      <c r="AS1066" s="68"/>
      <c r="AT1066" s="68"/>
      <c r="AV1066" s="68"/>
      <c r="AW1066" s="68"/>
      <c r="AX1066" s="68"/>
      <c r="AY1066" s="68"/>
    </row>
    <row r="1067" spans="1:51" ht="12.95" customHeight="1">
      <c r="A1067" s="1"/>
      <c r="B1067" s="1"/>
      <c r="C1067" s="8"/>
      <c r="D1067" s="1268"/>
      <c r="E1067" s="1268"/>
      <c r="F1067" s="1268"/>
      <c r="G1067" s="1268"/>
      <c r="H1067" s="1268"/>
      <c r="I1067" s="1268"/>
      <c r="J1067" s="1268"/>
      <c r="K1067" s="1268"/>
      <c r="L1067" s="1268"/>
      <c r="M1067" s="1268"/>
      <c r="N1067" s="1268"/>
      <c r="O1067" s="1268"/>
      <c r="P1067" s="1268"/>
      <c r="Q1067" s="1268"/>
      <c r="R1067" s="1268"/>
      <c r="S1067" s="1268"/>
      <c r="T1067" s="1268"/>
      <c r="U1067" s="1268"/>
      <c r="V1067" s="1268"/>
      <c r="W1067" s="1268"/>
      <c r="X1067" s="1268"/>
      <c r="Y1067" s="1268"/>
      <c r="Z1067" s="1268"/>
      <c r="AA1067" s="1268"/>
      <c r="AB1067" s="1268"/>
      <c r="AC1067" s="1268"/>
      <c r="AD1067" s="1268"/>
      <c r="AE1067" s="1268"/>
      <c r="AF1067" s="1268"/>
      <c r="AG1067" s="1268"/>
      <c r="AH1067" s="1268"/>
      <c r="AI1067" s="1268"/>
      <c r="AJ1067" s="1268"/>
      <c r="AK1067" s="1268"/>
      <c r="AL1067" s="68"/>
      <c r="AM1067" s="68"/>
      <c r="AN1067" s="68"/>
      <c r="AO1067" s="68"/>
      <c r="AP1067" s="68"/>
      <c r="AQ1067" s="68"/>
      <c r="AR1067" s="68"/>
      <c r="AS1067" s="68"/>
      <c r="AT1067" s="68"/>
      <c r="AV1067" s="68"/>
      <c r="AW1067" s="68"/>
      <c r="AX1067" s="68"/>
      <c r="AY1067" s="68"/>
    </row>
    <row r="1068" spans="1:51" ht="12.95" customHeight="1">
      <c r="A1068" s="1"/>
      <c r="B1068" s="1"/>
      <c r="C1068" s="8"/>
      <c r="D1068" s="1268"/>
      <c r="E1068" s="1268"/>
      <c r="F1068" s="1268"/>
      <c r="G1068" s="1268"/>
      <c r="H1068" s="1268"/>
      <c r="I1068" s="1268"/>
      <c r="J1068" s="1268"/>
      <c r="K1068" s="1268"/>
      <c r="L1068" s="1268"/>
      <c r="M1068" s="1268"/>
      <c r="N1068" s="1268"/>
      <c r="O1068" s="1268"/>
      <c r="P1068" s="1268"/>
      <c r="Q1068" s="1268"/>
      <c r="R1068" s="1268"/>
      <c r="S1068" s="1268"/>
      <c r="T1068" s="1268"/>
      <c r="U1068" s="1268"/>
      <c r="V1068" s="1268"/>
      <c r="W1068" s="1268"/>
      <c r="X1068" s="1268"/>
      <c r="Y1068" s="1268"/>
      <c r="Z1068" s="1268"/>
      <c r="AA1068" s="1268"/>
      <c r="AB1068" s="1268"/>
      <c r="AC1068" s="1268"/>
      <c r="AD1068" s="1268"/>
      <c r="AE1068" s="1268"/>
      <c r="AF1068" s="1268"/>
      <c r="AG1068" s="1268"/>
      <c r="AH1068" s="1268"/>
      <c r="AI1068" s="1268"/>
      <c r="AJ1068" s="1268"/>
      <c r="AK1068" s="1268"/>
      <c r="AL1068" s="68"/>
      <c r="AM1068" s="68"/>
      <c r="AN1068" s="68"/>
      <c r="AO1068" s="68"/>
      <c r="AP1068" s="68"/>
      <c r="AQ1068" s="68"/>
      <c r="AR1068" s="68"/>
      <c r="AS1068" s="68"/>
      <c r="AT1068" s="68"/>
      <c r="AV1068" s="68"/>
      <c r="AW1068" s="68"/>
      <c r="AX1068" s="68"/>
      <c r="AY1068" s="68"/>
    </row>
    <row r="1069" spans="1:51" ht="12.95" customHeight="1">
      <c r="A1069" s="2"/>
      <c r="B1069" s="25"/>
      <c r="C1069" s="8"/>
      <c r="D1069" s="1268"/>
      <c r="E1069" s="1268"/>
      <c r="F1069" s="1268"/>
      <c r="G1069" s="1268"/>
      <c r="H1069" s="1268"/>
      <c r="I1069" s="1268"/>
      <c r="J1069" s="1268"/>
      <c r="K1069" s="1268"/>
      <c r="L1069" s="1268"/>
      <c r="M1069" s="1268"/>
      <c r="N1069" s="1268"/>
      <c r="O1069" s="1268"/>
      <c r="P1069" s="1268"/>
      <c r="Q1069" s="1268"/>
      <c r="R1069" s="1268"/>
      <c r="S1069" s="1268"/>
      <c r="T1069" s="1268"/>
      <c r="U1069" s="1268"/>
      <c r="V1069" s="1268"/>
      <c r="W1069" s="1268"/>
      <c r="X1069" s="1268"/>
      <c r="Y1069" s="1268"/>
      <c r="Z1069" s="1268"/>
      <c r="AA1069" s="1268"/>
      <c r="AB1069" s="1268"/>
      <c r="AC1069" s="1268"/>
      <c r="AD1069" s="1268"/>
      <c r="AE1069" s="1268"/>
      <c r="AF1069" s="1268"/>
      <c r="AG1069" s="1268"/>
      <c r="AH1069" s="1268"/>
      <c r="AI1069" s="1268"/>
      <c r="AJ1069" s="1268"/>
      <c r="AK1069" s="1268"/>
      <c r="AL1069" s="68"/>
      <c r="AM1069" s="68"/>
      <c r="AN1069" s="68"/>
      <c r="AO1069" s="68"/>
      <c r="AP1069" s="68"/>
      <c r="AQ1069" s="68"/>
      <c r="AR1069" s="68"/>
      <c r="AS1069" s="68"/>
      <c r="AT1069" s="68"/>
      <c r="AV1069" s="68"/>
      <c r="AW1069" s="68"/>
      <c r="AX1069" s="68"/>
      <c r="AY1069" s="68"/>
    </row>
    <row r="1070" spans="1:51" ht="12.95" customHeight="1">
      <c r="A1070" s="1358" t="s">
        <v>598</v>
      </c>
      <c r="B1070" s="1358"/>
      <c r="C1070" s="8">
        <v>2</v>
      </c>
      <c r="D1070" s="1268" t="s">
        <v>1130</v>
      </c>
      <c r="E1070" s="1268"/>
      <c r="F1070" s="1268"/>
      <c r="G1070" s="1268"/>
      <c r="H1070" s="1268"/>
      <c r="I1070" s="1268"/>
      <c r="J1070" s="1268"/>
      <c r="K1070" s="1268"/>
      <c r="L1070" s="1268"/>
      <c r="M1070" s="1268"/>
      <c r="N1070" s="1268"/>
      <c r="O1070" s="1268"/>
      <c r="P1070" s="1268"/>
      <c r="Q1070" s="1268"/>
      <c r="R1070" s="1268"/>
      <c r="S1070" s="1268"/>
      <c r="T1070" s="1268"/>
      <c r="U1070" s="1268"/>
      <c r="V1070" s="1268"/>
      <c r="W1070" s="1268"/>
      <c r="X1070" s="1268"/>
      <c r="Y1070" s="1268"/>
      <c r="Z1070" s="1268"/>
      <c r="AA1070" s="1268"/>
      <c r="AB1070" s="1268"/>
      <c r="AC1070" s="1268"/>
      <c r="AD1070" s="1268"/>
      <c r="AE1070" s="1268"/>
      <c r="AF1070" s="1268"/>
      <c r="AG1070" s="1268"/>
      <c r="AH1070" s="1268"/>
      <c r="AI1070" s="1268"/>
      <c r="AJ1070" s="1268"/>
      <c r="AK1070" s="1268"/>
      <c r="AL1070" s="68"/>
      <c r="AM1070" s="68"/>
      <c r="AN1070" s="68"/>
      <c r="AO1070" s="68"/>
      <c r="AP1070" s="68"/>
      <c r="AQ1070" s="68"/>
      <c r="AR1070" s="68"/>
      <c r="AS1070" s="68"/>
      <c r="AT1070" s="68"/>
    </row>
    <row r="1071" spans="1:51" ht="12.95" customHeight="1">
      <c r="A1071" s="1"/>
      <c r="B1071" s="1"/>
      <c r="C1071" s="8"/>
      <c r="D1071" s="1268"/>
      <c r="E1071" s="1268"/>
      <c r="F1071" s="1268"/>
      <c r="G1071" s="1268"/>
      <c r="H1071" s="1268"/>
      <c r="I1071" s="1268"/>
      <c r="J1071" s="1268"/>
      <c r="K1071" s="1268"/>
      <c r="L1071" s="1268"/>
      <c r="M1071" s="1268"/>
      <c r="N1071" s="1268"/>
      <c r="O1071" s="1268"/>
      <c r="P1071" s="1268"/>
      <c r="Q1071" s="1268"/>
      <c r="R1071" s="1268"/>
      <c r="S1071" s="1268"/>
      <c r="T1071" s="1268"/>
      <c r="U1071" s="1268"/>
      <c r="V1071" s="1268"/>
      <c r="W1071" s="1268"/>
      <c r="X1071" s="1268"/>
      <c r="Y1071" s="1268"/>
      <c r="Z1071" s="1268"/>
      <c r="AA1071" s="1268"/>
      <c r="AB1071" s="1268"/>
      <c r="AC1071" s="1268"/>
      <c r="AD1071" s="1268"/>
      <c r="AE1071" s="1268"/>
      <c r="AF1071" s="1268"/>
      <c r="AG1071" s="1268"/>
      <c r="AH1071" s="1268"/>
      <c r="AI1071" s="1268"/>
      <c r="AJ1071" s="1268"/>
      <c r="AK1071" s="1268"/>
      <c r="AL1071" s="68"/>
      <c r="AM1071" s="68"/>
      <c r="AN1071" s="68"/>
      <c r="AO1071" s="68"/>
      <c r="AP1071" s="68"/>
      <c r="AQ1071" s="68"/>
      <c r="AR1071" s="68"/>
      <c r="AS1071" s="68"/>
      <c r="AT1071" s="68"/>
    </row>
    <row r="1072" spans="1:51" ht="12.95" customHeight="1">
      <c r="A1072" s="1"/>
      <c r="B1072" s="1"/>
      <c r="C1072" s="8"/>
      <c r="D1072" s="1268"/>
      <c r="E1072" s="1268"/>
      <c r="F1072" s="1268"/>
      <c r="G1072" s="1268"/>
      <c r="H1072" s="1268"/>
      <c r="I1072" s="1268"/>
      <c r="J1072" s="1268"/>
      <c r="K1072" s="1268"/>
      <c r="L1072" s="1268"/>
      <c r="M1072" s="1268"/>
      <c r="N1072" s="1268"/>
      <c r="O1072" s="1268"/>
      <c r="P1072" s="1268"/>
      <c r="Q1072" s="1268"/>
      <c r="R1072" s="1268"/>
      <c r="S1072" s="1268"/>
      <c r="T1072" s="1268"/>
      <c r="U1072" s="1268"/>
      <c r="V1072" s="1268"/>
      <c r="W1072" s="1268"/>
      <c r="X1072" s="1268"/>
      <c r="Y1072" s="1268"/>
      <c r="Z1072" s="1268"/>
      <c r="AA1072" s="1268"/>
      <c r="AB1072" s="1268"/>
      <c r="AC1072" s="1268"/>
      <c r="AD1072" s="1268"/>
      <c r="AE1072" s="1268"/>
      <c r="AF1072" s="1268"/>
      <c r="AG1072" s="1268"/>
      <c r="AH1072" s="1268"/>
      <c r="AI1072" s="1268"/>
      <c r="AJ1072" s="1268"/>
      <c r="AK1072" s="1268"/>
      <c r="AL1072" s="68"/>
      <c r="AM1072" s="68"/>
      <c r="AN1072" s="68"/>
      <c r="AO1072" s="68"/>
      <c r="AP1072" s="68"/>
      <c r="AQ1072" s="68"/>
      <c r="AR1072" s="68"/>
      <c r="AS1072" s="68"/>
      <c r="AT1072" s="68"/>
    </row>
    <row r="1073" spans="1:46" ht="12.95" customHeight="1">
      <c r="A1073" s="1"/>
      <c r="B1073" s="1"/>
      <c r="C1073" s="8"/>
      <c r="D1073" s="1268"/>
      <c r="E1073" s="1268"/>
      <c r="F1073" s="1268"/>
      <c r="G1073" s="1268"/>
      <c r="H1073" s="1268"/>
      <c r="I1073" s="1268"/>
      <c r="J1073" s="1268"/>
      <c r="K1073" s="1268"/>
      <c r="L1073" s="1268"/>
      <c r="M1073" s="1268"/>
      <c r="N1073" s="1268"/>
      <c r="O1073" s="1268"/>
      <c r="P1073" s="1268"/>
      <c r="Q1073" s="1268"/>
      <c r="R1073" s="1268"/>
      <c r="S1073" s="1268"/>
      <c r="T1073" s="1268"/>
      <c r="U1073" s="1268"/>
      <c r="V1073" s="1268"/>
      <c r="W1073" s="1268"/>
      <c r="X1073" s="1268"/>
      <c r="Y1073" s="1268"/>
      <c r="Z1073" s="1268"/>
      <c r="AA1073" s="1268"/>
      <c r="AB1073" s="1268"/>
      <c r="AC1073" s="1268"/>
      <c r="AD1073" s="1268"/>
      <c r="AE1073" s="1268"/>
      <c r="AF1073" s="1268"/>
      <c r="AG1073" s="1268"/>
      <c r="AH1073" s="1268"/>
      <c r="AI1073" s="1268"/>
      <c r="AJ1073" s="1268"/>
      <c r="AK1073" s="1268"/>
      <c r="AL1073" s="68"/>
      <c r="AM1073" s="68"/>
      <c r="AN1073" s="68"/>
      <c r="AO1073" s="68"/>
      <c r="AP1073" s="68"/>
      <c r="AQ1073" s="68"/>
      <c r="AR1073" s="68"/>
      <c r="AS1073" s="68"/>
      <c r="AT1073" s="68"/>
    </row>
    <row r="1074" spans="1:46" ht="12.95" hidden="1" customHeight="1">
      <c r="A1074" s="1"/>
      <c r="B1074" s="1"/>
      <c r="C1074" s="8"/>
      <c r="D1074" s="1268"/>
      <c r="E1074" s="1268"/>
      <c r="F1074" s="1268"/>
      <c r="G1074" s="1268"/>
      <c r="H1074" s="1268"/>
      <c r="I1074" s="1268"/>
      <c r="J1074" s="1268"/>
      <c r="K1074" s="1268"/>
      <c r="L1074" s="1268"/>
      <c r="M1074" s="1268"/>
      <c r="N1074" s="1268"/>
      <c r="O1074" s="1268"/>
      <c r="P1074" s="1268"/>
      <c r="Q1074" s="1268"/>
      <c r="R1074" s="1268"/>
      <c r="S1074" s="1268"/>
      <c r="T1074" s="1268"/>
      <c r="U1074" s="1268"/>
      <c r="V1074" s="1268"/>
      <c r="W1074" s="1268"/>
      <c r="X1074" s="1268"/>
      <c r="Y1074" s="1268"/>
      <c r="Z1074" s="1268"/>
      <c r="AA1074" s="1268"/>
      <c r="AB1074" s="1268"/>
      <c r="AC1074" s="1268"/>
      <c r="AD1074" s="1268"/>
      <c r="AE1074" s="1268"/>
      <c r="AF1074" s="1268"/>
      <c r="AG1074" s="1268"/>
      <c r="AH1074" s="1268"/>
      <c r="AI1074" s="1268"/>
      <c r="AJ1074" s="1268"/>
      <c r="AK1074" s="1268"/>
      <c r="AL1074" s="68"/>
      <c r="AM1074" s="68"/>
      <c r="AN1074" s="68"/>
      <c r="AO1074" s="68"/>
      <c r="AP1074" s="68"/>
      <c r="AQ1074" s="68"/>
      <c r="AR1074" s="68"/>
      <c r="AS1074" s="68"/>
      <c r="AT1074" s="68"/>
    </row>
    <row r="1075" spans="1:46" ht="12.95" customHeight="1">
      <c r="A1075" s="1"/>
      <c r="B1075" s="1"/>
      <c r="C1075" s="8"/>
      <c r="D1075" s="1268"/>
      <c r="E1075" s="1268"/>
      <c r="F1075" s="1268"/>
      <c r="G1075" s="1268"/>
      <c r="H1075" s="1268"/>
      <c r="I1075" s="1268"/>
      <c r="J1075" s="1268"/>
      <c r="K1075" s="1268"/>
      <c r="L1075" s="1268"/>
      <c r="M1075" s="1268"/>
      <c r="N1075" s="1268"/>
      <c r="O1075" s="1268"/>
      <c r="P1075" s="1268"/>
      <c r="Q1075" s="1268"/>
      <c r="R1075" s="1268"/>
      <c r="S1075" s="1268"/>
      <c r="T1075" s="1268"/>
      <c r="U1075" s="1268"/>
      <c r="V1075" s="1268"/>
      <c r="W1075" s="1268"/>
      <c r="X1075" s="1268"/>
      <c r="Y1075" s="1268"/>
      <c r="Z1075" s="1268"/>
      <c r="AA1075" s="1268"/>
      <c r="AB1075" s="1268"/>
      <c r="AC1075" s="1268"/>
      <c r="AD1075" s="1268"/>
      <c r="AE1075" s="1268"/>
      <c r="AF1075" s="1268"/>
      <c r="AG1075" s="1268"/>
      <c r="AH1075" s="1268"/>
      <c r="AI1075" s="1268"/>
      <c r="AJ1075" s="1268"/>
      <c r="AK1075" s="1268"/>
    </row>
    <row r="1076" spans="1:46" ht="12.95" customHeight="1">
      <c r="A1076" s="1358" t="s">
        <v>598</v>
      </c>
      <c r="B1076" s="1358"/>
      <c r="C1076" s="8">
        <v>3</v>
      </c>
      <c r="D1076" s="1268" t="s">
        <v>2456</v>
      </c>
      <c r="E1076" s="1268"/>
      <c r="F1076" s="1268"/>
      <c r="G1076" s="1268"/>
      <c r="H1076" s="1268"/>
      <c r="I1076" s="1268"/>
      <c r="J1076" s="1268"/>
      <c r="K1076" s="1268"/>
      <c r="L1076" s="1268"/>
      <c r="M1076" s="1268"/>
      <c r="N1076" s="1268"/>
      <c r="O1076" s="1268"/>
      <c r="P1076" s="1268"/>
      <c r="Q1076" s="1268"/>
      <c r="R1076" s="1268"/>
      <c r="S1076" s="1268"/>
      <c r="T1076" s="1268"/>
      <c r="U1076" s="1268"/>
      <c r="V1076" s="1268"/>
      <c r="W1076" s="1268"/>
      <c r="X1076" s="1268"/>
      <c r="Y1076" s="1268"/>
      <c r="Z1076" s="1268"/>
      <c r="AA1076" s="1268"/>
      <c r="AB1076" s="1268"/>
      <c r="AC1076" s="1268"/>
      <c r="AD1076" s="1268"/>
      <c r="AE1076" s="1268"/>
      <c r="AF1076" s="1268"/>
      <c r="AG1076" s="1268"/>
      <c r="AH1076" s="1268"/>
      <c r="AI1076" s="1268"/>
      <c r="AJ1076" s="1268"/>
      <c r="AK1076" s="1268"/>
    </row>
    <row r="1077" spans="1:46" ht="12.95" customHeight="1">
      <c r="A1077" s="4"/>
      <c r="B1077" s="4"/>
      <c r="C1077" s="8"/>
      <c r="D1077" s="1268"/>
      <c r="E1077" s="1268"/>
      <c r="F1077" s="1268"/>
      <c r="G1077" s="1268"/>
      <c r="H1077" s="1268"/>
      <c r="I1077" s="1268"/>
      <c r="J1077" s="1268"/>
      <c r="K1077" s="1268"/>
      <c r="L1077" s="1268"/>
      <c r="M1077" s="1268"/>
      <c r="N1077" s="1268"/>
      <c r="O1077" s="1268"/>
      <c r="P1077" s="1268"/>
      <c r="Q1077" s="1268"/>
      <c r="R1077" s="1268"/>
      <c r="S1077" s="1268"/>
      <c r="T1077" s="1268"/>
      <c r="U1077" s="1268"/>
      <c r="V1077" s="1268"/>
      <c r="W1077" s="1268"/>
      <c r="X1077" s="1268"/>
      <c r="Y1077" s="1268"/>
      <c r="Z1077" s="1268"/>
      <c r="AA1077" s="1268"/>
      <c r="AB1077" s="1268"/>
      <c r="AC1077" s="1268"/>
      <c r="AD1077" s="1268"/>
      <c r="AE1077" s="1268"/>
      <c r="AF1077" s="1268"/>
      <c r="AG1077" s="1268"/>
      <c r="AH1077" s="1268"/>
      <c r="AI1077" s="1268"/>
      <c r="AJ1077" s="1268"/>
      <c r="AK1077" s="1268"/>
    </row>
    <row r="1078" spans="1:46" ht="12.95" customHeight="1">
      <c r="A1078" s="4"/>
      <c r="B1078" s="4"/>
      <c r="C1078" s="8"/>
      <c r="D1078" s="1268"/>
      <c r="E1078" s="1268"/>
      <c r="F1078" s="1268"/>
      <c r="G1078" s="1268"/>
      <c r="H1078" s="1268"/>
      <c r="I1078" s="1268"/>
      <c r="J1078" s="1268"/>
      <c r="K1078" s="1268"/>
      <c r="L1078" s="1268"/>
      <c r="M1078" s="1268"/>
      <c r="N1078" s="1268"/>
      <c r="O1078" s="1268"/>
      <c r="P1078" s="1268"/>
      <c r="Q1078" s="1268"/>
      <c r="R1078" s="1268"/>
      <c r="S1078" s="1268"/>
      <c r="T1078" s="1268"/>
      <c r="U1078" s="1268"/>
      <c r="V1078" s="1268"/>
      <c r="W1078" s="1268"/>
      <c r="X1078" s="1268"/>
      <c r="Y1078" s="1268"/>
      <c r="Z1078" s="1268"/>
      <c r="AA1078" s="1268"/>
      <c r="AB1078" s="1268"/>
      <c r="AC1078" s="1268"/>
      <c r="AD1078" s="1268"/>
      <c r="AE1078" s="1268"/>
      <c r="AF1078" s="1268"/>
      <c r="AG1078" s="1268"/>
      <c r="AH1078" s="1268"/>
      <c r="AI1078" s="1268"/>
      <c r="AJ1078" s="1268"/>
      <c r="AK1078" s="1268"/>
    </row>
    <row r="1079" spans="1:46" ht="12.95" customHeight="1">
      <c r="A1079" s="35"/>
      <c r="B1079" s="25"/>
      <c r="C1079" s="8"/>
      <c r="D1079" s="1268"/>
      <c r="E1079" s="1268"/>
      <c r="F1079" s="1268"/>
      <c r="G1079" s="1268"/>
      <c r="H1079" s="1268"/>
      <c r="I1079" s="1268"/>
      <c r="J1079" s="1268"/>
      <c r="K1079" s="1268"/>
      <c r="L1079" s="1268"/>
      <c r="M1079" s="1268"/>
      <c r="N1079" s="1268"/>
      <c r="O1079" s="1268"/>
      <c r="P1079" s="1268"/>
      <c r="Q1079" s="1268"/>
      <c r="R1079" s="1268"/>
      <c r="S1079" s="1268"/>
      <c r="T1079" s="1268"/>
      <c r="U1079" s="1268"/>
      <c r="V1079" s="1268"/>
      <c r="W1079" s="1268"/>
      <c r="X1079" s="1268"/>
      <c r="Y1079" s="1268"/>
      <c r="Z1079" s="1268"/>
      <c r="AA1079" s="1268"/>
      <c r="AB1079" s="1268"/>
      <c r="AC1079" s="1268"/>
      <c r="AD1079" s="1268"/>
      <c r="AE1079" s="1268"/>
      <c r="AF1079" s="1268"/>
      <c r="AG1079" s="1268"/>
      <c r="AH1079" s="1268"/>
      <c r="AI1079" s="1268"/>
      <c r="AJ1079" s="1268"/>
      <c r="AK1079" s="1268"/>
    </row>
    <row r="1080" spans="1:46" ht="12.95" customHeight="1">
      <c r="A1080" s="35"/>
      <c r="B1080" s="25"/>
      <c r="C1080" s="8"/>
      <c r="D1080" s="1268"/>
      <c r="E1080" s="1268"/>
      <c r="F1080" s="1268"/>
      <c r="G1080" s="1268"/>
      <c r="H1080" s="1268"/>
      <c r="I1080" s="1268"/>
      <c r="J1080" s="1268"/>
      <c r="K1080" s="1268"/>
      <c r="L1080" s="1268"/>
      <c r="M1080" s="1268"/>
      <c r="N1080" s="1268"/>
      <c r="O1080" s="1268"/>
      <c r="P1080" s="1268"/>
      <c r="Q1080" s="1268"/>
      <c r="R1080" s="1268"/>
      <c r="S1080" s="1268"/>
      <c r="T1080" s="1268"/>
      <c r="U1080" s="1268"/>
      <c r="V1080" s="1268"/>
      <c r="W1080" s="1268"/>
      <c r="X1080" s="1268"/>
      <c r="Y1080" s="1268"/>
      <c r="Z1080" s="1268"/>
      <c r="AA1080" s="1268"/>
      <c r="AB1080" s="1268"/>
      <c r="AC1080" s="1268"/>
      <c r="AD1080" s="1268"/>
      <c r="AE1080" s="1268"/>
      <c r="AF1080" s="1268"/>
      <c r="AG1080" s="1268"/>
      <c r="AH1080" s="1268"/>
      <c r="AI1080" s="1268"/>
      <c r="AJ1080" s="1268"/>
      <c r="AK1080" s="1268"/>
    </row>
    <row r="1081" spans="1:46" ht="12.95" customHeight="1">
      <c r="A1081" s="35"/>
      <c r="B1081" s="25"/>
      <c r="C1081" s="8"/>
      <c r="D1081" s="1268"/>
      <c r="E1081" s="1268"/>
      <c r="F1081" s="1268"/>
      <c r="G1081" s="1268"/>
      <c r="H1081" s="1268"/>
      <c r="I1081" s="1268"/>
      <c r="J1081" s="1268"/>
      <c r="K1081" s="1268"/>
      <c r="L1081" s="1268"/>
      <c r="M1081" s="1268"/>
      <c r="N1081" s="1268"/>
      <c r="O1081" s="1268"/>
      <c r="P1081" s="1268"/>
      <c r="Q1081" s="1268"/>
      <c r="R1081" s="1268"/>
      <c r="S1081" s="1268"/>
      <c r="T1081" s="1268"/>
      <c r="U1081" s="1268"/>
      <c r="V1081" s="1268"/>
      <c r="W1081" s="1268"/>
      <c r="X1081" s="1268"/>
      <c r="Y1081" s="1268"/>
      <c r="Z1081" s="1268"/>
      <c r="AA1081" s="1268"/>
      <c r="AB1081" s="1268"/>
      <c r="AC1081" s="1268"/>
      <c r="AD1081" s="1268"/>
      <c r="AE1081" s="1268"/>
      <c r="AF1081" s="1268"/>
      <c r="AG1081" s="1268"/>
      <c r="AH1081" s="1268"/>
      <c r="AI1081" s="1268"/>
      <c r="AJ1081" s="1268"/>
      <c r="AK1081" s="1268"/>
    </row>
    <row r="1082" spans="1:46" ht="12.95" customHeight="1">
      <c r="A1082" s="35"/>
      <c r="B1082" s="25"/>
      <c r="C1082" s="8"/>
      <c r="D1082" s="1268"/>
      <c r="E1082" s="1268"/>
      <c r="F1082" s="1268"/>
      <c r="G1082" s="1268"/>
      <c r="H1082" s="1268"/>
      <c r="I1082" s="1268"/>
      <c r="J1082" s="1268"/>
      <c r="K1082" s="1268"/>
      <c r="L1082" s="1268"/>
      <c r="M1082" s="1268"/>
      <c r="N1082" s="1268"/>
      <c r="O1082" s="1268"/>
      <c r="P1082" s="1268"/>
      <c r="Q1082" s="1268"/>
      <c r="R1082" s="1268"/>
      <c r="S1082" s="1268"/>
      <c r="T1082" s="1268"/>
      <c r="U1082" s="1268"/>
      <c r="V1082" s="1268"/>
      <c r="W1082" s="1268"/>
      <c r="X1082" s="1268"/>
      <c r="Y1082" s="1268"/>
      <c r="Z1082" s="1268"/>
      <c r="AA1082" s="1268"/>
      <c r="AB1082" s="1268"/>
      <c r="AC1082" s="1268"/>
      <c r="AD1082" s="1268"/>
      <c r="AE1082" s="1268"/>
      <c r="AF1082" s="1268"/>
      <c r="AG1082" s="1268"/>
      <c r="AH1082" s="1268"/>
      <c r="AI1082" s="1268"/>
      <c r="AJ1082" s="1268"/>
      <c r="AK1082" s="1268"/>
    </row>
    <row r="1083" spans="1:46" ht="12.95" customHeight="1">
      <c r="A1083" s="1358" t="s">
        <v>598</v>
      </c>
      <c r="B1083" s="1358"/>
      <c r="C1083" s="8">
        <v>4</v>
      </c>
      <c r="D1083" s="1268" t="s">
        <v>1116</v>
      </c>
      <c r="E1083" s="1268"/>
      <c r="F1083" s="1268"/>
      <c r="G1083" s="1268"/>
      <c r="H1083" s="1268"/>
      <c r="I1083" s="1268"/>
      <c r="J1083" s="1268"/>
      <c r="K1083" s="1268"/>
      <c r="L1083" s="1268"/>
      <c r="M1083" s="1268"/>
      <c r="N1083" s="1268"/>
      <c r="O1083" s="1268"/>
      <c r="P1083" s="1268"/>
      <c r="Q1083" s="1268"/>
      <c r="R1083" s="1268"/>
      <c r="S1083" s="1268"/>
      <c r="T1083" s="1268"/>
      <c r="U1083" s="1268"/>
      <c r="V1083" s="1268"/>
      <c r="W1083" s="1268"/>
      <c r="X1083" s="1268"/>
      <c r="Y1083" s="1268"/>
      <c r="Z1083" s="1268"/>
      <c r="AA1083" s="1268"/>
      <c r="AB1083" s="1268"/>
      <c r="AC1083" s="1268"/>
      <c r="AD1083" s="1268"/>
      <c r="AE1083" s="1268"/>
      <c r="AF1083" s="1268"/>
      <c r="AG1083" s="1268"/>
      <c r="AH1083" s="1268"/>
      <c r="AI1083" s="1268"/>
      <c r="AJ1083" s="1268"/>
      <c r="AK1083" s="1268"/>
    </row>
    <row r="1084" spans="1:46" ht="12.95" customHeight="1">
      <c r="A1084" s="1"/>
      <c r="B1084" s="1"/>
      <c r="C1084" s="8"/>
      <c r="D1084" s="1268"/>
      <c r="E1084" s="1268"/>
      <c r="F1084" s="1268"/>
      <c r="G1084" s="1268"/>
      <c r="H1084" s="1268"/>
      <c r="I1084" s="1268"/>
      <c r="J1084" s="1268"/>
      <c r="K1084" s="1268"/>
      <c r="L1084" s="1268"/>
      <c r="M1084" s="1268"/>
      <c r="N1084" s="1268"/>
      <c r="O1084" s="1268"/>
      <c r="P1084" s="1268"/>
      <c r="Q1084" s="1268"/>
      <c r="R1084" s="1268"/>
      <c r="S1084" s="1268"/>
      <c r="T1084" s="1268"/>
      <c r="U1084" s="1268"/>
      <c r="V1084" s="1268"/>
      <c r="W1084" s="1268"/>
      <c r="X1084" s="1268"/>
      <c r="Y1084" s="1268"/>
      <c r="Z1084" s="1268"/>
      <c r="AA1084" s="1268"/>
      <c r="AB1084" s="1268"/>
      <c r="AC1084" s="1268"/>
      <c r="AD1084" s="1268"/>
      <c r="AE1084" s="1268"/>
      <c r="AF1084" s="1268"/>
      <c r="AG1084" s="1268"/>
      <c r="AH1084" s="1268"/>
      <c r="AI1084" s="1268"/>
      <c r="AJ1084" s="1268"/>
      <c r="AK1084" s="1268"/>
    </row>
    <row r="1085" spans="1:46" ht="12.95" customHeight="1">
      <c r="A1085" s="35"/>
      <c r="B1085" s="25"/>
      <c r="C1085" s="8"/>
      <c r="D1085" s="1268"/>
      <c r="E1085" s="1268"/>
      <c r="F1085" s="1268"/>
      <c r="G1085" s="1268"/>
      <c r="H1085" s="1268"/>
      <c r="I1085" s="1268"/>
      <c r="J1085" s="1268"/>
      <c r="K1085" s="1268"/>
      <c r="L1085" s="1268"/>
      <c r="M1085" s="1268"/>
      <c r="N1085" s="1268"/>
      <c r="O1085" s="1268"/>
      <c r="P1085" s="1268"/>
      <c r="Q1085" s="1268"/>
      <c r="R1085" s="1268"/>
      <c r="S1085" s="1268"/>
      <c r="T1085" s="1268"/>
      <c r="U1085" s="1268"/>
      <c r="V1085" s="1268"/>
      <c r="W1085" s="1268"/>
      <c r="X1085" s="1268"/>
      <c r="Y1085" s="1268"/>
      <c r="Z1085" s="1268"/>
      <c r="AA1085" s="1268"/>
      <c r="AB1085" s="1268"/>
      <c r="AC1085" s="1268"/>
      <c r="AD1085" s="1268"/>
      <c r="AE1085" s="1268"/>
      <c r="AF1085" s="1268"/>
      <c r="AG1085" s="1268"/>
      <c r="AH1085" s="1268"/>
      <c r="AI1085" s="1268"/>
      <c r="AJ1085" s="1268"/>
      <c r="AK1085" s="1268"/>
    </row>
    <row r="1086" spans="1:46" ht="12.95" customHeight="1">
      <c r="A1086" s="1358" t="s">
        <v>598</v>
      </c>
      <c r="B1086" s="1358"/>
      <c r="C1086" s="8">
        <v>5</v>
      </c>
      <c r="D1086" s="1268" t="s">
        <v>2457</v>
      </c>
      <c r="E1086" s="1268"/>
      <c r="F1086" s="1268"/>
      <c r="G1086" s="1268"/>
      <c r="H1086" s="1268"/>
      <c r="I1086" s="1268"/>
      <c r="J1086" s="1268"/>
      <c r="K1086" s="1268"/>
      <c r="L1086" s="1268"/>
      <c r="M1086" s="1268"/>
      <c r="N1086" s="1268"/>
      <c r="O1086" s="1268"/>
      <c r="P1086" s="1268"/>
      <c r="Q1086" s="1268"/>
      <c r="R1086" s="1268"/>
      <c r="S1086" s="1268"/>
      <c r="T1086" s="1268"/>
      <c r="U1086" s="1268"/>
      <c r="V1086" s="1268"/>
      <c r="W1086" s="1268"/>
      <c r="X1086" s="1268"/>
      <c r="Y1086" s="1268"/>
      <c r="Z1086" s="1268"/>
      <c r="AA1086" s="1268"/>
      <c r="AB1086" s="1268"/>
      <c r="AC1086" s="1268"/>
      <c r="AD1086" s="1268"/>
      <c r="AE1086" s="1268"/>
      <c r="AF1086" s="1268"/>
      <c r="AG1086" s="1268"/>
      <c r="AH1086" s="1268"/>
      <c r="AI1086" s="1268"/>
      <c r="AJ1086" s="1268"/>
      <c r="AK1086" s="1268"/>
    </row>
    <row r="1087" spans="1:46" ht="12.95" customHeight="1">
      <c r="A1087" s="1"/>
      <c r="B1087" s="1"/>
      <c r="C1087" s="8"/>
      <c r="D1087" s="1268"/>
      <c r="E1087" s="1268"/>
      <c r="F1087" s="1268"/>
      <c r="G1087" s="1268"/>
      <c r="H1087" s="1268"/>
      <c r="I1087" s="1268"/>
      <c r="J1087" s="1268"/>
      <c r="K1087" s="1268"/>
      <c r="L1087" s="1268"/>
      <c r="M1087" s="1268"/>
      <c r="N1087" s="1268"/>
      <c r="O1087" s="1268"/>
      <c r="P1087" s="1268"/>
      <c r="Q1087" s="1268"/>
      <c r="R1087" s="1268"/>
      <c r="S1087" s="1268"/>
      <c r="T1087" s="1268"/>
      <c r="U1087" s="1268"/>
      <c r="V1087" s="1268"/>
      <c r="W1087" s="1268"/>
      <c r="X1087" s="1268"/>
      <c r="Y1087" s="1268"/>
      <c r="Z1087" s="1268"/>
      <c r="AA1087" s="1268"/>
      <c r="AB1087" s="1268"/>
      <c r="AC1087" s="1268"/>
      <c r="AD1087" s="1268"/>
      <c r="AE1087" s="1268"/>
      <c r="AF1087" s="1268"/>
      <c r="AG1087" s="1268"/>
      <c r="AH1087" s="1268"/>
      <c r="AI1087" s="1268"/>
      <c r="AJ1087" s="1268"/>
      <c r="AK1087" s="1268"/>
    </row>
    <row r="1088" spans="1:46" ht="12.95" customHeight="1">
      <c r="A1088" s="1"/>
      <c r="B1088" s="1"/>
      <c r="C1088" s="8"/>
      <c r="D1088" s="1268"/>
      <c r="E1088" s="1268"/>
      <c r="F1088" s="1268"/>
      <c r="G1088" s="1268"/>
      <c r="H1088" s="1268"/>
      <c r="I1088" s="1268"/>
      <c r="J1088" s="1268"/>
      <c r="K1088" s="1268"/>
      <c r="L1088" s="1268"/>
      <c r="M1088" s="1268"/>
      <c r="N1088" s="1268"/>
      <c r="O1088" s="1268"/>
      <c r="P1088" s="1268"/>
      <c r="Q1088" s="1268"/>
      <c r="R1088" s="1268"/>
      <c r="S1088" s="1268"/>
      <c r="T1088" s="1268"/>
      <c r="U1088" s="1268"/>
      <c r="V1088" s="1268"/>
      <c r="W1088" s="1268"/>
      <c r="X1088" s="1268"/>
      <c r="Y1088" s="1268"/>
      <c r="Z1088" s="1268"/>
      <c r="AA1088" s="1268"/>
      <c r="AB1088" s="1268"/>
      <c r="AC1088" s="1268"/>
      <c r="AD1088" s="1268"/>
      <c r="AE1088" s="1268"/>
      <c r="AF1088" s="1268"/>
      <c r="AG1088" s="1268"/>
      <c r="AH1088" s="1268"/>
      <c r="AI1088" s="1268"/>
      <c r="AJ1088" s="1268"/>
      <c r="AK1088" s="1268"/>
    </row>
    <row r="1089" spans="1:37" ht="12.95" hidden="1" customHeight="1">
      <c r="A1089" s="1"/>
      <c r="B1089" s="1"/>
      <c r="C1089" s="8"/>
      <c r="D1089" s="1268"/>
      <c r="E1089" s="1268"/>
      <c r="F1089" s="1268"/>
      <c r="G1089" s="1268"/>
      <c r="H1089" s="1268"/>
      <c r="I1089" s="1268"/>
      <c r="J1089" s="1268"/>
      <c r="K1089" s="1268"/>
      <c r="L1089" s="1268"/>
      <c r="M1089" s="1268"/>
      <c r="N1089" s="1268"/>
      <c r="O1089" s="1268"/>
      <c r="P1089" s="1268"/>
      <c r="Q1089" s="1268"/>
      <c r="R1089" s="1268"/>
      <c r="S1089" s="1268"/>
      <c r="T1089" s="1268"/>
      <c r="U1089" s="1268"/>
      <c r="V1089" s="1268"/>
      <c r="W1089" s="1268"/>
      <c r="X1089" s="1268"/>
      <c r="Y1089" s="1268"/>
      <c r="Z1089" s="1268"/>
      <c r="AA1089" s="1268"/>
      <c r="AB1089" s="1268"/>
      <c r="AC1089" s="1268"/>
      <c r="AD1089" s="1268"/>
      <c r="AE1089" s="1268"/>
      <c r="AF1089" s="1268"/>
      <c r="AG1089" s="1268"/>
      <c r="AH1089" s="1268"/>
      <c r="AI1089" s="1268"/>
      <c r="AJ1089" s="1268"/>
      <c r="AK1089" s="1268"/>
    </row>
    <row r="1090" spans="1:37" ht="12.95" customHeight="1">
      <c r="A1090" s="35"/>
      <c r="B1090" s="25"/>
      <c r="C1090" s="8"/>
      <c r="D1090" s="1268"/>
      <c r="E1090" s="1268"/>
      <c r="F1090" s="1268"/>
      <c r="G1090" s="1268"/>
      <c r="H1090" s="1268"/>
      <c r="I1090" s="1268"/>
      <c r="J1090" s="1268"/>
      <c r="K1090" s="1268"/>
      <c r="L1090" s="1268"/>
      <c r="M1090" s="1268"/>
      <c r="N1090" s="1268"/>
      <c r="O1090" s="1268"/>
      <c r="P1090" s="1268"/>
      <c r="Q1090" s="1268"/>
      <c r="R1090" s="1268"/>
      <c r="S1090" s="1268"/>
      <c r="T1090" s="1268"/>
      <c r="U1090" s="1268"/>
      <c r="V1090" s="1268"/>
      <c r="W1090" s="1268"/>
      <c r="X1090" s="1268"/>
      <c r="Y1090" s="1268"/>
      <c r="Z1090" s="1268"/>
      <c r="AA1090" s="1268"/>
      <c r="AB1090" s="1268"/>
      <c r="AC1090" s="1268"/>
      <c r="AD1090" s="1268"/>
      <c r="AE1090" s="1268"/>
      <c r="AF1090" s="1268"/>
      <c r="AG1090" s="1268"/>
      <c r="AH1090" s="1268"/>
      <c r="AI1090" s="1268"/>
      <c r="AJ1090" s="1268"/>
      <c r="AK1090" s="1268"/>
    </row>
    <row r="1091" spans="1:37" ht="12.95" customHeight="1">
      <c r="A1091" s="1358" t="s">
        <v>598</v>
      </c>
      <c r="B1091" s="1358"/>
      <c r="C1091" s="8">
        <v>6</v>
      </c>
      <c r="D1091" s="1268" t="s">
        <v>1117</v>
      </c>
      <c r="E1091" s="1268"/>
      <c r="F1091" s="1268"/>
      <c r="G1091" s="1268"/>
      <c r="H1091" s="1268"/>
      <c r="I1091" s="1268"/>
      <c r="J1091" s="1268"/>
      <c r="K1091" s="1268"/>
      <c r="L1091" s="1268"/>
      <c r="M1091" s="1268"/>
      <c r="N1091" s="1268"/>
      <c r="O1091" s="1268"/>
      <c r="P1091" s="1268"/>
      <c r="Q1091" s="1268"/>
      <c r="R1091" s="1268"/>
      <c r="S1091" s="1268"/>
      <c r="T1091" s="1268"/>
      <c r="U1091" s="1268"/>
      <c r="V1091" s="1268"/>
      <c r="W1091" s="1268"/>
      <c r="X1091" s="1268"/>
      <c r="Y1091" s="1268"/>
      <c r="Z1091" s="1268"/>
      <c r="AA1091" s="1268"/>
      <c r="AB1091" s="1268"/>
      <c r="AC1091" s="1268"/>
      <c r="AD1091" s="1268"/>
      <c r="AE1091" s="1268"/>
      <c r="AF1091" s="1268"/>
      <c r="AG1091" s="1268"/>
      <c r="AH1091" s="1268"/>
      <c r="AI1091" s="1268"/>
      <c r="AJ1091" s="1268"/>
      <c r="AK1091" s="1268"/>
    </row>
    <row r="1092" spans="1:37" ht="12.95" customHeight="1">
      <c r="A1092" s="35"/>
      <c r="B1092" s="25"/>
      <c r="C1092" s="8"/>
      <c r="D1092" s="1268"/>
      <c r="E1092" s="1268"/>
      <c r="F1092" s="1268"/>
      <c r="G1092" s="1268"/>
      <c r="H1092" s="1268"/>
      <c r="I1092" s="1268"/>
      <c r="J1092" s="1268"/>
      <c r="K1092" s="1268"/>
      <c r="L1092" s="1268"/>
      <c r="M1092" s="1268"/>
      <c r="N1092" s="1268"/>
      <c r="O1092" s="1268"/>
      <c r="P1092" s="1268"/>
      <c r="Q1092" s="1268"/>
      <c r="R1092" s="1268"/>
      <c r="S1092" s="1268"/>
      <c r="T1092" s="1268"/>
      <c r="U1092" s="1268"/>
      <c r="V1092" s="1268"/>
      <c r="W1092" s="1268"/>
      <c r="X1092" s="1268"/>
      <c r="Y1092" s="1268"/>
      <c r="Z1092" s="1268"/>
      <c r="AA1092" s="1268"/>
      <c r="AB1092" s="1268"/>
      <c r="AC1092" s="1268"/>
      <c r="AD1092" s="1268"/>
      <c r="AE1092" s="1268"/>
      <c r="AF1092" s="1268"/>
      <c r="AG1092" s="1268"/>
      <c r="AH1092" s="1268"/>
      <c r="AI1092" s="1268"/>
      <c r="AJ1092" s="1268"/>
      <c r="AK1092" s="1268"/>
    </row>
    <row r="1093" spans="1:37" ht="12.95" customHeight="1">
      <c r="A1093" s="35"/>
      <c r="B1093" s="25"/>
      <c r="C1093" s="8"/>
      <c r="D1093" s="1268"/>
      <c r="E1093" s="1268"/>
      <c r="F1093" s="1268"/>
      <c r="G1093" s="1268"/>
      <c r="H1093" s="1268"/>
      <c r="I1093" s="1268"/>
      <c r="J1093" s="1268"/>
      <c r="K1093" s="1268"/>
      <c r="L1093" s="1268"/>
      <c r="M1093" s="1268"/>
      <c r="N1093" s="1268"/>
      <c r="O1093" s="1268"/>
      <c r="P1093" s="1268"/>
      <c r="Q1093" s="1268"/>
      <c r="R1093" s="1268"/>
      <c r="S1093" s="1268"/>
      <c r="T1093" s="1268"/>
      <c r="U1093" s="1268"/>
      <c r="V1093" s="1268"/>
      <c r="W1093" s="1268"/>
      <c r="X1093" s="1268"/>
      <c r="Y1093" s="1268"/>
      <c r="Z1093" s="1268"/>
      <c r="AA1093" s="1268"/>
      <c r="AB1093" s="1268"/>
      <c r="AC1093" s="1268"/>
      <c r="AD1093" s="1268"/>
      <c r="AE1093" s="1268"/>
      <c r="AF1093" s="1268"/>
      <c r="AG1093" s="1268"/>
      <c r="AH1093" s="1268"/>
      <c r="AI1093" s="1268"/>
      <c r="AJ1093" s="1268"/>
      <c r="AK1093" s="1268"/>
    </row>
    <row r="1094" spans="1:37" ht="12.95" customHeight="1">
      <c r="A1094" s="1358" t="s">
        <v>598</v>
      </c>
      <c r="B1094" s="1358"/>
      <c r="C1094" s="212">
        <v>7</v>
      </c>
      <c r="D1094" s="1268" t="s">
        <v>1119</v>
      </c>
      <c r="E1094" s="1268"/>
      <c r="F1094" s="1268"/>
      <c r="G1094" s="1268"/>
      <c r="H1094" s="1268"/>
      <c r="I1094" s="1268"/>
      <c r="J1094" s="1268"/>
      <c r="K1094" s="1268"/>
      <c r="L1094" s="1268"/>
      <c r="M1094" s="1268"/>
      <c r="N1094" s="1268"/>
      <c r="O1094" s="1268"/>
      <c r="P1094" s="1268"/>
      <c r="Q1094" s="1268"/>
      <c r="R1094" s="1268"/>
      <c r="S1094" s="1268"/>
      <c r="T1094" s="1268"/>
      <c r="U1094" s="1268"/>
      <c r="V1094" s="1268"/>
      <c r="W1094" s="1268"/>
      <c r="X1094" s="1268"/>
      <c r="Y1094" s="1268"/>
      <c r="Z1094" s="1268"/>
      <c r="AA1094" s="1268"/>
      <c r="AB1094" s="1268"/>
      <c r="AC1094" s="1268"/>
      <c r="AD1094" s="1268"/>
      <c r="AE1094" s="1268"/>
      <c r="AF1094" s="1268"/>
      <c r="AG1094" s="1268"/>
      <c r="AH1094" s="1268"/>
      <c r="AI1094" s="1268"/>
      <c r="AJ1094" s="1268"/>
      <c r="AK1094" s="1268"/>
    </row>
    <row r="1095" spans="1:37" ht="12.95" customHeight="1">
      <c r="A1095" s="1"/>
      <c r="B1095" s="1"/>
      <c r="C1095" s="212"/>
      <c r="D1095" s="1268"/>
      <c r="E1095" s="1268"/>
      <c r="F1095" s="1268"/>
      <c r="G1095" s="1268"/>
      <c r="H1095" s="1268"/>
      <c r="I1095" s="1268"/>
      <c r="J1095" s="1268"/>
      <c r="K1095" s="1268"/>
      <c r="L1095" s="1268"/>
      <c r="M1095" s="1268"/>
      <c r="N1095" s="1268"/>
      <c r="O1095" s="1268"/>
      <c r="P1095" s="1268"/>
      <c r="Q1095" s="1268"/>
      <c r="R1095" s="1268"/>
      <c r="S1095" s="1268"/>
      <c r="T1095" s="1268"/>
      <c r="U1095" s="1268"/>
      <c r="V1095" s="1268"/>
      <c r="W1095" s="1268"/>
      <c r="X1095" s="1268"/>
      <c r="Y1095" s="1268"/>
      <c r="Z1095" s="1268"/>
      <c r="AA1095" s="1268"/>
      <c r="AB1095" s="1268"/>
      <c r="AC1095" s="1268"/>
      <c r="AD1095" s="1268"/>
      <c r="AE1095" s="1268"/>
      <c r="AF1095" s="1268"/>
      <c r="AG1095" s="1268"/>
      <c r="AH1095" s="1268"/>
      <c r="AI1095" s="1268"/>
      <c r="AJ1095" s="1268"/>
      <c r="AK1095" s="1268"/>
    </row>
    <row r="1096" spans="1:37" ht="12.95" customHeight="1">
      <c r="A1096" s="1"/>
      <c r="B1096" s="1"/>
      <c r="C1096" s="212"/>
      <c r="D1096" s="1268"/>
      <c r="E1096" s="1268"/>
      <c r="F1096" s="1268"/>
      <c r="G1096" s="1268"/>
      <c r="H1096" s="1268"/>
      <c r="I1096" s="1268"/>
      <c r="J1096" s="1268"/>
      <c r="K1096" s="1268"/>
      <c r="L1096" s="1268"/>
      <c r="M1096" s="1268"/>
      <c r="N1096" s="1268"/>
      <c r="O1096" s="1268"/>
      <c r="P1096" s="1268"/>
      <c r="Q1096" s="1268"/>
      <c r="R1096" s="1268"/>
      <c r="S1096" s="1268"/>
      <c r="T1096" s="1268"/>
      <c r="U1096" s="1268"/>
      <c r="V1096" s="1268"/>
      <c r="W1096" s="1268"/>
      <c r="X1096" s="1268"/>
      <c r="Y1096" s="1268"/>
      <c r="Z1096" s="1268"/>
      <c r="AA1096" s="1268"/>
      <c r="AB1096" s="1268"/>
      <c r="AC1096" s="1268"/>
      <c r="AD1096" s="1268"/>
      <c r="AE1096" s="1268"/>
      <c r="AF1096" s="1268"/>
      <c r="AG1096" s="1268"/>
      <c r="AH1096" s="1268"/>
      <c r="AI1096" s="1268"/>
      <c r="AJ1096" s="1268"/>
      <c r="AK1096" s="1268"/>
    </row>
    <row r="1097" spans="1:37" ht="12.95" customHeight="1">
      <c r="A1097" s="35"/>
      <c r="B1097" s="25"/>
      <c r="C1097" s="212"/>
      <c r="D1097" s="1268"/>
      <c r="E1097" s="1268"/>
      <c r="F1097" s="1268"/>
      <c r="G1097" s="1268"/>
      <c r="H1097" s="1268"/>
      <c r="I1097" s="1268"/>
      <c r="J1097" s="1268"/>
      <c r="K1097" s="1268"/>
      <c r="L1097" s="1268"/>
      <c r="M1097" s="1268"/>
      <c r="N1097" s="1268"/>
      <c r="O1097" s="1268"/>
      <c r="P1097" s="1268"/>
      <c r="Q1097" s="1268"/>
      <c r="R1097" s="1268"/>
      <c r="S1097" s="1268"/>
      <c r="T1097" s="1268"/>
      <c r="U1097" s="1268"/>
      <c r="V1097" s="1268"/>
      <c r="W1097" s="1268"/>
      <c r="X1097" s="1268"/>
      <c r="Y1097" s="1268"/>
      <c r="Z1097" s="1268"/>
      <c r="AA1097" s="1268"/>
      <c r="AB1097" s="1268"/>
      <c r="AC1097" s="1268"/>
      <c r="AD1097" s="1268"/>
      <c r="AE1097" s="1268"/>
      <c r="AF1097" s="1268"/>
      <c r="AG1097" s="1268"/>
      <c r="AH1097" s="1268"/>
      <c r="AI1097" s="1268"/>
      <c r="AJ1097" s="1268"/>
      <c r="AK1097" s="1268"/>
    </row>
    <row r="1098" spans="1:37" ht="12.95" customHeight="1">
      <c r="A1098" s="1358" t="s">
        <v>598</v>
      </c>
      <c r="B1098" s="1358"/>
      <c r="C1098" s="212">
        <v>8</v>
      </c>
      <c r="D1098" s="1328" t="s">
        <v>1870</v>
      </c>
      <c r="E1098" s="1328"/>
      <c r="F1098" s="1328"/>
      <c r="G1098" s="1328"/>
      <c r="H1098" s="1328"/>
      <c r="I1098" s="1328"/>
      <c r="J1098" s="1328"/>
      <c r="K1098" s="1328"/>
      <c r="L1098" s="1328"/>
      <c r="M1098" s="1328"/>
      <c r="N1098" s="1328"/>
      <c r="O1098" s="1328"/>
      <c r="P1098" s="1328"/>
      <c r="Q1098" s="1328"/>
      <c r="R1098" s="1328"/>
      <c r="S1098" s="1328"/>
      <c r="T1098" s="1328"/>
      <c r="U1098" s="1328"/>
      <c r="V1098" s="1328"/>
      <c r="W1098" s="1328"/>
      <c r="X1098" s="1328"/>
      <c r="Y1098" s="1328"/>
      <c r="Z1098" s="1328"/>
      <c r="AA1098" s="1328"/>
      <c r="AB1098" s="1328"/>
      <c r="AC1098" s="1328"/>
      <c r="AD1098" s="1328"/>
      <c r="AE1098" s="1328"/>
      <c r="AF1098" s="1328"/>
      <c r="AG1098" s="1328"/>
      <c r="AH1098" s="1328"/>
      <c r="AI1098" s="1328"/>
      <c r="AJ1098" s="1328"/>
      <c r="AK1098" s="1328"/>
    </row>
    <row r="1099" spans="1:37" ht="12.95" customHeight="1">
      <c r="A1099" s="1"/>
      <c r="B1099" s="1"/>
      <c r="C1099" s="212"/>
      <c r="D1099" s="1328"/>
      <c r="E1099" s="1328"/>
      <c r="F1099" s="1328"/>
      <c r="G1099" s="1328"/>
      <c r="H1099" s="1328"/>
      <c r="I1099" s="1328"/>
      <c r="J1099" s="1328"/>
      <c r="K1099" s="1328"/>
      <c r="L1099" s="1328"/>
      <c r="M1099" s="1328"/>
      <c r="N1099" s="1328"/>
      <c r="O1099" s="1328"/>
      <c r="P1099" s="1328"/>
      <c r="Q1099" s="1328"/>
      <c r="R1099" s="1328"/>
      <c r="S1099" s="1328"/>
      <c r="T1099" s="1328"/>
      <c r="U1099" s="1328"/>
      <c r="V1099" s="1328"/>
      <c r="W1099" s="1328"/>
      <c r="X1099" s="1328"/>
      <c r="Y1099" s="1328"/>
      <c r="Z1099" s="1328"/>
      <c r="AA1099" s="1328"/>
      <c r="AB1099" s="1328"/>
      <c r="AC1099" s="1328"/>
      <c r="AD1099" s="1328"/>
      <c r="AE1099" s="1328"/>
      <c r="AF1099" s="1328"/>
      <c r="AG1099" s="1328"/>
      <c r="AH1099" s="1328"/>
      <c r="AI1099" s="1328"/>
      <c r="AJ1099" s="1328"/>
      <c r="AK1099" s="1328"/>
    </row>
    <row r="1100" spans="1:37" ht="12.95" customHeight="1">
      <c r="A1100" s="1"/>
      <c r="B1100" s="1"/>
      <c r="C1100" s="212"/>
      <c r="D1100" s="1328"/>
      <c r="E1100" s="1328"/>
      <c r="F1100" s="1328"/>
      <c r="G1100" s="1328"/>
      <c r="H1100" s="1328"/>
      <c r="I1100" s="1328"/>
      <c r="J1100" s="1328"/>
      <c r="K1100" s="1328"/>
      <c r="L1100" s="1328"/>
      <c r="M1100" s="1328"/>
      <c r="N1100" s="1328"/>
      <c r="O1100" s="1328"/>
      <c r="P1100" s="1328"/>
      <c r="Q1100" s="1328"/>
      <c r="R1100" s="1328"/>
      <c r="S1100" s="1328"/>
      <c r="T1100" s="1328"/>
      <c r="U1100" s="1328"/>
      <c r="V1100" s="1328"/>
      <c r="W1100" s="1328"/>
      <c r="X1100" s="1328"/>
      <c r="Y1100" s="1328"/>
      <c r="Z1100" s="1328"/>
      <c r="AA1100" s="1328"/>
      <c r="AB1100" s="1328"/>
      <c r="AC1100" s="1328"/>
      <c r="AD1100" s="1328"/>
      <c r="AE1100" s="1328"/>
      <c r="AF1100" s="1328"/>
      <c r="AG1100" s="1328"/>
      <c r="AH1100" s="1328"/>
      <c r="AI1100" s="1328"/>
      <c r="AJ1100" s="1328"/>
      <c r="AK1100" s="1328"/>
    </row>
    <row r="1101" spans="1:37" ht="0" hidden="1" customHeight="1">
      <c r="A1101" s="1"/>
      <c r="B1101" s="1"/>
      <c r="C1101" s="212"/>
      <c r="D1101" s="1328"/>
      <c r="E1101" s="1328"/>
      <c r="F1101" s="1328"/>
      <c r="G1101" s="1328"/>
      <c r="H1101" s="1328"/>
      <c r="I1101" s="1328"/>
      <c r="J1101" s="1328"/>
      <c r="K1101" s="1328"/>
      <c r="L1101" s="1328"/>
      <c r="M1101" s="1328"/>
      <c r="N1101" s="1328"/>
      <c r="O1101" s="1328"/>
      <c r="P1101" s="1328"/>
      <c r="Q1101" s="1328"/>
      <c r="R1101" s="1328"/>
      <c r="S1101" s="1328"/>
      <c r="T1101" s="1328"/>
      <c r="U1101" s="1328"/>
      <c r="V1101" s="1328"/>
      <c r="W1101" s="1328"/>
      <c r="X1101" s="1328"/>
      <c r="Y1101" s="1328"/>
      <c r="Z1101" s="1328"/>
      <c r="AA1101" s="1328"/>
      <c r="AB1101" s="1328"/>
      <c r="AC1101" s="1328"/>
      <c r="AD1101" s="1328"/>
      <c r="AE1101" s="1328"/>
      <c r="AF1101" s="1328"/>
      <c r="AG1101" s="1328"/>
      <c r="AH1101" s="1328"/>
      <c r="AI1101" s="1328"/>
      <c r="AJ1101" s="1328"/>
      <c r="AK1101" s="1328"/>
    </row>
    <row r="1102" spans="1:37" ht="0" hidden="1" customHeight="1">
      <c r="A1102" s="35"/>
      <c r="B1102" s="25"/>
      <c r="C1102" s="212"/>
      <c r="D1102" s="1328"/>
      <c r="E1102" s="1328"/>
      <c r="F1102" s="1328"/>
      <c r="G1102" s="1328"/>
      <c r="H1102" s="1328"/>
      <c r="I1102" s="1328"/>
      <c r="J1102" s="1328"/>
      <c r="K1102" s="1328"/>
      <c r="L1102" s="1328"/>
      <c r="M1102" s="1328"/>
      <c r="N1102" s="1328"/>
      <c r="O1102" s="1328"/>
      <c r="P1102" s="1328"/>
      <c r="Q1102" s="1328"/>
      <c r="R1102" s="1328"/>
      <c r="S1102" s="1328"/>
      <c r="T1102" s="1328"/>
      <c r="U1102" s="1328"/>
      <c r="V1102" s="1328"/>
      <c r="W1102" s="1328"/>
      <c r="X1102" s="1328"/>
      <c r="Y1102" s="1328"/>
      <c r="Z1102" s="1328"/>
      <c r="AA1102" s="1328"/>
      <c r="AB1102" s="1328"/>
      <c r="AC1102" s="1328"/>
      <c r="AD1102" s="1328"/>
      <c r="AE1102" s="1328"/>
      <c r="AF1102" s="1328"/>
      <c r="AG1102" s="1328"/>
      <c r="AH1102" s="1328"/>
      <c r="AI1102" s="1328"/>
      <c r="AJ1102" s="1328"/>
      <c r="AK1102" s="1328"/>
    </row>
    <row r="1103" spans="1:37" ht="0" hidden="1" customHeight="1">
      <c r="A1103" s="1358" t="s">
        <v>598</v>
      </c>
      <c r="B1103" s="1358"/>
      <c r="C1103" s="212">
        <v>9</v>
      </c>
      <c r="D1103" s="1268" t="s">
        <v>1118</v>
      </c>
      <c r="E1103" s="1268"/>
      <c r="F1103" s="1268"/>
      <c r="G1103" s="1268"/>
      <c r="H1103" s="1268"/>
      <c r="I1103" s="1268"/>
      <c r="J1103" s="1268"/>
      <c r="K1103" s="1268"/>
      <c r="L1103" s="1268"/>
      <c r="M1103" s="1268"/>
      <c r="N1103" s="1268"/>
      <c r="O1103" s="1268"/>
      <c r="P1103" s="1268"/>
      <c r="Q1103" s="1268"/>
      <c r="R1103" s="1268"/>
      <c r="S1103" s="1268"/>
      <c r="T1103" s="1268"/>
      <c r="U1103" s="1268"/>
      <c r="V1103" s="1268"/>
      <c r="W1103" s="1268"/>
      <c r="X1103" s="1268"/>
      <c r="Y1103" s="1268"/>
      <c r="Z1103" s="1268"/>
      <c r="AA1103" s="1268"/>
      <c r="AB1103" s="1268"/>
      <c r="AC1103" s="1268"/>
      <c r="AD1103" s="1268"/>
      <c r="AE1103" s="1268"/>
      <c r="AF1103" s="1268"/>
      <c r="AG1103" s="1268"/>
      <c r="AH1103" s="1268"/>
      <c r="AI1103" s="1268"/>
      <c r="AJ1103" s="1268"/>
      <c r="AK1103" s="1268"/>
    </row>
    <row r="1104" spans="1:37" ht="0" hidden="1" customHeight="1">
      <c r="A1104" s="35"/>
      <c r="B1104" s="25"/>
      <c r="C1104" s="212"/>
      <c r="D1104" s="1268"/>
      <c r="E1104" s="1268"/>
      <c r="F1104" s="1268"/>
      <c r="G1104" s="1268"/>
      <c r="H1104" s="1268"/>
      <c r="I1104" s="1268"/>
      <c r="J1104" s="1268"/>
      <c r="K1104" s="1268"/>
      <c r="L1104" s="1268"/>
      <c r="M1104" s="1268"/>
      <c r="N1104" s="1268"/>
      <c r="O1104" s="1268"/>
      <c r="P1104" s="1268"/>
      <c r="Q1104" s="1268"/>
      <c r="R1104" s="1268"/>
      <c r="S1104" s="1268"/>
      <c r="T1104" s="1268"/>
      <c r="U1104" s="1268"/>
      <c r="V1104" s="1268"/>
      <c r="W1104" s="1268"/>
      <c r="X1104" s="1268"/>
      <c r="Y1104" s="1268"/>
      <c r="Z1104" s="1268"/>
      <c r="AA1104" s="1268"/>
      <c r="AB1104" s="1268"/>
      <c r="AC1104" s="1268"/>
      <c r="AD1104" s="1268"/>
      <c r="AE1104" s="1268"/>
      <c r="AF1104" s="1268"/>
      <c r="AG1104" s="1268"/>
      <c r="AH1104" s="1268"/>
      <c r="AI1104" s="1268"/>
      <c r="AJ1104" s="1268"/>
      <c r="AK1104" s="1268"/>
    </row>
    <row r="1105" spans="4:37" ht="0" hidden="1" customHeight="1">
      <c r="D1105" s="1268"/>
      <c r="E1105" s="1268"/>
      <c r="F1105" s="1268"/>
      <c r="G1105" s="1268"/>
      <c r="H1105" s="1268"/>
      <c r="I1105" s="1268"/>
      <c r="J1105" s="1268"/>
      <c r="K1105" s="1268"/>
      <c r="L1105" s="1268"/>
      <c r="M1105" s="1268"/>
      <c r="N1105" s="1268"/>
      <c r="O1105" s="1268"/>
      <c r="P1105" s="1268"/>
      <c r="Q1105" s="1268"/>
      <c r="R1105" s="1268"/>
      <c r="S1105" s="1268"/>
      <c r="T1105" s="1268"/>
      <c r="U1105" s="1268"/>
      <c r="V1105" s="1268"/>
      <c r="W1105" s="1268"/>
      <c r="X1105" s="1268"/>
      <c r="Y1105" s="1268"/>
      <c r="Z1105" s="1268"/>
      <c r="AA1105" s="1268"/>
      <c r="AB1105" s="1268"/>
      <c r="AC1105" s="1268"/>
      <c r="AD1105" s="1268"/>
      <c r="AE1105" s="1268"/>
      <c r="AF1105" s="1268"/>
      <c r="AG1105" s="1268"/>
      <c r="AH1105" s="1268"/>
      <c r="AI1105" s="1268"/>
      <c r="AJ1105" s="1268"/>
      <c r="AK1105" s="1268"/>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B728:F728"/>
    <mergeCell ref="EW639:FA639"/>
    <mergeCell ref="G675:R675"/>
    <mergeCell ref="AH730:AJ730"/>
    <mergeCell ref="AC723:AG723"/>
    <mergeCell ref="AH721:AJ721"/>
    <mergeCell ref="AC721:AG721"/>
    <mergeCell ref="AC722:AG722"/>
    <mergeCell ref="AH738:AJ738"/>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I679:AK679"/>
    <mergeCell ref="K724:N724"/>
    <mergeCell ref="K726:N726"/>
    <mergeCell ref="K725:N725"/>
    <mergeCell ref="O726:S726"/>
    <mergeCell ref="B714:F717"/>
    <mergeCell ref="B725:F725"/>
    <mergeCell ref="B724:F724"/>
    <mergeCell ref="EW631:FA631"/>
    <mergeCell ref="DX629:EB629"/>
    <mergeCell ref="EC629:EG629"/>
    <mergeCell ref="EH629:EL629"/>
    <mergeCell ref="EM629:EQ629"/>
    <mergeCell ref="EM659:EQ659"/>
    <mergeCell ref="ER659:EV659"/>
    <mergeCell ref="EW659:FA659"/>
    <mergeCell ref="DX660:EB660"/>
    <mergeCell ref="EC660:EG660"/>
    <mergeCell ref="EH660:EL660"/>
    <mergeCell ref="EM660:EQ660"/>
    <mergeCell ref="DX665:EB665"/>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EM630:EQ630"/>
    <mergeCell ref="DX664:EB664"/>
    <mergeCell ref="EM643:EQ643"/>
    <mergeCell ref="EC648:EG648"/>
    <mergeCell ref="DX643:EB643"/>
    <mergeCell ref="DX627:EB627"/>
    <mergeCell ref="EH627:EL627"/>
    <mergeCell ref="EM627:EQ627"/>
    <mergeCell ref="ER627:EV627"/>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DX624:EB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6:EG626"/>
    <mergeCell ref="EH626:EL626"/>
    <mergeCell ref="EM626:EQ626"/>
    <mergeCell ref="ER626:EV626"/>
    <mergeCell ref="DH624:DL624"/>
    <mergeCell ref="EW626:FA626"/>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BN624:BR624"/>
    <mergeCell ref="BS624:BW624"/>
    <mergeCell ref="DM626:DQ626"/>
    <mergeCell ref="DR626:DV626"/>
    <mergeCell ref="CS627:CW627"/>
    <mergeCell ref="CX627:DB627"/>
    <mergeCell ref="DC627:DG627"/>
    <mergeCell ref="DH627:DL627"/>
    <mergeCell ref="DM627:DQ627"/>
    <mergeCell ref="DR627:DV627"/>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DH620:DL620"/>
    <mergeCell ref="DM620:DQ620"/>
    <mergeCell ref="AG438:AJ438"/>
    <mergeCell ref="Q562:S562"/>
    <mergeCell ref="Z555:AD555"/>
    <mergeCell ref="Q485:AK485"/>
    <mergeCell ref="Z557:AD557"/>
    <mergeCell ref="CS620:CW620"/>
    <mergeCell ref="CX620:DB620"/>
    <mergeCell ref="CH626:CL626"/>
    <mergeCell ref="CM626:CQ626"/>
    <mergeCell ref="BN627:BR627"/>
    <mergeCell ref="BS627:BW627"/>
    <mergeCell ref="BE629:BF629"/>
    <mergeCell ref="BG629:BH629"/>
    <mergeCell ref="BI629:BJ629"/>
    <mergeCell ref="BK629:BL629"/>
    <mergeCell ref="BE626:BF626"/>
    <mergeCell ref="BG626:BH626"/>
    <mergeCell ref="BI626:BJ626"/>
    <mergeCell ref="BK626:BL626"/>
    <mergeCell ref="BN621:BR621"/>
    <mergeCell ref="BS621:BW621"/>
    <mergeCell ref="BX621:CB621"/>
    <mergeCell ref="CC621:CG621"/>
    <mergeCell ref="CH621:CL621"/>
    <mergeCell ref="CM621:CQ621"/>
    <mergeCell ref="BN622:BR622"/>
    <mergeCell ref="BS622:BW622"/>
    <mergeCell ref="BX622:CB622"/>
    <mergeCell ref="CC622:CG622"/>
    <mergeCell ref="AF574:AK574"/>
    <mergeCell ref="Z585:AK585"/>
    <mergeCell ref="BG600:BH600"/>
    <mergeCell ref="AI558:AL558"/>
    <mergeCell ref="W561:Y561"/>
    <mergeCell ref="W562:Y562"/>
    <mergeCell ref="Z562:AD562"/>
    <mergeCell ref="Z561:AD561"/>
    <mergeCell ref="M562:P562"/>
    <mergeCell ref="AE564:AH564"/>
    <mergeCell ref="BS607:BW607"/>
    <mergeCell ref="BN609:BR609"/>
    <mergeCell ref="AC526:AF526"/>
    <mergeCell ref="AH531:AK531"/>
    <mergeCell ref="AC525:AF525"/>
    <mergeCell ref="H573:R573"/>
    <mergeCell ref="T565:V565"/>
    <mergeCell ref="C560:L560"/>
    <mergeCell ref="T558:V558"/>
    <mergeCell ref="AM551:AS553"/>
    <mergeCell ref="AE551:AH553"/>
    <mergeCell ref="AI551:AL553"/>
    <mergeCell ref="AE555:AH555"/>
    <mergeCell ref="Q555:S555"/>
    <mergeCell ref="AM560:AS560"/>
    <mergeCell ref="AC530:AF530"/>
    <mergeCell ref="O526:AA526"/>
    <mergeCell ref="AC529:AF529"/>
    <mergeCell ref="AH530:AK530"/>
    <mergeCell ref="Q554:S554"/>
    <mergeCell ref="AE561:AH561"/>
    <mergeCell ref="AC531:AF531"/>
    <mergeCell ref="AH526:AK526"/>
    <mergeCell ref="BE597:BF597"/>
    <mergeCell ref="N591:O591"/>
    <mergeCell ref="AC520:AF520"/>
    <mergeCell ref="AC527:AF527"/>
    <mergeCell ref="BS597:BW597"/>
    <mergeCell ref="AG583:AH583"/>
    <mergeCell ref="BE601:BF601"/>
    <mergeCell ref="BE598:BF598"/>
    <mergeCell ref="BK601:BL601"/>
    <mergeCell ref="AC522:AF522"/>
    <mergeCell ref="AH540:AK540"/>
    <mergeCell ref="AH509:AK509"/>
    <mergeCell ref="B566:AL566"/>
    <mergeCell ref="AC524:AF524"/>
    <mergeCell ref="AM555:AS555"/>
    <mergeCell ref="BI609:BJ609"/>
    <mergeCell ref="M560:P560"/>
    <mergeCell ref="Q563:S563"/>
    <mergeCell ref="AI565:AL565"/>
    <mergeCell ref="N583:O583"/>
    <mergeCell ref="AH537:AK537"/>
    <mergeCell ref="Q556:S556"/>
    <mergeCell ref="AE562:AH562"/>
    <mergeCell ref="AH542:AK542"/>
    <mergeCell ref="AC542:AF542"/>
    <mergeCell ref="AI557:AL557"/>
    <mergeCell ref="AC534:AF534"/>
    <mergeCell ref="AC533:AF533"/>
    <mergeCell ref="T557:V557"/>
    <mergeCell ref="Q557:S557"/>
    <mergeCell ref="T556:V556"/>
    <mergeCell ref="P605:R605"/>
    <mergeCell ref="AH538:AK538"/>
    <mergeCell ref="Z551:AD553"/>
    <mergeCell ref="AG440:AJ440"/>
    <mergeCell ref="AD412:AE412"/>
    <mergeCell ref="H414:AE415"/>
    <mergeCell ref="AE425:AF425"/>
    <mergeCell ref="I410:AE410"/>
    <mergeCell ref="P421:R421"/>
    <mergeCell ref="AC509:AF509"/>
    <mergeCell ref="B514:H516"/>
    <mergeCell ref="AC515:AF515"/>
    <mergeCell ref="AC514:AF514"/>
    <mergeCell ref="AH523:AK523"/>
    <mergeCell ref="AH504:AK504"/>
    <mergeCell ref="AH517:AK517"/>
    <mergeCell ref="AH503:AK503"/>
    <mergeCell ref="AC500:AF500"/>
    <mergeCell ref="B517:H519"/>
    <mergeCell ref="AH495:AK495"/>
    <mergeCell ref="W418:Y418"/>
    <mergeCell ref="AH513:AK513"/>
    <mergeCell ref="AC501:AF501"/>
    <mergeCell ref="AC518:AF518"/>
    <mergeCell ref="AC513:AF513"/>
    <mergeCell ref="AC503:AF503"/>
    <mergeCell ref="D472:V472"/>
    <mergeCell ref="W472:Y472"/>
    <mergeCell ref="O520:AA520"/>
    <mergeCell ref="AH518:AK518"/>
    <mergeCell ref="AH514:AK514"/>
    <mergeCell ref="AH506:AK506"/>
    <mergeCell ref="AG437:AJ437"/>
    <mergeCell ref="AG450:AJ450"/>
    <mergeCell ref="AC455:AF455"/>
    <mergeCell ref="M261:T261"/>
    <mergeCell ref="AH262:AK262"/>
    <mergeCell ref="AA337:AK337"/>
    <mergeCell ref="H327:R327"/>
    <mergeCell ref="Q494:AK494"/>
    <mergeCell ref="AH524:AK524"/>
    <mergeCell ref="AH525:AK525"/>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D446:AF446"/>
    <mergeCell ref="D447:AF447"/>
    <mergeCell ref="J388:U388"/>
    <mergeCell ref="B501:H502"/>
    <mergeCell ref="AH246:AK246"/>
    <mergeCell ref="AC456:AF456"/>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E418:G418"/>
    <mergeCell ref="AD411:AE411"/>
    <mergeCell ref="F427:AH428"/>
    <mergeCell ref="V377:W377"/>
    <mergeCell ref="S377:T377"/>
    <mergeCell ref="D437:AF437"/>
    <mergeCell ref="M356:N356"/>
    <mergeCell ref="S413:T413"/>
    <mergeCell ref="D467:V467"/>
    <mergeCell ref="AG441:AJ441"/>
    <mergeCell ref="Q394:U394"/>
    <mergeCell ref="N370:Q370"/>
    <mergeCell ref="AG447:AJ447"/>
    <mergeCell ref="S401:U401"/>
    <mergeCell ref="AA332:AF332"/>
    <mergeCell ref="AA328:AK328"/>
    <mergeCell ref="V276:W276"/>
    <mergeCell ref="K403:AJ403"/>
    <mergeCell ref="AG449:AJ449"/>
    <mergeCell ref="N371:Q371"/>
    <mergeCell ref="V382:W382"/>
    <mergeCell ref="Y364:Z364"/>
    <mergeCell ref="N378:P378"/>
    <mergeCell ref="AG401:AJ401"/>
    <mergeCell ref="D445:AF445"/>
    <mergeCell ref="AA336:AK336"/>
    <mergeCell ref="H333:R333"/>
    <mergeCell ref="S405:AJ405"/>
    <mergeCell ref="H339:M339"/>
    <mergeCell ref="AA317:AK317"/>
    <mergeCell ref="L280:AD280"/>
    <mergeCell ref="H336:R336"/>
    <mergeCell ref="AG446:AJ446"/>
    <mergeCell ref="D440:AF440"/>
    <mergeCell ref="AF430:AG430"/>
    <mergeCell ref="E420:AJ420"/>
    <mergeCell ref="AE424:AF424"/>
    <mergeCell ref="N363:O363"/>
    <mergeCell ref="I392:N392"/>
    <mergeCell ref="M357:N357"/>
    <mergeCell ref="J385:U385"/>
    <mergeCell ref="V381:W381"/>
    <mergeCell ref="H340:M340"/>
    <mergeCell ref="AA335:AK335"/>
    <mergeCell ref="AC347:AE347"/>
    <mergeCell ref="AC454:AF454"/>
    <mergeCell ref="D442:AF442"/>
    <mergeCell ref="AI397:AJ397"/>
    <mergeCell ref="T399:AJ399"/>
    <mergeCell ref="T398:AJ398"/>
    <mergeCell ref="AE554:AH554"/>
    <mergeCell ref="Z556:AD556"/>
    <mergeCell ref="AI555:AL555"/>
    <mergeCell ref="T559:V559"/>
    <mergeCell ref="W556:Y556"/>
    <mergeCell ref="AH535:AK535"/>
    <mergeCell ref="AC535:AF535"/>
    <mergeCell ref="AH529:AK529"/>
    <mergeCell ref="AH534:AK534"/>
    <mergeCell ref="AC537:AF537"/>
    <mergeCell ref="AH539:AK539"/>
    <mergeCell ref="T554:V554"/>
    <mergeCell ref="M556:P556"/>
    <mergeCell ref="G474:V474"/>
    <mergeCell ref="W474:Y474"/>
    <mergeCell ref="D473:V473"/>
    <mergeCell ref="D441:AF441"/>
    <mergeCell ref="D466:V466"/>
    <mergeCell ref="D465:V465"/>
    <mergeCell ref="O523:AA523"/>
    <mergeCell ref="AC519:AF519"/>
    <mergeCell ref="AC523:AF523"/>
    <mergeCell ref="AC510:AF510"/>
    <mergeCell ref="AH510:AK510"/>
    <mergeCell ref="AC512:AF512"/>
    <mergeCell ref="AH512:AK512"/>
    <mergeCell ref="AH521:AK521"/>
    <mergeCell ref="P655:R655"/>
    <mergeCell ref="AC630:AE630"/>
    <mergeCell ref="AC631:AE631"/>
    <mergeCell ref="Z646:AK646"/>
    <mergeCell ref="BI608:BJ608"/>
    <mergeCell ref="BK600:BL600"/>
    <mergeCell ref="BG598:BH598"/>
    <mergeCell ref="BG607:BH607"/>
    <mergeCell ref="BG599:BH599"/>
    <mergeCell ref="BX607:CB607"/>
    <mergeCell ref="BS598:BW598"/>
    <mergeCell ref="BS599:BW599"/>
    <mergeCell ref="AG599:AH599"/>
    <mergeCell ref="AI597:AK597"/>
    <mergeCell ref="BE602:BF602"/>
    <mergeCell ref="BE599:BF599"/>
    <mergeCell ref="BX599:CB599"/>
    <mergeCell ref="BK606:BL606"/>
    <mergeCell ref="BX609:CB609"/>
    <mergeCell ref="BK603:BL603"/>
    <mergeCell ref="BX612:CB612"/>
    <mergeCell ref="BX615:CB615"/>
    <mergeCell ref="BK610:BL610"/>
    <mergeCell ref="BG611:BH611"/>
    <mergeCell ref="BK607:BL607"/>
    <mergeCell ref="BN607:BR607"/>
    <mergeCell ref="BS623:BW623"/>
    <mergeCell ref="BX623:CB623"/>
    <mergeCell ref="BN625:BR625"/>
    <mergeCell ref="BS625:BW625"/>
    <mergeCell ref="BX625:CB625"/>
    <mergeCell ref="BX606:CB606"/>
    <mergeCell ref="BX602:CB602"/>
    <mergeCell ref="BE604:BF604"/>
    <mergeCell ref="BE606:BF606"/>
    <mergeCell ref="BE627:BF627"/>
    <mergeCell ref="BE611:BF611"/>
    <mergeCell ref="BG608:BH608"/>
    <mergeCell ref="BE612:BF612"/>
    <mergeCell ref="BS639:BW639"/>
    <mergeCell ref="BX624:CB624"/>
    <mergeCell ref="G645:R645"/>
    <mergeCell ref="BG610:BH610"/>
    <mergeCell ref="BS610:BW610"/>
    <mergeCell ref="O724:S724"/>
    <mergeCell ref="G610:R610"/>
    <mergeCell ref="BX620:CB620"/>
    <mergeCell ref="G613:L613"/>
    <mergeCell ref="Z653:AK653"/>
    <mergeCell ref="Z647:AE647"/>
    <mergeCell ref="Z652:AK652"/>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E623:BF623"/>
    <mergeCell ref="BE609:BF609"/>
    <mergeCell ref="BE607:BF607"/>
    <mergeCell ref="BE608:BF608"/>
    <mergeCell ref="BE610:BF610"/>
    <mergeCell ref="BN601:BR601"/>
    <mergeCell ref="BS640:BW640"/>
    <mergeCell ref="BS615:BW615"/>
    <mergeCell ref="BN641:BR641"/>
    <mergeCell ref="BN637:BR637"/>
    <mergeCell ref="BS631:BW631"/>
    <mergeCell ref="BE624:BF624"/>
    <mergeCell ref="BG624:BH624"/>
    <mergeCell ref="BI624:BJ624"/>
    <mergeCell ref="BI617:BJ617"/>
    <mergeCell ref="BE616:BF616"/>
    <mergeCell ref="BS612:BW612"/>
    <mergeCell ref="BN616:BR616"/>
    <mergeCell ref="BI616:BJ616"/>
    <mergeCell ref="BG623:BH623"/>
    <mergeCell ref="BN619:BR619"/>
    <mergeCell ref="BS619:BW619"/>
    <mergeCell ref="BG618:BH618"/>
    <mergeCell ref="BN620:BR620"/>
    <mergeCell ref="BN623:BR623"/>
    <mergeCell ref="BE603:BF603"/>
    <mergeCell ref="BK624:BL624"/>
    <mergeCell ref="BE625:BF625"/>
    <mergeCell ref="BG625:BH625"/>
    <mergeCell ref="BE613:BF613"/>
    <mergeCell ref="BN618:BR618"/>
    <mergeCell ref="BK617:BL617"/>
    <mergeCell ref="BG628:BH628"/>
    <mergeCell ref="BX596:CB596"/>
    <mergeCell ref="BG601:BH601"/>
    <mergeCell ref="BN629:BR629"/>
    <mergeCell ref="BS629:BW629"/>
    <mergeCell ref="CC598:CG598"/>
    <mergeCell ref="BS604:BW604"/>
    <mergeCell ref="CC605:CG605"/>
    <mergeCell ref="BS602:BW602"/>
    <mergeCell ref="BS609:BW609"/>
    <mergeCell ref="BI607:BJ607"/>
    <mergeCell ref="BG604:BH604"/>
    <mergeCell ref="BX610:CB610"/>
    <mergeCell ref="BI610:BJ610"/>
    <mergeCell ref="CC606:CG606"/>
    <mergeCell ref="BS605:BW605"/>
    <mergeCell ref="BX605:CB605"/>
    <mergeCell ref="BN610:BR610"/>
    <mergeCell ref="CC620:CG620"/>
    <mergeCell ref="BI612:BJ612"/>
    <mergeCell ref="BK612:BL612"/>
    <mergeCell ref="BG612:BH612"/>
    <mergeCell ref="BN612:BR612"/>
    <mergeCell ref="BI614:BJ614"/>
    <mergeCell ref="CC611:CG611"/>
    <mergeCell ref="CC623:CG623"/>
    <mergeCell ref="CC629:CG629"/>
    <mergeCell ref="BI623:BJ623"/>
    <mergeCell ref="BK623:BL623"/>
    <mergeCell ref="BI625:BJ625"/>
    <mergeCell ref="BK625:BL625"/>
    <mergeCell ref="BG627:BH627"/>
    <mergeCell ref="BN611:BR611"/>
    <mergeCell ref="CH597:CL597"/>
    <mergeCell ref="BX598:CB598"/>
    <mergeCell ref="CH598:CL598"/>
    <mergeCell ref="BS596:BW596"/>
    <mergeCell ref="BK604:BL604"/>
    <mergeCell ref="BX597:CB597"/>
    <mergeCell ref="CH596:CL596"/>
    <mergeCell ref="CH601:CL601"/>
    <mergeCell ref="BS603:BW603"/>
    <mergeCell ref="BN604:BR604"/>
    <mergeCell ref="BN598:BR598"/>
    <mergeCell ref="BG603:BH603"/>
    <mergeCell ref="BI601:BJ601"/>
    <mergeCell ref="BI600:BJ600"/>
    <mergeCell ref="BN603:BR603"/>
    <mergeCell ref="BX603:CB603"/>
    <mergeCell ref="BK598:BL598"/>
    <mergeCell ref="CC601:CG601"/>
    <mergeCell ref="CC602:CG602"/>
    <mergeCell ref="CH599:CL599"/>
    <mergeCell ref="CC600:CG600"/>
    <mergeCell ref="BN596:BR596"/>
    <mergeCell ref="BI602:BJ602"/>
    <mergeCell ref="BI598:BJ598"/>
    <mergeCell ref="BK599:BL599"/>
    <mergeCell ref="BN599:BR599"/>
    <mergeCell ref="BX604:CB604"/>
    <mergeCell ref="BN597:BR597"/>
    <mergeCell ref="BG597:BH597"/>
    <mergeCell ref="BI597:BJ597"/>
    <mergeCell ref="BK596:BL596"/>
    <mergeCell ref="CC597:CG597"/>
    <mergeCell ref="AA590:AK590"/>
    <mergeCell ref="BG606:BH606"/>
    <mergeCell ref="BN600:BR600"/>
    <mergeCell ref="P597:R597"/>
    <mergeCell ref="BI604:BJ604"/>
    <mergeCell ref="BN602:BR602"/>
    <mergeCell ref="BI603:BJ603"/>
    <mergeCell ref="BI606:BJ606"/>
    <mergeCell ref="BG605:BH605"/>
    <mergeCell ref="BK597:BL597"/>
    <mergeCell ref="AI589:AK589"/>
    <mergeCell ref="Z596:AK596"/>
    <mergeCell ref="H598:R598"/>
    <mergeCell ref="G597:L597"/>
    <mergeCell ref="AG591:AH591"/>
    <mergeCell ref="BN606:BR606"/>
    <mergeCell ref="BI605:BJ605"/>
    <mergeCell ref="AA606:AK606"/>
    <mergeCell ref="Z601:AK601"/>
    <mergeCell ref="H590:R590"/>
    <mergeCell ref="BK605:BL605"/>
    <mergeCell ref="BE605:BF605"/>
    <mergeCell ref="Z603:AK603"/>
    <mergeCell ref="AI605:AK605"/>
    <mergeCell ref="BG596:BH596"/>
    <mergeCell ref="Z593:AK593"/>
    <mergeCell ref="BI599:BJ599"/>
    <mergeCell ref="BE600:BF600"/>
    <mergeCell ref="AM561:AS561"/>
    <mergeCell ref="AM559:AS559"/>
    <mergeCell ref="H606:R606"/>
    <mergeCell ref="AA333:AK333"/>
    <mergeCell ref="AA311:AK311"/>
    <mergeCell ref="AA306:AK306"/>
    <mergeCell ref="AA303:AK303"/>
    <mergeCell ref="H330:R330"/>
    <mergeCell ref="AH527:AK527"/>
    <mergeCell ref="AC517:AF517"/>
    <mergeCell ref="AH501:AK501"/>
    <mergeCell ref="D450:AF450"/>
    <mergeCell ref="D451:AJ452"/>
    <mergeCell ref="S402:U402"/>
    <mergeCell ref="P425:Q425"/>
    <mergeCell ref="I418:K418"/>
    <mergeCell ref="H338:R338"/>
    <mergeCell ref="AG393:AJ393"/>
    <mergeCell ref="AG391:AJ391"/>
    <mergeCell ref="K404:AJ404"/>
    <mergeCell ref="AC386:AJ386"/>
    <mergeCell ref="Q393:U393"/>
    <mergeCell ref="AG380:AH380"/>
    <mergeCell ref="AE402:AJ402"/>
    <mergeCell ref="AC385:AJ385"/>
    <mergeCell ref="F457:AB458"/>
    <mergeCell ref="AG394:AJ394"/>
    <mergeCell ref="AH516:AK516"/>
    <mergeCell ref="Q491:AK491"/>
    <mergeCell ref="D449:AF449"/>
    <mergeCell ref="P339:R339"/>
    <mergeCell ref="J367:K367"/>
    <mergeCell ref="D270:H270"/>
    <mergeCell ref="X270:AC270"/>
    <mergeCell ref="Z263:AE263"/>
    <mergeCell ref="H311:R311"/>
    <mergeCell ref="H308:M308"/>
    <mergeCell ref="P307:R307"/>
    <mergeCell ref="H305:R305"/>
    <mergeCell ref="AA288:AK288"/>
    <mergeCell ref="H287:R287"/>
    <mergeCell ref="AA300:AF300"/>
    <mergeCell ref="H306:R306"/>
    <mergeCell ref="AA327:AK327"/>
    <mergeCell ref="H309:R309"/>
    <mergeCell ref="AA309:AK309"/>
    <mergeCell ref="H288:R288"/>
    <mergeCell ref="H290:R290"/>
    <mergeCell ref="AA339:AF339"/>
    <mergeCell ref="AA330:AK330"/>
    <mergeCell ref="AA331:AF331"/>
    <mergeCell ref="AI339:AK339"/>
    <mergeCell ref="AI331:AK331"/>
    <mergeCell ref="H332:M332"/>
    <mergeCell ref="H335:R335"/>
    <mergeCell ref="AA329:AK329"/>
    <mergeCell ref="P331:R331"/>
    <mergeCell ref="H328:R328"/>
    <mergeCell ref="AA308:AF308"/>
    <mergeCell ref="L275:AD275"/>
    <mergeCell ref="AA305:AK305"/>
    <mergeCell ref="AI323:AK323"/>
    <mergeCell ref="H329:R329"/>
    <mergeCell ref="AA290:AK290"/>
    <mergeCell ref="U255:W255"/>
    <mergeCell ref="P299:R299"/>
    <mergeCell ref="H293:R293"/>
    <mergeCell ref="M264:AE264"/>
    <mergeCell ref="AA320:AK320"/>
    <mergeCell ref="AA321:AK321"/>
    <mergeCell ref="H325:R325"/>
    <mergeCell ref="AA314:AK314"/>
    <mergeCell ref="AA313:AK313"/>
    <mergeCell ref="H319:R319"/>
    <mergeCell ref="AA316:AF316"/>
    <mergeCell ref="AA297:AK297"/>
    <mergeCell ref="AI315:AK315"/>
    <mergeCell ref="AA304:AK304"/>
    <mergeCell ref="AA324:AF324"/>
    <mergeCell ref="P323:R323"/>
    <mergeCell ref="W253:X253"/>
    <mergeCell ref="AA319:AK319"/>
    <mergeCell ref="AA323:AF323"/>
    <mergeCell ref="H320:R320"/>
    <mergeCell ref="H323:M323"/>
    <mergeCell ref="H324:M324"/>
    <mergeCell ref="AA325:AK325"/>
    <mergeCell ref="H315:M315"/>
    <mergeCell ref="H321:R321"/>
    <mergeCell ref="H322:R322"/>
    <mergeCell ref="P315:R315"/>
    <mergeCell ref="AA322:AK322"/>
    <mergeCell ref="AA307:AF307"/>
    <mergeCell ref="H313:R313"/>
    <mergeCell ref="H304:R304"/>
    <mergeCell ref="H303:R303"/>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M253:T253"/>
    <mergeCell ref="M262:AE262"/>
    <mergeCell ref="AA299:AF299"/>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M249:T249"/>
    <mergeCell ref="AB212:AC212"/>
    <mergeCell ref="AF243:AK243"/>
    <mergeCell ref="T196:U196"/>
    <mergeCell ref="D220:Z220"/>
    <mergeCell ref="T193:AI193"/>
    <mergeCell ref="A86:AT87"/>
    <mergeCell ref="A89:AT90"/>
    <mergeCell ref="A92:AT98"/>
    <mergeCell ref="A100:AT103"/>
    <mergeCell ref="I184:AE184"/>
    <mergeCell ref="X176:Y176"/>
    <mergeCell ref="X180:Y180"/>
    <mergeCell ref="AP205:AQ205"/>
    <mergeCell ref="Y123:AK123"/>
    <mergeCell ref="D205:M205"/>
    <mergeCell ref="J174:AB174"/>
    <mergeCell ref="M238:T238"/>
    <mergeCell ref="Z204:AF206"/>
    <mergeCell ref="T197:U197"/>
    <mergeCell ref="P205:U205"/>
    <mergeCell ref="M239:AE239"/>
    <mergeCell ref="AI229:AJ229"/>
    <mergeCell ref="M235:AE235"/>
    <mergeCell ref="AB215:AL215"/>
    <mergeCell ref="T198:U198"/>
    <mergeCell ref="C115:K115"/>
    <mergeCell ref="O160:T160"/>
    <mergeCell ref="O161:AH161"/>
    <mergeCell ref="D164:AH164"/>
    <mergeCell ref="Y212:Z212"/>
    <mergeCell ref="D214:Z214"/>
    <mergeCell ref="AB216:AL216"/>
    <mergeCell ref="M259:AE259"/>
    <mergeCell ref="AA293:AK293"/>
    <mergeCell ref="W261:X261"/>
    <mergeCell ref="U263:W263"/>
    <mergeCell ref="M257:T257"/>
    <mergeCell ref="M256:AE256"/>
    <mergeCell ref="G113:H113"/>
    <mergeCell ref="Y120:AK120"/>
    <mergeCell ref="D208:M208"/>
    <mergeCell ref="Y117:AK117"/>
    <mergeCell ref="T190:AE190"/>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AI178:AK178"/>
    <mergeCell ref="M234:T234"/>
    <mergeCell ref="W234:X234"/>
    <mergeCell ref="F150:T150"/>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AF178:AG178"/>
    <mergeCell ref="M27:Q27"/>
    <mergeCell ref="A75:AT77"/>
    <mergeCell ref="A79:AT81"/>
    <mergeCell ref="A105:AT106"/>
    <mergeCell ref="L113:O113"/>
    <mergeCell ref="M236:R236"/>
    <mergeCell ref="Z236:AE236"/>
    <mergeCell ref="U175:V175"/>
    <mergeCell ref="R177:S177"/>
    <mergeCell ref="U236:W236"/>
    <mergeCell ref="M243:AE243"/>
    <mergeCell ref="D204:M204"/>
    <mergeCell ref="P204:U204"/>
    <mergeCell ref="AH195:AI195"/>
    <mergeCell ref="AC245:AE245"/>
    <mergeCell ref="M246:AE246"/>
    <mergeCell ref="AA238:AK238"/>
    <mergeCell ref="AH196:AI196"/>
    <mergeCell ref="U176:V176"/>
    <mergeCell ref="AH194:AI194"/>
    <mergeCell ref="M252:AE252"/>
    <mergeCell ref="AA291:AF291"/>
    <mergeCell ref="AI291:AK291"/>
    <mergeCell ref="AI299:AK299"/>
    <mergeCell ref="H297:R297"/>
    <mergeCell ref="AA298:AK298"/>
    <mergeCell ref="H317:R317"/>
    <mergeCell ref="L276:S276"/>
    <mergeCell ref="I190:N190"/>
    <mergeCell ref="L278:Q278"/>
    <mergeCell ref="AA296:AK296"/>
    <mergeCell ref="AA289:AK289"/>
    <mergeCell ref="AA315:AF315"/>
    <mergeCell ref="H298:R298"/>
    <mergeCell ref="H312:R312"/>
    <mergeCell ref="AI307:AK307"/>
    <mergeCell ref="L279:AD279"/>
    <mergeCell ref="H314:R314"/>
    <mergeCell ref="H316:M316"/>
    <mergeCell ref="H292:M292"/>
    <mergeCell ref="AF251:AK251"/>
    <mergeCell ref="M244:AE244"/>
    <mergeCell ref="M247:R247"/>
    <mergeCell ref="M245:T245"/>
    <mergeCell ref="AA312:AK312"/>
    <mergeCell ref="H307:M307"/>
    <mergeCell ref="M263:R263"/>
    <mergeCell ref="M265:T265"/>
    <mergeCell ref="H296:R296"/>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AI560:AL560"/>
    <mergeCell ref="T562:V562"/>
    <mergeCell ref="O529:AA529"/>
    <mergeCell ref="AH533:AK533"/>
    <mergeCell ref="AI563:AL563"/>
    <mergeCell ref="AI554:AL554"/>
    <mergeCell ref="W557:Y557"/>
    <mergeCell ref="W466:Y466"/>
    <mergeCell ref="W473:Y473"/>
    <mergeCell ref="D469:V469"/>
    <mergeCell ref="D468:V468"/>
    <mergeCell ref="W558:Y558"/>
    <mergeCell ref="AE558:AH558"/>
    <mergeCell ref="C557:L557"/>
    <mergeCell ref="AH500:AK500"/>
    <mergeCell ref="M555:P555"/>
    <mergeCell ref="C556:L556"/>
    <mergeCell ref="AC521:AF521"/>
    <mergeCell ref="AC538:AF538"/>
    <mergeCell ref="M561:P561"/>
    <mergeCell ref="AC540:AF540"/>
    <mergeCell ref="M557:P557"/>
    <mergeCell ref="AI581:AK581"/>
    <mergeCell ref="Z554:AD554"/>
    <mergeCell ref="W469:Y469"/>
    <mergeCell ref="AC504:AF504"/>
    <mergeCell ref="Z563:AD563"/>
    <mergeCell ref="M563:P563"/>
    <mergeCell ref="AE565:AH565"/>
    <mergeCell ref="G569:R569"/>
    <mergeCell ref="G571:R571"/>
    <mergeCell ref="G570:R570"/>
    <mergeCell ref="W563:Y563"/>
    <mergeCell ref="W564:Y564"/>
    <mergeCell ref="G572:L572"/>
    <mergeCell ref="B551:L553"/>
    <mergeCell ref="AC528:AF528"/>
    <mergeCell ref="AE556:AH556"/>
    <mergeCell ref="Q558:S558"/>
    <mergeCell ref="M551:P553"/>
    <mergeCell ref="Q551:S553"/>
    <mergeCell ref="T551:V553"/>
    <mergeCell ref="AC539:AF539"/>
    <mergeCell ref="AE559:AH559"/>
    <mergeCell ref="AI559:AL559"/>
    <mergeCell ref="AC532:AF532"/>
    <mergeCell ref="O535:AA535"/>
    <mergeCell ref="O532:AA532"/>
    <mergeCell ref="AH541:AK541"/>
    <mergeCell ref="M564:P564"/>
    <mergeCell ref="C565:L565"/>
    <mergeCell ref="AM565:AS565"/>
    <mergeCell ref="AE563:AH563"/>
    <mergeCell ref="C562:L562"/>
    <mergeCell ref="Q560:S560"/>
    <mergeCell ref="Q565:S565"/>
    <mergeCell ref="Q561:S561"/>
    <mergeCell ref="AM563:AS563"/>
    <mergeCell ref="B718:F718"/>
    <mergeCell ref="G720:J720"/>
    <mergeCell ref="B721:F721"/>
    <mergeCell ref="X723:AB723"/>
    <mergeCell ref="T719:W719"/>
    <mergeCell ref="G687:L687"/>
    <mergeCell ref="T722:W722"/>
    <mergeCell ref="N649:O649"/>
    <mergeCell ref="H664:R664"/>
    <mergeCell ref="W638:Y638"/>
    <mergeCell ref="AC624:AE626"/>
    <mergeCell ref="AK628:AN628"/>
    <mergeCell ref="AK637:AN637"/>
    <mergeCell ref="AK638:AN638"/>
    <mergeCell ref="AF633:AJ633"/>
    <mergeCell ref="AC629:AE629"/>
    <mergeCell ref="AA614:AK614"/>
    <mergeCell ref="G655:L655"/>
    <mergeCell ref="T628:V628"/>
    <mergeCell ref="Z604:AK604"/>
    <mergeCell ref="Z663:AE663"/>
    <mergeCell ref="Z643:AK643"/>
    <mergeCell ref="G721:J721"/>
    <mergeCell ref="G653:R653"/>
    <mergeCell ref="AG681:AH681"/>
    <mergeCell ref="AI687:AK687"/>
    <mergeCell ref="AE696:AI696"/>
    <mergeCell ref="N575:O575"/>
    <mergeCell ref="H582:R582"/>
    <mergeCell ref="P581:R581"/>
    <mergeCell ref="AG607:AH607"/>
    <mergeCell ref="K718:N718"/>
    <mergeCell ref="K719:N719"/>
    <mergeCell ref="G718:J718"/>
    <mergeCell ref="AH719:AJ719"/>
    <mergeCell ref="G670:R670"/>
    <mergeCell ref="M558:P558"/>
    <mergeCell ref="G585:R585"/>
    <mergeCell ref="AG575:AH575"/>
    <mergeCell ref="AG657:AH657"/>
    <mergeCell ref="G661:R661"/>
    <mergeCell ref="G593:R593"/>
    <mergeCell ref="G579:R579"/>
    <mergeCell ref="G679:L679"/>
    <mergeCell ref="Z651:AK651"/>
    <mergeCell ref="G644:R644"/>
    <mergeCell ref="Z645:AK645"/>
    <mergeCell ref="G643:R643"/>
    <mergeCell ref="Z662:AK662"/>
    <mergeCell ref="N673:O673"/>
    <mergeCell ref="AI572:AK572"/>
    <mergeCell ref="AI564:AL564"/>
    <mergeCell ref="G604:R604"/>
    <mergeCell ref="Z671:AE671"/>
    <mergeCell ref="Z668:AK668"/>
    <mergeCell ref="AG828:AJ828"/>
    <mergeCell ref="Q830:T830"/>
    <mergeCell ref="Z807:AE807"/>
    <mergeCell ref="AG831:AJ831"/>
    <mergeCell ref="O774:S774"/>
    <mergeCell ref="O794:S794"/>
    <mergeCell ref="X769:AB772"/>
    <mergeCell ref="AC793:AG793"/>
    <mergeCell ref="G727:J727"/>
    <mergeCell ref="C829:H829"/>
    <mergeCell ref="AI655:AK655"/>
    <mergeCell ref="G662:R662"/>
    <mergeCell ref="AE699:AI699"/>
    <mergeCell ref="AA648:AK648"/>
    <mergeCell ref="G723:J723"/>
    <mergeCell ref="O725:S725"/>
    <mergeCell ref="Z669:AK669"/>
    <mergeCell ref="E707:AK707"/>
    <mergeCell ref="W706:AK706"/>
    <mergeCell ref="AH726:AJ726"/>
    <mergeCell ref="G719:J719"/>
    <mergeCell ref="O718:S718"/>
    <mergeCell ref="O720:S720"/>
    <mergeCell ref="G714:J717"/>
    <mergeCell ref="G668:R668"/>
    <mergeCell ref="P671:R671"/>
    <mergeCell ref="P687:R687"/>
    <mergeCell ref="J705:O705"/>
    <mergeCell ref="J704:X704"/>
    <mergeCell ref="T725:W725"/>
    <mergeCell ref="G724:J724"/>
    <mergeCell ref="AG665:AH665"/>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M827:P827"/>
    <mergeCell ref="J797:N797"/>
    <mergeCell ref="J795:N795"/>
    <mergeCell ref="AC774:AG774"/>
    <mergeCell ref="M825:P825"/>
    <mergeCell ref="C825:H825"/>
    <mergeCell ref="O723:S723"/>
    <mergeCell ref="K720:N720"/>
    <mergeCell ref="AH724:AJ724"/>
    <mergeCell ref="T720:W720"/>
    <mergeCell ref="P663:R663"/>
    <mergeCell ref="G659:R659"/>
    <mergeCell ref="AK748:AO748"/>
    <mergeCell ref="AK749:AO749"/>
    <mergeCell ref="AK750:AO750"/>
    <mergeCell ref="AK751:AO751"/>
    <mergeCell ref="AH745:AJ745"/>
    <mergeCell ref="AH746:AJ746"/>
    <mergeCell ref="Q828:T828"/>
    <mergeCell ref="T728:W728"/>
    <mergeCell ref="AC740:AG740"/>
    <mergeCell ref="AC741:AG741"/>
    <mergeCell ref="AC737:AG737"/>
    <mergeCell ref="AC776:AG776"/>
    <mergeCell ref="J769:N772"/>
    <mergeCell ref="AG823:AJ824"/>
    <mergeCell ref="AC797:AG797"/>
    <mergeCell ref="AC787:AG787"/>
    <mergeCell ref="M830:P830"/>
    <mergeCell ref="T791:W791"/>
    <mergeCell ref="T787:W787"/>
    <mergeCell ref="T788:W788"/>
    <mergeCell ref="T789:W789"/>
    <mergeCell ref="X775:AB775"/>
    <mergeCell ref="X776:AB776"/>
    <mergeCell ref="AC775:AG775"/>
    <mergeCell ref="AC783:AG786"/>
    <mergeCell ref="J791:N791"/>
    <mergeCell ref="X792:AB792"/>
    <mergeCell ref="X793:AB793"/>
    <mergeCell ref="T783:W786"/>
    <mergeCell ref="X773:AB773"/>
    <mergeCell ref="O789:S789"/>
    <mergeCell ref="J775:N775"/>
    <mergeCell ref="K729:N729"/>
    <mergeCell ref="T729:W729"/>
    <mergeCell ref="AH728:AJ728"/>
    <mergeCell ref="J787:N787"/>
    <mergeCell ref="G738:J738"/>
    <mergeCell ref="G737:J737"/>
    <mergeCell ref="AC827:AF827"/>
    <mergeCell ref="AC777:AG777"/>
    <mergeCell ref="Q823:T824"/>
    <mergeCell ref="Z809:AE809"/>
    <mergeCell ref="AC831:AF831"/>
    <mergeCell ref="Q829:T829"/>
    <mergeCell ref="M871:V871"/>
    <mergeCell ref="AC888:AH888"/>
    <mergeCell ref="B727:F727"/>
    <mergeCell ref="M878:V878"/>
    <mergeCell ref="W870:AC870"/>
    <mergeCell ref="Q826:T826"/>
    <mergeCell ref="Y823:AB824"/>
    <mergeCell ref="M829:P829"/>
    <mergeCell ref="Z815:AE815"/>
    <mergeCell ref="Z808:AE808"/>
    <mergeCell ref="Q832:T832"/>
    <mergeCell ref="X794:AB794"/>
    <mergeCell ref="T796:W796"/>
    <mergeCell ref="X774:AB774"/>
    <mergeCell ref="AG830:AJ830"/>
    <mergeCell ref="J788:N788"/>
    <mergeCell ref="U832:X832"/>
    <mergeCell ref="M832:P832"/>
    <mergeCell ref="W866:AC866"/>
    <mergeCell ref="U828:X828"/>
    <mergeCell ref="U829:X829"/>
    <mergeCell ref="C826:H826"/>
    <mergeCell ref="W852:AC852"/>
    <mergeCell ref="K739:N739"/>
    <mergeCell ref="AC734:AG734"/>
    <mergeCell ref="AC735:AG735"/>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AC885:AH885"/>
    <mergeCell ref="W861:AC861"/>
    <mergeCell ref="C894:AB894"/>
    <mergeCell ref="AC887:AH887"/>
    <mergeCell ref="AC890:AH890"/>
    <mergeCell ref="Z898:AE898"/>
    <mergeCell ref="W872:AC872"/>
    <mergeCell ref="AC884:AH884"/>
    <mergeCell ref="M875:V875"/>
    <mergeCell ref="W877:AC877"/>
    <mergeCell ref="W853:AC853"/>
    <mergeCell ref="W857:AC857"/>
    <mergeCell ref="W859:AC859"/>
    <mergeCell ref="AA971:AG971"/>
    <mergeCell ref="AA919:AF919"/>
    <mergeCell ref="AA918:AF918"/>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F936:T936"/>
    <mergeCell ref="U936:Z936"/>
    <mergeCell ref="AA936:AF936"/>
    <mergeCell ref="F941:T941"/>
    <mergeCell ref="U941:Z941"/>
    <mergeCell ref="AA941:AF941"/>
    <mergeCell ref="F943:T943"/>
    <mergeCell ref="U943:Z943"/>
    <mergeCell ref="AA943:AF943"/>
    <mergeCell ref="F929:T929"/>
    <mergeCell ref="F930:T930"/>
    <mergeCell ref="F931:T931"/>
    <mergeCell ref="BD905:BF905"/>
    <mergeCell ref="BD904:BF904"/>
    <mergeCell ref="U923:Z923"/>
    <mergeCell ref="AA922:AF922"/>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Y830:AB830"/>
    <mergeCell ref="U921:Z921"/>
    <mergeCell ref="AA923:AF923"/>
    <mergeCell ref="M968:S968"/>
    <mergeCell ref="M846:V846"/>
    <mergeCell ref="W843:AC843"/>
    <mergeCell ref="J849:V849"/>
    <mergeCell ref="AC893:AH893"/>
    <mergeCell ref="W855:AC855"/>
    <mergeCell ref="AC892:AH892"/>
    <mergeCell ref="W846:AC846"/>
    <mergeCell ref="D1076:AK1082"/>
    <mergeCell ref="U919:Z919"/>
    <mergeCell ref="M967:S967"/>
    <mergeCell ref="AA966:AG966"/>
    <mergeCell ref="AA972:AG972"/>
    <mergeCell ref="AE961:AK961"/>
    <mergeCell ref="P647:R647"/>
    <mergeCell ref="AI647:AK647"/>
    <mergeCell ref="AO624:AS626"/>
    <mergeCell ref="AF629:AJ629"/>
    <mergeCell ref="G654:R654"/>
    <mergeCell ref="BS630:BW630"/>
    <mergeCell ref="BN639:BR639"/>
    <mergeCell ref="BN640:BR640"/>
    <mergeCell ref="H656:R656"/>
    <mergeCell ref="W636:Y636"/>
    <mergeCell ref="W637:Y637"/>
    <mergeCell ref="C627:L627"/>
    <mergeCell ref="C635:L635"/>
    <mergeCell ref="H614:R614"/>
    <mergeCell ref="Z632:AB632"/>
    <mergeCell ref="G651:R651"/>
    <mergeCell ref="G652:R652"/>
    <mergeCell ref="Z655:AE655"/>
    <mergeCell ref="AA656:AK656"/>
    <mergeCell ref="AO641:AS641"/>
    <mergeCell ref="G647:L647"/>
    <mergeCell ref="Z630:AB630"/>
    <mergeCell ref="Z631:AB631"/>
    <mergeCell ref="W635:Y635"/>
    <mergeCell ref="AF624:AJ626"/>
    <mergeCell ref="B639:AN639"/>
    <mergeCell ref="B640:AN640"/>
    <mergeCell ref="B641:AN641"/>
    <mergeCell ref="W633:Y633"/>
    <mergeCell ref="T629:V629"/>
    <mergeCell ref="T630:V630"/>
    <mergeCell ref="T631:V631"/>
    <mergeCell ref="M635:P635"/>
    <mergeCell ref="M636:P636"/>
    <mergeCell ref="M637:P637"/>
    <mergeCell ref="M638:P638"/>
    <mergeCell ref="AO638:AS638"/>
    <mergeCell ref="BG632:BH632"/>
    <mergeCell ref="BK632:BL632"/>
    <mergeCell ref="BN632:BR632"/>
    <mergeCell ref="AF628:AJ628"/>
    <mergeCell ref="BN638:BR638"/>
    <mergeCell ref="AF634:AJ634"/>
    <mergeCell ref="AK630:AN630"/>
    <mergeCell ref="AK631:AN631"/>
    <mergeCell ref="AK632:AN632"/>
    <mergeCell ref="AF636:AJ636"/>
    <mergeCell ref="AF637:AJ637"/>
    <mergeCell ref="AF638:AJ638"/>
    <mergeCell ref="BI630:BJ630"/>
    <mergeCell ref="AC632:AE632"/>
    <mergeCell ref="Z635:AB635"/>
    <mergeCell ref="AO632:AS632"/>
    <mergeCell ref="Z638:AB638"/>
    <mergeCell ref="T633:V633"/>
    <mergeCell ref="AF631:AJ631"/>
    <mergeCell ref="BI628:BJ628"/>
    <mergeCell ref="BK628:BL628"/>
    <mergeCell ref="BN628:BR628"/>
    <mergeCell ref="BE614:BF614"/>
    <mergeCell ref="Q624:S626"/>
    <mergeCell ref="CC619:CG619"/>
    <mergeCell ref="CC625:CG625"/>
    <mergeCell ref="AO637:AS637"/>
    <mergeCell ref="AO630:AS630"/>
    <mergeCell ref="T624:V626"/>
    <mergeCell ref="W632:Y632"/>
    <mergeCell ref="Z636:AB636"/>
    <mergeCell ref="Z637:AB637"/>
    <mergeCell ref="W627:Y627"/>
    <mergeCell ref="T627:V627"/>
    <mergeCell ref="Z624:AB626"/>
    <mergeCell ref="AC627:AE627"/>
    <mergeCell ref="Q635:S635"/>
    <mergeCell ref="BX613:CB613"/>
    <mergeCell ref="CC613:CG613"/>
    <mergeCell ref="BG614:BH614"/>
    <mergeCell ref="AO634:AS634"/>
    <mergeCell ref="BX637:CB637"/>
    <mergeCell ref="AF635:AJ635"/>
    <mergeCell ref="AO635:AS635"/>
    <mergeCell ref="AK634:AN634"/>
    <mergeCell ref="AK635:AN635"/>
    <mergeCell ref="AK636:AN636"/>
    <mergeCell ref="BS628:BW628"/>
    <mergeCell ref="BX628:CB628"/>
    <mergeCell ref="CC628:CG628"/>
    <mergeCell ref="BX627:CB627"/>
    <mergeCell ref="CC627:CG627"/>
    <mergeCell ref="BS626:BW626"/>
    <mergeCell ref="BX626:CB626"/>
    <mergeCell ref="G646:R646"/>
    <mergeCell ref="Z644:AK644"/>
    <mergeCell ref="T635:V635"/>
    <mergeCell ref="T636:V636"/>
    <mergeCell ref="T637:V637"/>
    <mergeCell ref="T638:V638"/>
    <mergeCell ref="BN631:BR631"/>
    <mergeCell ref="AO639:AS639"/>
    <mergeCell ref="AO629:AS629"/>
    <mergeCell ref="AF630:AJ630"/>
    <mergeCell ref="BE617:BF617"/>
    <mergeCell ref="BI618:BJ618"/>
    <mergeCell ref="BK618:BL618"/>
    <mergeCell ref="BE630:BF630"/>
    <mergeCell ref="BI627:BJ627"/>
    <mergeCell ref="BK627:BL627"/>
    <mergeCell ref="BE628:BF628"/>
    <mergeCell ref="BK631:BL631"/>
    <mergeCell ref="Z633:AB633"/>
    <mergeCell ref="BE618:BF618"/>
    <mergeCell ref="BE619:BF619"/>
    <mergeCell ref="A617:AT618"/>
    <mergeCell ref="B624:L626"/>
    <mergeCell ref="AK627:AN627"/>
    <mergeCell ref="AC636:AE636"/>
    <mergeCell ref="AC637:AE637"/>
    <mergeCell ref="AC638:AE638"/>
    <mergeCell ref="Q638:S638"/>
    <mergeCell ref="Z634:AB634"/>
    <mergeCell ref="Q636:S636"/>
    <mergeCell ref="Q637:S637"/>
    <mergeCell ref="T632:V632"/>
    <mergeCell ref="CM612:CQ612"/>
    <mergeCell ref="CM613:CQ613"/>
    <mergeCell ref="CM614:CQ614"/>
    <mergeCell ref="CM615:CQ615"/>
    <mergeCell ref="BG615:BH615"/>
    <mergeCell ref="CH610:CL610"/>
    <mergeCell ref="CH608:CL608"/>
    <mergeCell ref="BX616:CB616"/>
    <mergeCell ref="CH618:CL618"/>
    <mergeCell ref="BI619:BJ619"/>
    <mergeCell ref="CC631:CG631"/>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K611:BL611"/>
    <mergeCell ref="BG613:BH613"/>
    <mergeCell ref="BK615:BL615"/>
    <mergeCell ref="CC614:CG614"/>
    <mergeCell ref="CM611:CQ611"/>
    <mergeCell ref="BG617:BH617"/>
    <mergeCell ref="CH611:CL611"/>
    <mergeCell ref="BS611:BW611"/>
    <mergeCell ref="BG609:BH609"/>
    <mergeCell ref="BN615:BR615"/>
    <mergeCell ref="BK616:BL616"/>
    <mergeCell ref="BS616:BW616"/>
    <mergeCell ref="CH612:CL612"/>
    <mergeCell ref="CC610:CG610"/>
    <mergeCell ref="CC607:CG607"/>
    <mergeCell ref="BS608:BW608"/>
    <mergeCell ref="BN608:BR608"/>
    <mergeCell ref="BS606:BW606"/>
    <mergeCell ref="CC609:CG609"/>
    <mergeCell ref="BK609:BL609"/>
    <mergeCell ref="BG616:BH616"/>
    <mergeCell ref="BI615:BJ615"/>
    <mergeCell ref="BX608:CB608"/>
    <mergeCell ref="BX611:CB611"/>
    <mergeCell ref="BI611:BJ611"/>
    <mergeCell ref="CH613:CL613"/>
    <mergeCell ref="CC616:CG616"/>
    <mergeCell ref="BX614:CB614"/>
    <mergeCell ref="BS613:BW613"/>
    <mergeCell ref="BN613:BR613"/>
    <mergeCell ref="Z560:AD560"/>
    <mergeCell ref="AM564:AS564"/>
    <mergeCell ref="Z568:AK568"/>
    <mergeCell ref="Z571:AK571"/>
    <mergeCell ref="P589:R589"/>
    <mergeCell ref="Z580:AK580"/>
    <mergeCell ref="Z569:AK569"/>
    <mergeCell ref="C561:L561"/>
    <mergeCell ref="AI561:AL561"/>
    <mergeCell ref="AE560:AH560"/>
    <mergeCell ref="Z605:AE605"/>
    <mergeCell ref="Z609:AK609"/>
    <mergeCell ref="G609:R609"/>
    <mergeCell ref="AK624:AN626"/>
    <mergeCell ref="G586:R586"/>
    <mergeCell ref="G603:R603"/>
    <mergeCell ref="N607:O607"/>
    <mergeCell ref="AA582:AK582"/>
    <mergeCell ref="AI613:AK613"/>
    <mergeCell ref="Q564:S564"/>
    <mergeCell ref="Z610:AK610"/>
    <mergeCell ref="M565:P565"/>
    <mergeCell ref="T563:V563"/>
    <mergeCell ref="Z564:AD564"/>
    <mergeCell ref="Z565:AD565"/>
    <mergeCell ref="Z572:AE572"/>
    <mergeCell ref="G588:R588"/>
    <mergeCell ref="C564:L564"/>
    <mergeCell ref="AM562:AS562"/>
    <mergeCell ref="G578:R578"/>
    <mergeCell ref="Z602:AK602"/>
    <mergeCell ref="Z613:AE613"/>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W560:Y560"/>
    <mergeCell ref="S489:AK490"/>
    <mergeCell ref="T560:V560"/>
    <mergeCell ref="T555:V555"/>
    <mergeCell ref="W559:Y559"/>
    <mergeCell ref="AH520:AK520"/>
    <mergeCell ref="AC508:AF508"/>
    <mergeCell ref="AH508:AK508"/>
    <mergeCell ref="W551:Y553"/>
    <mergeCell ref="AH507:AK507"/>
    <mergeCell ref="L508:AB508"/>
    <mergeCell ref="AH532:AK532"/>
    <mergeCell ref="AH515:AK515"/>
    <mergeCell ref="AC516:AF516"/>
    <mergeCell ref="Z559:AD559"/>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Z581:AE581"/>
    <mergeCell ref="Z586:AK586"/>
    <mergeCell ref="T561:V561"/>
    <mergeCell ref="AG379:AH379"/>
    <mergeCell ref="AM558:AS558"/>
    <mergeCell ref="AM566:AS566"/>
    <mergeCell ref="AM556:AS556"/>
    <mergeCell ref="M358:N358"/>
    <mergeCell ref="B520:H542"/>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14:DB614"/>
    <mergeCell ref="DM616:DQ616"/>
    <mergeCell ref="CS616:CW616"/>
    <mergeCell ref="CS614:CW614"/>
    <mergeCell ref="DH614:DL614"/>
    <mergeCell ref="BI841:BL841"/>
    <mergeCell ref="AC823:AF824"/>
    <mergeCell ref="Z816:AE816"/>
    <mergeCell ref="AC773:AG773"/>
    <mergeCell ref="AC725:AG725"/>
    <mergeCell ref="AC726:AG726"/>
    <mergeCell ref="AC830:AF830"/>
    <mergeCell ref="Y828:AB828"/>
    <mergeCell ref="BX660:CB660"/>
    <mergeCell ref="AC769:AG772"/>
    <mergeCell ref="Y832:AB832"/>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1064:AK1069"/>
    <mergeCell ref="J773:N773"/>
    <mergeCell ref="O773:S773"/>
    <mergeCell ref="T752:W752"/>
    <mergeCell ref="J776:N776"/>
    <mergeCell ref="M874:V874"/>
    <mergeCell ref="R985:AA985"/>
    <mergeCell ref="M958:S958"/>
    <mergeCell ref="AE958:AK958"/>
    <mergeCell ref="W973:AG973"/>
    <mergeCell ref="M972:S972"/>
    <mergeCell ref="M971:S971"/>
    <mergeCell ref="M960:S960"/>
    <mergeCell ref="E885:AB885"/>
    <mergeCell ref="BS647:BW647"/>
    <mergeCell ref="BN645:BR645"/>
    <mergeCell ref="T794:W794"/>
    <mergeCell ref="T792:W792"/>
    <mergeCell ref="O777:S777"/>
    <mergeCell ref="X788:AB788"/>
    <mergeCell ref="T734:W734"/>
    <mergeCell ref="O775:S775"/>
    <mergeCell ref="BG975:BL975"/>
    <mergeCell ref="AA949:AF949"/>
    <mergeCell ref="AE955:AK955"/>
    <mergeCell ref="AA946:AF946"/>
    <mergeCell ref="BD906:BE906"/>
    <mergeCell ref="BD907:BE907"/>
    <mergeCell ref="U946:Z946"/>
    <mergeCell ref="U918:Z918"/>
    <mergeCell ref="U944:Z944"/>
    <mergeCell ref="AA933:AF933"/>
    <mergeCell ref="U920:Z920"/>
    <mergeCell ref="AA920:AF920"/>
    <mergeCell ref="BD909:BE909"/>
    <mergeCell ref="AB956:AK956"/>
    <mergeCell ref="U948:Z948"/>
    <mergeCell ref="AA927:AF927"/>
    <mergeCell ref="U922:Z922"/>
    <mergeCell ref="AA940:AF940"/>
    <mergeCell ref="A909:AT910"/>
    <mergeCell ref="U937:Z937"/>
    <mergeCell ref="U927:Z927"/>
    <mergeCell ref="U947:Z947"/>
    <mergeCell ref="U934:Z934"/>
    <mergeCell ref="T733:W733"/>
    <mergeCell ref="O734:S734"/>
    <mergeCell ref="AB916:AE916"/>
    <mergeCell ref="AA921:AF921"/>
    <mergeCell ref="AC883:AH883"/>
    <mergeCell ref="Z901:AE901"/>
    <mergeCell ref="W863:AC863"/>
    <mergeCell ref="AC891:AH891"/>
    <mergeCell ref="AC738:AG738"/>
    <mergeCell ref="Y827:AB827"/>
    <mergeCell ref="AH753:AJ753"/>
    <mergeCell ref="AK745:AO745"/>
    <mergeCell ref="BD902:BE902"/>
    <mergeCell ref="W849:AC849"/>
    <mergeCell ref="M877:V877"/>
    <mergeCell ref="W869:AC869"/>
    <mergeCell ref="AZ851:BA851"/>
    <mergeCell ref="W876:AC876"/>
    <mergeCell ref="M861:V861"/>
    <mergeCell ref="AG832:AJ832"/>
    <mergeCell ref="W844:AC844"/>
    <mergeCell ref="AC832:AF832"/>
    <mergeCell ref="O796:S796"/>
    <mergeCell ref="X777:AB777"/>
    <mergeCell ref="AC886:AH886"/>
    <mergeCell ref="W874:AC874"/>
    <mergeCell ref="U825:X825"/>
    <mergeCell ref="M823:P824"/>
    <mergeCell ref="O791:S791"/>
    <mergeCell ref="Z817:AE817"/>
    <mergeCell ref="CS645:CW645"/>
    <mergeCell ref="CX645:DB645"/>
    <mergeCell ref="DC645:DG645"/>
    <mergeCell ref="CS646:CW646"/>
    <mergeCell ref="CH639:CL639"/>
    <mergeCell ref="CH647:CL647"/>
    <mergeCell ref="CS650:CW650"/>
    <mergeCell ref="CX650:DB650"/>
    <mergeCell ref="CX646:DB646"/>
    <mergeCell ref="CH646:CL646"/>
    <mergeCell ref="BS641:BW641"/>
    <mergeCell ref="DC651:DG651"/>
    <mergeCell ref="BG848:BL848"/>
    <mergeCell ref="AH731:AJ731"/>
    <mergeCell ref="BN660:BR660"/>
    <mergeCell ref="BN646:BR646"/>
    <mergeCell ref="AA664:AK664"/>
    <mergeCell ref="CB796:CH796"/>
    <mergeCell ref="BN796:BO796"/>
    <mergeCell ref="AH714:AJ717"/>
    <mergeCell ref="AH725:AJ725"/>
    <mergeCell ref="D1070:AK1075"/>
    <mergeCell ref="K733:N733"/>
    <mergeCell ref="J774:N774"/>
    <mergeCell ref="G740:J740"/>
    <mergeCell ref="A1103:B1103"/>
    <mergeCell ref="G725:J725"/>
    <mergeCell ref="B732:F732"/>
    <mergeCell ref="J794:N794"/>
    <mergeCell ref="J789:N789"/>
    <mergeCell ref="G735:J735"/>
    <mergeCell ref="T773:W773"/>
    <mergeCell ref="AH733:AJ733"/>
    <mergeCell ref="B746:F746"/>
    <mergeCell ref="B747:F747"/>
    <mergeCell ref="B748:F748"/>
    <mergeCell ref="B749:F749"/>
    <mergeCell ref="B750:F750"/>
    <mergeCell ref="B751:F751"/>
    <mergeCell ref="X736:AB736"/>
    <mergeCell ref="AH750:AJ750"/>
    <mergeCell ref="AH751:AJ751"/>
    <mergeCell ref="B737:F737"/>
    <mergeCell ref="B735:F735"/>
    <mergeCell ref="B738:F738"/>
    <mergeCell ref="AA970:AG970"/>
    <mergeCell ref="AA924:AF924"/>
    <mergeCell ref="AE957:AK957"/>
    <mergeCell ref="T795:W795"/>
    <mergeCell ref="C832:L832"/>
    <mergeCell ref="AA968:AG968"/>
    <mergeCell ref="M957:S957"/>
    <mergeCell ref="C893:AB893"/>
    <mergeCell ref="Y831:AB831"/>
    <mergeCell ref="O752:S752"/>
    <mergeCell ref="AC828:AF828"/>
    <mergeCell ref="T775:W775"/>
    <mergeCell ref="K727:N727"/>
    <mergeCell ref="X752:AB752"/>
    <mergeCell ref="AG826:AJ826"/>
    <mergeCell ref="AG825:AJ825"/>
    <mergeCell ref="AC794:AG794"/>
    <mergeCell ref="AC795:AG795"/>
    <mergeCell ref="W842:AC842"/>
    <mergeCell ref="W847:AC847"/>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53:J753"/>
    <mergeCell ref="AH739:AJ739"/>
    <mergeCell ref="AH740:AJ740"/>
    <mergeCell ref="K748:N748"/>
    <mergeCell ref="O748:S748"/>
    <mergeCell ref="T790:W790"/>
    <mergeCell ref="O797:S797"/>
    <mergeCell ref="G736:J736"/>
    <mergeCell ref="AC752:AG752"/>
    <mergeCell ref="O787:S787"/>
    <mergeCell ref="T769:W772"/>
    <mergeCell ref="B754:AH755"/>
    <mergeCell ref="Q827:T827"/>
    <mergeCell ref="R987:AA987"/>
    <mergeCell ref="G729:J729"/>
    <mergeCell ref="B726:F726"/>
    <mergeCell ref="D1083:AK1085"/>
    <mergeCell ref="J792:N792"/>
    <mergeCell ref="W871:AC871"/>
    <mergeCell ref="J793:N793"/>
    <mergeCell ref="AC729:AG729"/>
    <mergeCell ref="O728:S728"/>
    <mergeCell ref="O729:S729"/>
    <mergeCell ref="B736:F736"/>
    <mergeCell ref="B733:F733"/>
    <mergeCell ref="B731:F731"/>
    <mergeCell ref="B730:F730"/>
    <mergeCell ref="B752:F752"/>
    <mergeCell ref="B753:F753"/>
    <mergeCell ref="AC753:AG753"/>
    <mergeCell ref="O753:S753"/>
    <mergeCell ref="Z814:AE814"/>
    <mergeCell ref="AC789:AG789"/>
    <mergeCell ref="AC790:AG790"/>
    <mergeCell ref="Y826:AB826"/>
    <mergeCell ref="O733:S733"/>
    <mergeCell ref="O735:S735"/>
    <mergeCell ref="AC736:AG736"/>
    <mergeCell ref="T738:W738"/>
    <mergeCell ref="T744:W744"/>
    <mergeCell ref="K745:N745"/>
    <mergeCell ref="O745:S745"/>
    <mergeCell ref="AH734:AJ734"/>
    <mergeCell ref="AH729:AJ729"/>
    <mergeCell ref="O790:S790"/>
    <mergeCell ref="O731:S731"/>
    <mergeCell ref="X737:AB737"/>
    <mergeCell ref="T736:W736"/>
    <mergeCell ref="O732:S732"/>
    <mergeCell ref="O741:S741"/>
    <mergeCell ref="X795:AB795"/>
    <mergeCell ref="J783:N786"/>
    <mergeCell ref="Z818:AE818"/>
    <mergeCell ref="AC826:AF826"/>
    <mergeCell ref="O783:S786"/>
    <mergeCell ref="O756:R756"/>
    <mergeCell ref="AG756:AJ756"/>
    <mergeCell ref="T776:W776"/>
    <mergeCell ref="AH749:AJ749"/>
    <mergeCell ref="AD759:AF759"/>
    <mergeCell ref="T774:W774"/>
    <mergeCell ref="J779:K779"/>
    <mergeCell ref="AH747:AJ747"/>
    <mergeCell ref="AH748:AJ748"/>
    <mergeCell ref="C763:AR765"/>
    <mergeCell ref="C766:AR768"/>
    <mergeCell ref="AK739:AO739"/>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O793:S793"/>
    <mergeCell ref="J790:N790"/>
    <mergeCell ref="M831:P831"/>
    <mergeCell ref="B734:F734"/>
    <mergeCell ref="O722:S722"/>
    <mergeCell ref="Z577:AK577"/>
    <mergeCell ref="T634:V634"/>
    <mergeCell ref="AG829:AJ829"/>
    <mergeCell ref="B741:F741"/>
    <mergeCell ref="Z813:AE813"/>
    <mergeCell ref="Y825:AB825"/>
    <mergeCell ref="AC825:AF825"/>
    <mergeCell ref="AG827:AJ827"/>
    <mergeCell ref="M826:P826"/>
    <mergeCell ref="X789:AB789"/>
    <mergeCell ref="X790:AB790"/>
    <mergeCell ref="X791:AB791"/>
    <mergeCell ref="U831:X831"/>
    <mergeCell ref="Q831:T831"/>
    <mergeCell ref="X740:AB740"/>
    <mergeCell ref="C828:H828"/>
    <mergeCell ref="M828:P828"/>
    <mergeCell ref="C827:H827"/>
    <mergeCell ref="K743:N743"/>
    <mergeCell ref="O743:S743"/>
    <mergeCell ref="T743:W743"/>
    <mergeCell ref="K744:N744"/>
    <mergeCell ref="O744:S744"/>
    <mergeCell ref="AC742:AG742"/>
    <mergeCell ref="AC743:AG743"/>
    <mergeCell ref="AC744:AG744"/>
    <mergeCell ref="AC745:AG745"/>
    <mergeCell ref="AC746:AG746"/>
    <mergeCell ref="AC747:AG747"/>
    <mergeCell ref="AG1035:AH1035"/>
    <mergeCell ref="D1025:AE1027"/>
    <mergeCell ref="U914:Z916"/>
    <mergeCell ref="U949:Z949"/>
    <mergeCell ref="AA974:AG974"/>
    <mergeCell ref="AA944:AF944"/>
    <mergeCell ref="U917:Z917"/>
    <mergeCell ref="T972:Z972"/>
    <mergeCell ref="I946:T946"/>
    <mergeCell ref="D1000:AE1000"/>
    <mergeCell ref="D1001:AE1005"/>
    <mergeCell ref="D1010:AE1010"/>
    <mergeCell ref="D1011:AE1011"/>
    <mergeCell ref="AF1026:AI1027"/>
    <mergeCell ref="O730:S730"/>
    <mergeCell ref="B740:F740"/>
    <mergeCell ref="O739:S739"/>
    <mergeCell ref="O740:S740"/>
    <mergeCell ref="K741:N741"/>
    <mergeCell ref="K752:N752"/>
    <mergeCell ref="O736:S736"/>
    <mergeCell ref="K738:N738"/>
    <mergeCell ref="K730:N730"/>
    <mergeCell ref="K731:N731"/>
    <mergeCell ref="T740:W740"/>
    <mergeCell ref="G741:J741"/>
    <mergeCell ref="T793:W793"/>
    <mergeCell ref="G739:J739"/>
    <mergeCell ref="T745:W745"/>
    <mergeCell ref="B739:F739"/>
    <mergeCell ref="K735:N735"/>
    <mergeCell ref="K736:N736"/>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B990:AA990"/>
    <mergeCell ref="D993:AE993"/>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AJ1019:AQ1023"/>
    <mergeCell ref="D1019:AE1020"/>
    <mergeCell ref="AB990:AI990"/>
    <mergeCell ref="D1024:AE1024"/>
    <mergeCell ref="AF1025:AI1025"/>
    <mergeCell ref="AA967:AG967"/>
    <mergeCell ref="AE954:AK954"/>
    <mergeCell ref="I949:T949"/>
    <mergeCell ref="AA942:AF942"/>
    <mergeCell ref="F915:T916"/>
    <mergeCell ref="AA930:AF930"/>
    <mergeCell ref="U931:Z931"/>
    <mergeCell ref="AA931:AF931"/>
    <mergeCell ref="F937:T937"/>
    <mergeCell ref="F938:T938"/>
    <mergeCell ref="F939:T939"/>
    <mergeCell ref="U938:Z938"/>
    <mergeCell ref="AJ986:AQ986"/>
    <mergeCell ref="AJ987:AQ987"/>
    <mergeCell ref="B991:AI991"/>
    <mergeCell ref="R986:AA986"/>
    <mergeCell ref="AB984:AI984"/>
    <mergeCell ref="AB985:AI985"/>
    <mergeCell ref="AB986:AI986"/>
    <mergeCell ref="D986:Q986"/>
    <mergeCell ref="R988:AA988"/>
    <mergeCell ref="AB987:AI987"/>
    <mergeCell ref="D994:AE997"/>
    <mergeCell ref="D998:AE998"/>
    <mergeCell ref="D987:Q987"/>
    <mergeCell ref="D988:Q988"/>
    <mergeCell ref="T971:Z971"/>
    <mergeCell ref="AJ1048:AQ1051"/>
    <mergeCell ref="U928:Z928"/>
    <mergeCell ref="AA928:AF928"/>
    <mergeCell ref="U929:Z929"/>
    <mergeCell ref="AA929:AF929"/>
    <mergeCell ref="U930:Z930"/>
    <mergeCell ref="U939:Z939"/>
    <mergeCell ref="F935:T935"/>
    <mergeCell ref="U935:Z935"/>
    <mergeCell ref="AA935:AF935"/>
    <mergeCell ref="U942:Z942"/>
    <mergeCell ref="M970:S970"/>
    <mergeCell ref="M955:S955"/>
    <mergeCell ref="R984:AA984"/>
    <mergeCell ref="A978:AT980"/>
    <mergeCell ref="AG1024:AH1024"/>
    <mergeCell ref="AJ984:AQ984"/>
    <mergeCell ref="J956:S956"/>
    <mergeCell ref="AA948:AF948"/>
    <mergeCell ref="U940:Z940"/>
    <mergeCell ref="AJ1012:AQ1014"/>
    <mergeCell ref="AJ1015:AQ1018"/>
    <mergeCell ref="AJ1024:AQ1027"/>
    <mergeCell ref="AJ1028:AQ1030"/>
    <mergeCell ref="D1031:AE1031"/>
    <mergeCell ref="D1032:AE1034"/>
    <mergeCell ref="AJ1031:AQ1034"/>
    <mergeCell ref="AJ993:AQ999"/>
    <mergeCell ref="AJ1006:AQ1009"/>
    <mergeCell ref="AJ1010:AQ1011"/>
    <mergeCell ref="AJ985:AQ985"/>
    <mergeCell ref="AJ1000:AQ1005"/>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ER614:EV614"/>
    <mergeCell ref="EW614:FA614"/>
    <mergeCell ref="DX615:EB615"/>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C615:EG615"/>
    <mergeCell ref="EH615:EL615"/>
    <mergeCell ref="EM646:EQ646"/>
    <mergeCell ref="EW642:FA642"/>
    <mergeCell ref="EW643:FA643"/>
    <mergeCell ref="DX644:EB644"/>
    <mergeCell ref="EC644:EG644"/>
    <mergeCell ref="EH644:EL644"/>
    <mergeCell ref="ER641:EV641"/>
    <mergeCell ref="ER616:EV616"/>
    <mergeCell ref="EC649:EG649"/>
    <mergeCell ref="EC639:EG639"/>
    <mergeCell ref="EH639:EL639"/>
    <mergeCell ref="EM639:EQ639"/>
    <mergeCell ref="EM637:EQ637"/>
    <mergeCell ref="EM644:EQ644"/>
    <mergeCell ref="ER644:EV644"/>
    <mergeCell ref="DX618:EB618"/>
    <mergeCell ref="EC618:EG618"/>
    <mergeCell ref="EH618:EL618"/>
    <mergeCell ref="EM618:EQ618"/>
    <mergeCell ref="ER618:EV618"/>
    <mergeCell ref="EW638:FA638"/>
    <mergeCell ref="ER648:EV648"/>
    <mergeCell ref="ER647:EV647"/>
    <mergeCell ref="EH645:EL645"/>
    <mergeCell ref="EM645:EQ645"/>
    <mergeCell ref="DX617:EB617"/>
    <mergeCell ref="EC617:EG617"/>
    <mergeCell ref="EW619:FA619"/>
    <mergeCell ref="EC630:EG630"/>
    <mergeCell ref="EH630:EL630"/>
    <mergeCell ref="EW636:FA636"/>
    <mergeCell ref="ER637:EV637"/>
    <mergeCell ref="ER662:EV662"/>
    <mergeCell ref="ER652:EV652"/>
    <mergeCell ref="EM651:EQ651"/>
    <mergeCell ref="ER649:EV649"/>
    <mergeCell ref="DX652:EB652"/>
    <mergeCell ref="EC652:EG652"/>
    <mergeCell ref="EC636:EG636"/>
    <mergeCell ref="EH636:EL636"/>
    <mergeCell ref="DX636:EB636"/>
    <mergeCell ref="ER636:EV636"/>
    <mergeCell ref="EC653:EG653"/>
    <mergeCell ref="DX654:EB654"/>
    <mergeCell ref="EC654:EG654"/>
    <mergeCell ref="EH654:EL654"/>
    <mergeCell ref="EM649:EQ649"/>
    <mergeCell ref="EW647:FA647"/>
    <mergeCell ref="EW650:FA650"/>
    <mergeCell ref="EW648:FA648"/>
    <mergeCell ref="EW651:FA651"/>
    <mergeCell ref="DX645:EB645"/>
    <mergeCell ref="EW649:FA649"/>
    <mergeCell ref="EW652:FA652"/>
    <mergeCell ref="EW641:FA641"/>
    <mergeCell ref="DX642:EB642"/>
    <mergeCell ref="DX659:EB659"/>
    <mergeCell ref="ER660:EV660"/>
    <mergeCell ref="EW660:FA660"/>
    <mergeCell ref="DX661:EB661"/>
    <mergeCell ref="EC661:EG661"/>
    <mergeCell ref="EH661:EL661"/>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C664:EG664"/>
    <mergeCell ref="EH664:EL664"/>
    <mergeCell ref="EM654:EQ654"/>
    <mergeCell ref="ER654:EV654"/>
    <mergeCell ref="EM652:EQ652"/>
    <mergeCell ref="DX650:EB650"/>
    <mergeCell ref="EC650:EG650"/>
    <mergeCell ref="EC655:EG655"/>
    <mergeCell ref="EC666:EG666"/>
    <mergeCell ref="EH666:EL666"/>
    <mergeCell ref="EH667:EL667"/>
    <mergeCell ref="EM666:EQ666"/>
    <mergeCell ref="EW664:FA664"/>
    <mergeCell ref="EC667:EG667"/>
    <mergeCell ref="EW655:FA655"/>
    <mergeCell ref="ER666:EV666"/>
    <mergeCell ref="EW666:FA666"/>
    <mergeCell ref="DX667:EB667"/>
    <mergeCell ref="DX662:EB662"/>
    <mergeCell ref="EC662:EG662"/>
    <mergeCell ref="EH662:EL662"/>
    <mergeCell ref="EC627:EG627"/>
    <mergeCell ref="EW637:FA637"/>
    <mergeCell ref="EC645:EG645"/>
    <mergeCell ref="ER645:EV645"/>
    <mergeCell ref="EW645:FA645"/>
    <mergeCell ref="DX646:EB646"/>
    <mergeCell ref="EC646:EG646"/>
    <mergeCell ref="EH646:EL646"/>
    <mergeCell ref="EM667:EQ667"/>
    <mergeCell ref="ER667:EV667"/>
    <mergeCell ref="EW667:FA667"/>
    <mergeCell ref="EM661:EQ661"/>
    <mergeCell ref="EM636:EQ636"/>
    <mergeCell ref="DX637:EB637"/>
    <mergeCell ref="EW644:FA644"/>
    <mergeCell ref="EC641:EG641"/>
    <mergeCell ref="EC643:EG643"/>
    <mergeCell ref="EH643:EL643"/>
    <mergeCell ref="EM650:EQ650"/>
    <mergeCell ref="DX653:EB653"/>
    <mergeCell ref="DX640:EB640"/>
    <mergeCell ref="EC640:EG640"/>
    <mergeCell ref="EW640:FA640"/>
    <mergeCell ref="EC609:EG609"/>
    <mergeCell ref="EH609:EL609"/>
    <mergeCell ref="EM609:EQ609"/>
    <mergeCell ref="ER609:EV609"/>
    <mergeCell ref="EH637:EL637"/>
    <mergeCell ref="DX612:EB612"/>
    <mergeCell ref="EC612:EG612"/>
    <mergeCell ref="EH612:EL612"/>
    <mergeCell ref="EM612:EQ612"/>
    <mergeCell ref="EW669:FA669"/>
    <mergeCell ref="EH653:EL653"/>
    <mergeCell ref="EM653:EQ653"/>
    <mergeCell ref="ER653:EV653"/>
    <mergeCell ref="ER669:EV669"/>
    <mergeCell ref="ER668:EV668"/>
    <mergeCell ref="DX666:EB666"/>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M619:EQ619"/>
    <mergeCell ref="EC637:EG637"/>
    <mergeCell ref="EM641:EQ641"/>
    <mergeCell ref="EH655:EL655"/>
    <mergeCell ref="EM655:EQ655"/>
    <mergeCell ref="EH647:EL647"/>
    <mergeCell ref="EM647:EQ647"/>
    <mergeCell ref="DX648:EB648"/>
    <mergeCell ref="DX651:EB651"/>
    <mergeCell ref="EC651:EG651"/>
    <mergeCell ref="EM648:EQ648"/>
    <mergeCell ref="ER651:EV651"/>
    <mergeCell ref="EH652:EL652"/>
    <mergeCell ref="ER650:EV650"/>
    <mergeCell ref="ER655:EV655"/>
    <mergeCell ref="EH648:EL648"/>
    <mergeCell ref="EH651:EL651"/>
    <mergeCell ref="EH650:EL650"/>
    <mergeCell ref="ER643:EV643"/>
    <mergeCell ref="ER640:EV640"/>
    <mergeCell ref="ER639:EV639"/>
    <mergeCell ref="EC642:EG642"/>
    <mergeCell ref="EH642:EL642"/>
    <mergeCell ref="EM642:EQ642"/>
    <mergeCell ref="ER642:EV642"/>
    <mergeCell ref="DX641:EB641"/>
    <mergeCell ref="EH641:EL641"/>
    <mergeCell ref="DX620:EB620"/>
    <mergeCell ref="EC620:EG620"/>
    <mergeCell ref="EH620:EL620"/>
    <mergeCell ref="EM620:EQ620"/>
    <mergeCell ref="ER620:EV620"/>
    <mergeCell ref="AO640:AS640"/>
    <mergeCell ref="BN626:BR626"/>
    <mergeCell ref="CM617:CQ617"/>
    <mergeCell ref="CM618:CQ618"/>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CH631:CL631"/>
    <mergeCell ref="EH640:EL640"/>
    <mergeCell ref="EM640:EQ640"/>
    <mergeCell ref="DX639:EB639"/>
    <mergeCell ref="EH614:EL614"/>
    <mergeCell ref="EM614:EQ614"/>
    <mergeCell ref="DM631:DQ631"/>
    <mergeCell ref="DH631:DL631"/>
    <mergeCell ref="CM616:CQ616"/>
    <mergeCell ref="BE615:BF615"/>
    <mergeCell ref="BG619:BH619"/>
    <mergeCell ref="EH619:EL619"/>
    <mergeCell ref="DR616:DV616"/>
    <mergeCell ref="CX616:DB616"/>
    <mergeCell ref="DC632:DG632"/>
    <mergeCell ref="DH632:DL632"/>
    <mergeCell ref="CM619:CQ619"/>
    <mergeCell ref="CH619:CL619"/>
    <mergeCell ref="CM633:CQ633"/>
    <mergeCell ref="CC632:CG632"/>
    <mergeCell ref="CM630:CQ630"/>
    <mergeCell ref="CM631:CQ631"/>
    <mergeCell ref="BN617:BR617"/>
    <mergeCell ref="DR619:DV619"/>
    <mergeCell ref="DX632:EB632"/>
    <mergeCell ref="EC632:EG632"/>
    <mergeCell ref="EH617:EL617"/>
    <mergeCell ref="DM619:DQ619"/>
    <mergeCell ref="DH630:DL630"/>
    <mergeCell ref="DM618:DQ618"/>
    <mergeCell ref="DR618:DV618"/>
    <mergeCell ref="DC619:DG619"/>
    <mergeCell ref="DH619:DL619"/>
    <mergeCell ref="CH617:CL617"/>
    <mergeCell ref="CC617:CG617"/>
    <mergeCell ref="BS617:BW617"/>
    <mergeCell ref="BX619:CB619"/>
    <mergeCell ref="BX618:CB618"/>
    <mergeCell ref="CC618:CG618"/>
    <mergeCell ref="DH628:DL628"/>
    <mergeCell ref="DM628:DQ628"/>
    <mergeCell ref="CH624:CL624"/>
    <mergeCell ref="CM624:CQ624"/>
    <mergeCell ref="AF627:AJ627"/>
    <mergeCell ref="BE631:BF631"/>
    <mergeCell ref="AO633:AS633"/>
    <mergeCell ref="AO628:AS628"/>
    <mergeCell ref="AO631:AS631"/>
    <mergeCell ref="BS620:BW620"/>
    <mergeCell ref="BG631:BH631"/>
    <mergeCell ref="BI631:BJ631"/>
    <mergeCell ref="DM614:DQ614"/>
    <mergeCell ref="DR617:DV617"/>
    <mergeCell ref="CS617:CW617"/>
    <mergeCell ref="CX617:DB617"/>
    <mergeCell ref="DC617:DG617"/>
    <mergeCell ref="DH617:DL617"/>
    <mergeCell ref="DH618:DL618"/>
    <mergeCell ref="BS618:BW618"/>
    <mergeCell ref="DR631:DV631"/>
    <mergeCell ref="BX617:CB617"/>
    <mergeCell ref="DM630:DQ630"/>
    <mergeCell ref="BX631:CB631"/>
    <mergeCell ref="DR632:DV632"/>
    <mergeCell ref="DM617:DQ617"/>
    <mergeCell ref="CC630:CG630"/>
    <mergeCell ref="BX632:CB632"/>
    <mergeCell ref="AG615:AH615"/>
    <mergeCell ref="CH622:CL622"/>
    <mergeCell ref="CM622:CQ622"/>
    <mergeCell ref="CH623:CL623"/>
    <mergeCell ref="CS632:CW632"/>
    <mergeCell ref="CX632:DB632"/>
    <mergeCell ref="AK629:AN629"/>
    <mergeCell ref="DR630:DV630"/>
    <mergeCell ref="BN647:BR647"/>
    <mergeCell ref="BX651:CB651"/>
    <mergeCell ref="CM648:CQ648"/>
    <mergeCell ref="CC651:CG651"/>
    <mergeCell ref="BX649:CB649"/>
    <mergeCell ref="BX650:CB650"/>
    <mergeCell ref="CH648:CL648"/>
    <mergeCell ref="CC648:CG648"/>
    <mergeCell ref="BN648:BR648"/>
    <mergeCell ref="CM625:CQ625"/>
    <mergeCell ref="CH629:CL629"/>
    <mergeCell ref="CM629:CQ629"/>
    <mergeCell ref="CM651:CQ651"/>
    <mergeCell ref="CM645:CQ645"/>
    <mergeCell ref="BN649:BR649"/>
    <mergeCell ref="BS649:BW649"/>
    <mergeCell ref="CM646:CQ646"/>
    <mergeCell ref="BX647:CB647"/>
    <mergeCell ref="CH637:CL637"/>
    <mergeCell ref="CH641:CL641"/>
    <mergeCell ref="BX638:CB638"/>
    <mergeCell ref="CH638:CL638"/>
    <mergeCell ref="BS645:BW645"/>
    <mergeCell ref="CH645:CL645"/>
    <mergeCell ref="CC646:CG646"/>
    <mergeCell ref="BS648:BW648"/>
    <mergeCell ref="CM638:CQ638"/>
    <mergeCell ref="CH628:CL628"/>
    <mergeCell ref="CM628:CQ628"/>
    <mergeCell ref="CH627:CL627"/>
    <mergeCell ref="CM627:CQ627"/>
    <mergeCell ref="CC626:CG626"/>
    <mergeCell ref="DR650:DV650"/>
    <mergeCell ref="CX648:DB648"/>
    <mergeCell ref="BS637:BW637"/>
    <mergeCell ref="DM632:DQ632"/>
    <mergeCell ref="BX645:CB645"/>
    <mergeCell ref="CH640:CL640"/>
    <mergeCell ref="CM640:CQ640"/>
    <mergeCell ref="CM639:CQ639"/>
    <mergeCell ref="CH632:CL632"/>
    <mergeCell ref="DC631:DG631"/>
    <mergeCell ref="CC638:CG638"/>
    <mergeCell ref="BS632:BW632"/>
    <mergeCell ref="CC640:CG640"/>
    <mergeCell ref="BX639:CB639"/>
    <mergeCell ref="BX640:CB640"/>
    <mergeCell ref="DC646:DG646"/>
    <mergeCell ref="DH647:DL647"/>
    <mergeCell ref="DM647:DQ647"/>
    <mergeCell ref="CM647:CQ647"/>
    <mergeCell ref="DM646:DQ646"/>
    <mergeCell ref="DR649:DV649"/>
    <mergeCell ref="DR646:DV646"/>
    <mergeCell ref="BS650:BW650"/>
    <mergeCell ref="CS618:CW618"/>
    <mergeCell ref="CX618:DB618"/>
    <mergeCell ref="DC618:DG618"/>
    <mergeCell ref="DH645:DL645"/>
    <mergeCell ref="BX646:CB646"/>
    <mergeCell ref="CM632:CQ632"/>
    <mergeCell ref="CM637:CQ637"/>
    <mergeCell ref="CH630:CL630"/>
    <mergeCell ref="DM645:DQ645"/>
    <mergeCell ref="DR645:DV645"/>
    <mergeCell ref="CC645:CG645"/>
    <mergeCell ref="DC649:DG649"/>
    <mergeCell ref="CC647:CG647"/>
    <mergeCell ref="BX629:CB629"/>
    <mergeCell ref="CH625:CL625"/>
    <mergeCell ref="CC624:CG624"/>
    <mergeCell ref="CS624:CW624"/>
    <mergeCell ref="CX624:DB624"/>
    <mergeCell ref="CM623:CQ623"/>
    <mergeCell ref="DM624:DQ624"/>
    <mergeCell ref="CS628:CW628"/>
    <mergeCell ref="CX628:DB628"/>
    <mergeCell ref="DC628:DG628"/>
    <mergeCell ref="DH646:DL646"/>
    <mergeCell ref="CS648:CW648"/>
    <mergeCell ref="BX648:CB648"/>
    <mergeCell ref="CH620:CL620"/>
    <mergeCell ref="CM620:CQ620"/>
    <mergeCell ref="DC626:DG626"/>
    <mergeCell ref="DH626:DL626"/>
    <mergeCell ref="CH649:CL649"/>
    <mergeCell ref="DC624:DG624"/>
    <mergeCell ref="DR652:DV652"/>
    <mergeCell ref="DR647:DV647"/>
    <mergeCell ref="CC654:CG654"/>
    <mergeCell ref="DR651:DV651"/>
    <mergeCell ref="DR648:DV648"/>
    <mergeCell ref="CS649:CW649"/>
    <mergeCell ref="CS654:CW654"/>
    <mergeCell ref="CX654:DB654"/>
    <mergeCell ref="DC654:DG654"/>
    <mergeCell ref="BS653:BW653"/>
    <mergeCell ref="BN651:BR651"/>
    <mergeCell ref="BN650:BR650"/>
    <mergeCell ref="DC653:DG653"/>
    <mergeCell ref="AI663:AK663"/>
    <mergeCell ref="Z661:AK661"/>
    <mergeCell ref="DH648:DL648"/>
    <mergeCell ref="DM648:DQ648"/>
    <mergeCell ref="DH653:DL653"/>
    <mergeCell ref="CC649:CG649"/>
    <mergeCell ref="CC650:CG650"/>
    <mergeCell ref="CC652:CG652"/>
    <mergeCell ref="CC653:CG653"/>
    <mergeCell ref="DC648:DG648"/>
    <mergeCell ref="CS647:CW647"/>
    <mergeCell ref="CX647:DB647"/>
    <mergeCell ref="DC647:DG647"/>
    <mergeCell ref="CX655:DB655"/>
    <mergeCell ref="DC655:DG655"/>
    <mergeCell ref="DR655:DV655"/>
    <mergeCell ref="CS652:CW652"/>
    <mergeCell ref="DR657:DV657"/>
    <mergeCell ref="DM653:DQ653"/>
    <mergeCell ref="BX653:CB653"/>
    <mergeCell ref="BX654:CB654"/>
    <mergeCell ref="CH652:CL652"/>
    <mergeCell ref="CC655:CG655"/>
    <mergeCell ref="CH655:CL655"/>
    <mergeCell ref="CM655:CQ655"/>
    <mergeCell ref="Z685:AK685"/>
    <mergeCell ref="CM660:CQ660"/>
    <mergeCell ref="CM649:CQ649"/>
    <mergeCell ref="DH649:DL649"/>
    <mergeCell ref="DM649:DQ649"/>
    <mergeCell ref="CS651:CW651"/>
    <mergeCell ref="CX649:DB649"/>
    <mergeCell ref="CX652:DB652"/>
    <mergeCell ref="DC652:DG652"/>
    <mergeCell ref="DC650:DG650"/>
    <mergeCell ref="CX651:DB651"/>
    <mergeCell ref="BS651:BW651"/>
    <mergeCell ref="CC660:CG660"/>
    <mergeCell ref="BS660:BW660"/>
    <mergeCell ref="CS655:CW655"/>
    <mergeCell ref="DH652:DL652"/>
    <mergeCell ref="DM652:DQ652"/>
    <mergeCell ref="CS653:CW653"/>
    <mergeCell ref="CX653:DB653"/>
    <mergeCell ref="BX652:CB652"/>
    <mergeCell ref="CM650:CQ650"/>
    <mergeCell ref="AK723:AO723"/>
    <mergeCell ref="AK724:AO724"/>
    <mergeCell ref="AK725:AO725"/>
    <mergeCell ref="X735:AB735"/>
    <mergeCell ref="AK728:AO728"/>
    <mergeCell ref="AK729:AO729"/>
    <mergeCell ref="AH732:AJ732"/>
    <mergeCell ref="CH660:CL660"/>
    <mergeCell ref="DH650:DL650"/>
    <mergeCell ref="BS652:BW652"/>
    <mergeCell ref="CH651:CL651"/>
    <mergeCell ref="DH655:DL655"/>
    <mergeCell ref="DM655:DQ655"/>
    <mergeCell ref="BS655:BW655"/>
    <mergeCell ref="BX655:CB655"/>
    <mergeCell ref="AK732:AO732"/>
    <mergeCell ref="BN652:BR652"/>
    <mergeCell ref="BN653:BR653"/>
    <mergeCell ref="BN654:BR654"/>
    <mergeCell ref="X728:AB728"/>
    <mergeCell ref="DM650:DQ650"/>
    <mergeCell ref="Z654:AK654"/>
    <mergeCell ref="AG689:AH689"/>
    <mergeCell ref="X720:AB720"/>
    <mergeCell ref="DH654:DL654"/>
    <mergeCell ref="DM654:DQ654"/>
    <mergeCell ref="AE698:AI698"/>
    <mergeCell ref="AC714:AG717"/>
    <mergeCell ref="AC720:AG720"/>
    <mergeCell ref="X719:AB719"/>
    <mergeCell ref="AG673:AH673"/>
    <mergeCell ref="CH650:CL650"/>
    <mergeCell ref="EM670:EQ670"/>
    <mergeCell ref="AK730:AO730"/>
    <mergeCell ref="AH727:AJ727"/>
    <mergeCell ref="AC724:AG724"/>
    <mergeCell ref="AC730:AG730"/>
    <mergeCell ref="X722:AB722"/>
    <mergeCell ref="Z677:AK677"/>
    <mergeCell ref="Z686:AK686"/>
    <mergeCell ref="DX656:EB656"/>
    <mergeCell ref="EC656:EG656"/>
    <mergeCell ref="EH656:EL656"/>
    <mergeCell ref="EM656:EQ656"/>
    <mergeCell ref="AK734:AO734"/>
    <mergeCell ref="AK735:AO735"/>
    <mergeCell ref="DR654:DV654"/>
    <mergeCell ref="DR653:DV653"/>
    <mergeCell ref="DH651:DL651"/>
    <mergeCell ref="DM651:DQ651"/>
    <mergeCell ref="CH653:CL653"/>
    <mergeCell ref="CH654:CL654"/>
    <mergeCell ref="CM652:CQ652"/>
    <mergeCell ref="CM653:CQ653"/>
    <mergeCell ref="CM654:CQ654"/>
    <mergeCell ref="AC727:AG727"/>
    <mergeCell ref="AC728:AG728"/>
    <mergeCell ref="X721:AB721"/>
    <mergeCell ref="X727:AB727"/>
    <mergeCell ref="X725:AB725"/>
    <mergeCell ref="Z659:AK659"/>
    <mergeCell ref="BN655:BR655"/>
    <mergeCell ref="AK733:AO733"/>
    <mergeCell ref="Z667:AK667"/>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AK740:AO740"/>
    <mergeCell ref="AK741:AO741"/>
    <mergeCell ref="AK752:AO752"/>
    <mergeCell ref="AH737:AJ737"/>
    <mergeCell ref="AH720:AJ720"/>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K747:N747"/>
    <mergeCell ref="AK731:AO731"/>
    <mergeCell ref="AK738:AO738"/>
    <mergeCell ref="G728:J728"/>
    <mergeCell ref="X718:AB718"/>
    <mergeCell ref="AK726:AO726"/>
    <mergeCell ref="AK722:AO722"/>
    <mergeCell ref="O727:S727"/>
    <mergeCell ref="X739:AB739"/>
    <mergeCell ref="G726:J726"/>
    <mergeCell ref="T735:W735"/>
    <mergeCell ref="G722:J722"/>
    <mergeCell ref="O714:S717"/>
    <mergeCell ref="AK742:AO742"/>
    <mergeCell ref="X742:AB742"/>
    <mergeCell ref="K714:N717"/>
    <mergeCell ref="T724:W724"/>
    <mergeCell ref="AH742:AJ742"/>
    <mergeCell ref="AK743:AO743"/>
    <mergeCell ref="R705:T705"/>
    <mergeCell ref="W703:AK703"/>
    <mergeCell ref="G678:R678"/>
    <mergeCell ref="P679:R679"/>
    <mergeCell ref="Z676:AK676"/>
    <mergeCell ref="W700:AK700"/>
    <mergeCell ref="Z683:AK683"/>
    <mergeCell ref="G580:R580"/>
    <mergeCell ref="AF632:AJ632"/>
    <mergeCell ref="C628:L628"/>
    <mergeCell ref="G605:L605"/>
    <mergeCell ref="G602:R602"/>
    <mergeCell ref="N599:O599"/>
    <mergeCell ref="AA598:AK598"/>
    <mergeCell ref="Z587:AK587"/>
    <mergeCell ref="G587:R587"/>
    <mergeCell ref="AA680:AK680"/>
    <mergeCell ref="H648:R648"/>
    <mergeCell ref="AC628:AE628"/>
    <mergeCell ref="C629:L629"/>
    <mergeCell ref="Z588:AK588"/>
    <mergeCell ref="G611:R611"/>
    <mergeCell ref="P613:R613"/>
    <mergeCell ref="C630:L630"/>
    <mergeCell ref="C631:L631"/>
    <mergeCell ref="W628:Y628"/>
    <mergeCell ref="W629:Y629"/>
    <mergeCell ref="W630:Y630"/>
    <mergeCell ref="W631:Y631"/>
    <mergeCell ref="C632:L632"/>
    <mergeCell ref="Z628:AB628"/>
    <mergeCell ref="Z629:AB629"/>
    <mergeCell ref="A83:AT84"/>
    <mergeCell ref="AG649:AH649"/>
    <mergeCell ref="A69:AT70"/>
    <mergeCell ref="A72:AT73"/>
    <mergeCell ref="A544:AT545"/>
    <mergeCell ref="A480:AT481"/>
    <mergeCell ref="A351:AT352"/>
    <mergeCell ref="A282:AT283"/>
    <mergeCell ref="A222:AT223"/>
    <mergeCell ref="A169:AT170"/>
    <mergeCell ref="Q627:S627"/>
    <mergeCell ref="Q628:S628"/>
    <mergeCell ref="Q629:S629"/>
    <mergeCell ref="Q630:S630"/>
    <mergeCell ref="Q631:S631"/>
    <mergeCell ref="Q632:S632"/>
    <mergeCell ref="Q633:S633"/>
    <mergeCell ref="Q634:S634"/>
    <mergeCell ref="AK633:AN633"/>
    <mergeCell ref="C637:L637"/>
    <mergeCell ref="Z594:AK594"/>
    <mergeCell ref="C633:L633"/>
    <mergeCell ref="C634:L634"/>
    <mergeCell ref="M624:P626"/>
    <mergeCell ref="M627:P627"/>
    <mergeCell ref="M628:P628"/>
    <mergeCell ref="M629:P629"/>
    <mergeCell ref="W624:Y626"/>
    <mergeCell ref="G612:R612"/>
    <mergeCell ref="M633:P633"/>
    <mergeCell ref="M634:P634"/>
    <mergeCell ref="Z612:AK612"/>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M961:S961"/>
    <mergeCell ref="T742:W742"/>
    <mergeCell ref="B1059:AP1059"/>
    <mergeCell ref="C798:AN799"/>
    <mergeCell ref="T748:W748"/>
    <mergeCell ref="U924:Z924"/>
    <mergeCell ref="AA934:AF934"/>
    <mergeCell ref="AA917:AF917"/>
    <mergeCell ref="T749:W749"/>
    <mergeCell ref="K750:N750"/>
    <mergeCell ref="O750:S750"/>
    <mergeCell ref="AJ1044:AQ1047"/>
    <mergeCell ref="U827:X827"/>
    <mergeCell ref="Q825:T825"/>
    <mergeCell ref="X745:AB745"/>
    <mergeCell ref="X746:AB746"/>
    <mergeCell ref="X747:AB747"/>
    <mergeCell ref="X748:AB748"/>
    <mergeCell ref="X749:AB749"/>
    <mergeCell ref="X750:AB750"/>
    <mergeCell ref="AC749:AG749"/>
    <mergeCell ref="AC750:AG750"/>
    <mergeCell ref="AC751:AG751"/>
    <mergeCell ref="K749:N749"/>
    <mergeCell ref="O749:S749"/>
    <mergeCell ref="X751:AB751"/>
    <mergeCell ref="K740:N740"/>
    <mergeCell ref="X732:AB732"/>
    <mergeCell ref="K734:N734"/>
    <mergeCell ref="AC733:AG733"/>
    <mergeCell ref="AC739:AG739"/>
    <mergeCell ref="O776:S776"/>
    <mergeCell ref="O769:S772"/>
    <mergeCell ref="O747:S747"/>
    <mergeCell ref="T747:W747"/>
    <mergeCell ref="AC748:AG748"/>
    <mergeCell ref="U823:X824"/>
    <mergeCell ref="T737:W737"/>
    <mergeCell ref="Z806:AE806"/>
    <mergeCell ref="P816:Y816"/>
    <mergeCell ref="O788:S788"/>
    <mergeCell ref="O795:S795"/>
    <mergeCell ref="AC791:AG791"/>
    <mergeCell ref="AC792:AG792"/>
    <mergeCell ref="G577:R577"/>
    <mergeCell ref="G594:R594"/>
    <mergeCell ref="N615:O615"/>
    <mergeCell ref="AC633:AE633"/>
    <mergeCell ref="AC634:AE634"/>
    <mergeCell ref="AC635:AE635"/>
    <mergeCell ref="AA573:AK573"/>
    <mergeCell ref="T750:W750"/>
    <mergeCell ref="K751:N751"/>
    <mergeCell ref="O751:S751"/>
    <mergeCell ref="T751:W751"/>
    <mergeCell ref="B742:F742"/>
    <mergeCell ref="B743:F743"/>
    <mergeCell ref="B744:F744"/>
    <mergeCell ref="B745:F745"/>
    <mergeCell ref="G677:R677"/>
    <mergeCell ref="Z678:AK678"/>
    <mergeCell ref="G685:R685"/>
    <mergeCell ref="N665:O665"/>
    <mergeCell ref="H672:R672"/>
    <mergeCell ref="G676:R676"/>
    <mergeCell ref="AK736:AO736"/>
    <mergeCell ref="M630:P630"/>
    <mergeCell ref="M631:P631"/>
    <mergeCell ref="M632:P632"/>
    <mergeCell ref="AA688:AK688"/>
    <mergeCell ref="AC719:AG719"/>
    <mergeCell ref="C636:L636"/>
    <mergeCell ref="C638:L638"/>
    <mergeCell ref="G601:R601"/>
    <mergeCell ref="W634:Y634"/>
    <mergeCell ref="Z578:AK578"/>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66" workbookViewId="0">
      <selection activeCell="N37" sqref="N37"/>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556</v>
      </c>
      <c r="B1" s="125"/>
      <c r="C1" s="125"/>
      <c r="D1" s="125"/>
      <c r="E1" s="126"/>
      <c r="F1" s="1885" t="s">
        <v>628</v>
      </c>
      <c r="G1" s="1886"/>
      <c r="H1" s="1886"/>
      <c r="I1" s="1886"/>
      <c r="J1" s="1886"/>
      <c r="K1" s="1886"/>
      <c r="L1" s="1886"/>
      <c r="M1" s="1886"/>
      <c r="N1" s="1886"/>
      <c r="O1" s="1886"/>
      <c r="P1" s="1886"/>
      <c r="Q1" s="1886"/>
      <c r="R1" s="1887"/>
      <c r="S1" s="112"/>
      <c r="T1" s="111"/>
      <c r="U1" s="113"/>
    </row>
    <row r="2" spans="1:21" s="138" customFormat="1" ht="71.25" customHeight="1">
      <c r="A2" s="137"/>
      <c r="B2" s="138" t="s">
        <v>23</v>
      </c>
      <c r="C2" s="138" t="s">
        <v>374</v>
      </c>
      <c r="D2" s="138" t="s">
        <v>373</v>
      </c>
      <c r="E2" s="138" t="s">
        <v>24</v>
      </c>
      <c r="F2" s="139" t="str">
        <f>Application!B627&amp;Application!C627</f>
        <v>1)Chase Tax-Exempt Perm Loan</v>
      </c>
      <c r="G2" s="139" t="str">
        <f>Application!B628&amp;Application!C628</f>
        <v>2)HCD - AHSC Loan</v>
      </c>
      <c r="H2" s="139" t="str">
        <f>Application!B629&amp;Application!C629</f>
        <v>3)City of Santa Cruz - AHTF</v>
      </c>
      <c r="I2" s="139" t="str">
        <f>Application!B630&amp;Application!C630</f>
        <v>4)City of Santa Cruz - LHTF</v>
      </c>
      <c r="J2" s="139" t="str">
        <f>Application!B631&amp;Application!C631</f>
        <v>5)GP Loan - CCCE Grant</v>
      </c>
      <c r="K2" s="139" t="str">
        <f>Application!B632&amp;Application!C632</f>
        <v>6)Deferred Developer Fee</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55</v>
      </c>
      <c r="C4" s="147">
        <v>55</v>
      </c>
      <c r="D4" s="147"/>
      <c r="E4" s="147">
        <f t="shared" ref="E4:E6" si="0">C4-SUM(F4:Q4)</f>
        <v>55</v>
      </c>
      <c r="F4" s="147"/>
      <c r="G4" s="147"/>
      <c r="H4" s="147"/>
      <c r="I4" s="147"/>
      <c r="J4" s="147"/>
      <c r="K4" s="147"/>
      <c r="L4" s="147"/>
      <c r="M4" s="147"/>
      <c r="N4" s="147"/>
      <c r="O4" s="147"/>
      <c r="P4" s="147"/>
      <c r="Q4" s="147"/>
      <c r="R4" s="550">
        <f>SUM(E4:Q4)</f>
        <v>55</v>
      </c>
      <c r="S4" s="148"/>
      <c r="T4" s="148"/>
      <c r="U4" s="143"/>
    </row>
    <row r="5" spans="1:21" s="144" customFormat="1">
      <c r="A5" s="145" t="s">
        <v>28</v>
      </c>
      <c r="B5" s="146">
        <f>SUM(C5+D5)</f>
        <v>1080000</v>
      </c>
      <c r="C5" s="147">
        <v>1080000</v>
      </c>
      <c r="D5" s="147"/>
      <c r="E5" s="147">
        <f t="shared" si="0"/>
        <v>1080000</v>
      </c>
      <c r="F5" s="147"/>
      <c r="G5" s="147"/>
      <c r="H5" s="147"/>
      <c r="I5" s="147"/>
      <c r="J5" s="147"/>
      <c r="K5" s="147"/>
      <c r="L5" s="147"/>
      <c r="M5" s="147"/>
      <c r="N5" s="147"/>
      <c r="O5" s="147"/>
      <c r="P5" s="147"/>
      <c r="Q5" s="147"/>
      <c r="R5" s="550">
        <f>SUM(E5:Q5)</f>
        <v>1080000</v>
      </c>
      <c r="S5" s="148"/>
      <c r="T5" s="148"/>
      <c r="U5" s="143"/>
    </row>
    <row r="6" spans="1:21" s="144" customFormat="1">
      <c r="A6" s="145" t="s">
        <v>29</v>
      </c>
      <c r="B6" s="146">
        <f>SUM(C6+D6)</f>
        <v>50000</v>
      </c>
      <c r="C6" s="147">
        <v>50000</v>
      </c>
      <c r="D6" s="147"/>
      <c r="E6" s="147">
        <f t="shared" si="0"/>
        <v>50000</v>
      </c>
      <c r="F6" s="147"/>
      <c r="G6" s="147"/>
      <c r="H6" s="147"/>
      <c r="I6" s="147"/>
      <c r="J6" s="147"/>
      <c r="K6" s="147"/>
      <c r="L6" s="147"/>
      <c r="M6" s="147"/>
      <c r="N6" s="147"/>
      <c r="O6" s="147"/>
      <c r="P6" s="147"/>
      <c r="Q6" s="147"/>
      <c r="R6" s="550">
        <f>SUM(E6:Q6)</f>
        <v>50000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600</v>
      </c>
      <c r="B8" s="146">
        <f>SUM(C8:D8)</f>
        <v>1130055</v>
      </c>
      <c r="C8" s="146">
        <f t="shared" ref="C8:Q8" si="1">SUM(C4:C7)</f>
        <v>1130055</v>
      </c>
      <c r="D8" s="146">
        <f t="shared" si="1"/>
        <v>0</v>
      </c>
      <c r="E8" s="146">
        <f t="shared" si="1"/>
        <v>1130055</v>
      </c>
      <c r="F8" s="146">
        <f t="shared" si="1"/>
        <v>0</v>
      </c>
      <c r="G8" s="146">
        <f t="shared" si="1"/>
        <v>0</v>
      </c>
      <c r="H8" s="146">
        <f t="shared" si="1"/>
        <v>0</v>
      </c>
      <c r="I8" s="146">
        <f t="shared" si="1"/>
        <v>0</v>
      </c>
      <c r="J8" s="146">
        <f t="shared" si="1"/>
        <v>0</v>
      </c>
      <c r="K8" s="146">
        <f t="shared" si="1"/>
        <v>0</v>
      </c>
      <c r="L8" s="146">
        <f t="shared" si="1"/>
        <v>0</v>
      </c>
      <c r="M8" s="146">
        <f t="shared" si="1"/>
        <v>0</v>
      </c>
      <c r="N8" s="146">
        <f t="shared" si="1"/>
        <v>0</v>
      </c>
      <c r="O8" s="146">
        <f t="shared" si="1"/>
        <v>0</v>
      </c>
      <c r="P8" s="146"/>
      <c r="Q8" s="146">
        <f t="shared" si="1"/>
        <v>0</v>
      </c>
      <c r="R8" s="370">
        <f>SUM(R4:R7)</f>
        <v>1130055</v>
      </c>
      <c r="S8" s="148"/>
      <c r="T8" s="148"/>
      <c r="U8" s="143"/>
    </row>
    <row r="9" spans="1:21" s="144" customFormat="1">
      <c r="A9" s="145" t="s">
        <v>601</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602</v>
      </c>
      <c r="B10" s="146">
        <f>SUM(C10+D10)</f>
        <v>1336000</v>
      </c>
      <c r="C10" s="147">
        <v>1336000</v>
      </c>
      <c r="D10" s="147"/>
      <c r="E10" s="147">
        <f>C10-SUM(F10:Q10)</f>
        <v>1336000</v>
      </c>
      <c r="F10" s="147"/>
      <c r="G10" s="147"/>
      <c r="H10" s="147"/>
      <c r="I10" s="147"/>
      <c r="J10" s="147"/>
      <c r="K10" s="147"/>
      <c r="L10" s="147"/>
      <c r="M10" s="147"/>
      <c r="N10" s="147"/>
      <c r="O10" s="147"/>
      <c r="P10" s="147"/>
      <c r="Q10" s="147"/>
      <c r="R10" s="550">
        <f>SUM(E10:Q10)</f>
        <v>1336000</v>
      </c>
      <c r="S10" s="147">
        <v>688000</v>
      </c>
      <c r="T10" s="147"/>
      <c r="U10" s="143"/>
    </row>
    <row r="11" spans="1:21" s="144" customFormat="1">
      <c r="A11" s="149" t="s">
        <v>603</v>
      </c>
      <c r="B11" s="146">
        <f>SUM(C11:D11)</f>
        <v>1336000</v>
      </c>
      <c r="C11" s="146">
        <f t="shared" ref="C11:Q11" si="2">SUM(C9:C10)</f>
        <v>1336000</v>
      </c>
      <c r="D11" s="146">
        <f t="shared" si="2"/>
        <v>0</v>
      </c>
      <c r="E11" s="146">
        <f t="shared" si="2"/>
        <v>1336000</v>
      </c>
      <c r="F11" s="146">
        <f t="shared" si="2"/>
        <v>0</v>
      </c>
      <c r="G11" s="146">
        <f t="shared" si="2"/>
        <v>0</v>
      </c>
      <c r="H11" s="146">
        <f t="shared" si="2"/>
        <v>0</v>
      </c>
      <c r="I11" s="146">
        <f t="shared" si="2"/>
        <v>0</v>
      </c>
      <c r="J11" s="146">
        <f t="shared" si="2"/>
        <v>0</v>
      </c>
      <c r="K11" s="146">
        <f t="shared" si="2"/>
        <v>0</v>
      </c>
      <c r="L11" s="146">
        <f t="shared" si="2"/>
        <v>0</v>
      </c>
      <c r="M11" s="146">
        <f t="shared" si="2"/>
        <v>0</v>
      </c>
      <c r="N11" s="146">
        <f t="shared" si="2"/>
        <v>0</v>
      </c>
      <c r="O11" s="146">
        <f t="shared" si="2"/>
        <v>0</v>
      </c>
      <c r="P11" s="146"/>
      <c r="Q11" s="146">
        <f t="shared" si="2"/>
        <v>0</v>
      </c>
      <c r="R11" s="370">
        <f>SUM(R9:R10)</f>
        <v>1336000</v>
      </c>
      <c r="S11" s="148"/>
      <c r="T11" s="150">
        <f>SUM(T9:T10)</f>
        <v>0</v>
      </c>
      <c r="U11" s="143"/>
    </row>
    <row r="12" spans="1:21" s="144" customFormat="1">
      <c r="A12" s="149" t="s">
        <v>84</v>
      </c>
      <c r="B12" s="146">
        <f t="shared" ref="B12:Q12" si="3">SUM(B8+B11)</f>
        <v>2466055</v>
      </c>
      <c r="C12" s="146">
        <f t="shared" si="3"/>
        <v>2466055</v>
      </c>
      <c r="D12" s="146">
        <f t="shared" si="3"/>
        <v>0</v>
      </c>
      <c r="E12" s="146">
        <f t="shared" si="3"/>
        <v>2466055</v>
      </c>
      <c r="F12" s="146">
        <f t="shared" si="3"/>
        <v>0</v>
      </c>
      <c r="G12" s="146">
        <f t="shared" si="3"/>
        <v>0</v>
      </c>
      <c r="H12" s="146">
        <f t="shared" si="3"/>
        <v>0</v>
      </c>
      <c r="I12" s="146">
        <f t="shared" si="3"/>
        <v>0</v>
      </c>
      <c r="J12" s="146">
        <f t="shared" si="3"/>
        <v>0</v>
      </c>
      <c r="K12" s="146">
        <f t="shared" si="3"/>
        <v>0</v>
      </c>
      <c r="L12" s="146">
        <f t="shared" si="3"/>
        <v>0</v>
      </c>
      <c r="M12" s="146">
        <f t="shared" si="3"/>
        <v>0</v>
      </c>
      <c r="N12" s="146">
        <f t="shared" si="3"/>
        <v>0</v>
      </c>
      <c r="O12" s="146">
        <f t="shared" si="3"/>
        <v>0</v>
      </c>
      <c r="P12" s="146"/>
      <c r="Q12" s="146">
        <f t="shared" si="3"/>
        <v>0</v>
      </c>
      <c r="R12" s="370">
        <f>SUM(R8+R11)</f>
        <v>2466055</v>
      </c>
      <c r="S12" s="148"/>
      <c r="T12" s="148"/>
      <c r="U12" s="143"/>
    </row>
    <row r="13" spans="1:21" s="144" customFormat="1">
      <c r="A13" s="309" t="s">
        <v>916</v>
      </c>
      <c r="B13" s="146">
        <f>SUM(C13+D13)</f>
        <v>110639</v>
      </c>
      <c r="C13" s="147">
        <v>110639</v>
      </c>
      <c r="D13" s="147"/>
      <c r="E13" s="147">
        <f>C13-SUM(F13:Q13)</f>
        <v>110639</v>
      </c>
      <c r="F13" s="147"/>
      <c r="G13" s="147"/>
      <c r="H13" s="147"/>
      <c r="I13" s="147"/>
      <c r="J13" s="147"/>
      <c r="K13" s="147"/>
      <c r="L13" s="147"/>
      <c r="M13" s="147"/>
      <c r="N13" s="147"/>
      <c r="O13" s="147"/>
      <c r="P13" s="147"/>
      <c r="Q13" s="147"/>
      <c r="R13" s="550">
        <f>SUM(E13:Q13)</f>
        <v>110639</v>
      </c>
      <c r="S13" s="147">
        <f>C13</f>
        <v>110639</v>
      </c>
      <c r="T13" s="147"/>
      <c r="U13" s="143"/>
    </row>
    <row r="14" spans="1:21" s="144" customFormat="1" ht="24">
      <c r="A14" s="310" t="s">
        <v>1754</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1264</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604</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605</v>
      </c>
      <c r="B17" s="146">
        <f t="shared" ref="B17:B26" si="4">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606</v>
      </c>
      <c r="B18" s="146">
        <f t="shared" si="4"/>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607</v>
      </c>
      <c r="B19" s="146">
        <f t="shared" si="4"/>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4"/>
        <v>0</v>
      </c>
      <c r="C20" s="147"/>
      <c r="D20" s="147"/>
      <c r="E20" s="147"/>
      <c r="F20" s="147"/>
      <c r="G20" s="147"/>
      <c r="H20" s="147"/>
      <c r="I20" s="147"/>
      <c r="J20" s="147"/>
      <c r="K20" s="147"/>
      <c r="L20" s="147"/>
      <c r="M20" s="147"/>
      <c r="N20" s="147"/>
      <c r="O20" s="147"/>
      <c r="P20" s="147"/>
      <c r="Q20" s="147"/>
      <c r="R20" s="550">
        <f t="shared" ref="R20:R27" si="5">SUM(E20:Q20)</f>
        <v>0</v>
      </c>
      <c r="S20" s="147"/>
      <c r="T20" s="147"/>
      <c r="U20" s="143"/>
    </row>
    <row r="21" spans="1:21" s="144" customFormat="1">
      <c r="A21" s="145" t="s">
        <v>138</v>
      </c>
      <c r="B21" s="146">
        <f t="shared" si="4"/>
        <v>0</v>
      </c>
      <c r="C21" s="147"/>
      <c r="D21" s="147"/>
      <c r="E21" s="147"/>
      <c r="F21" s="147"/>
      <c r="G21" s="147"/>
      <c r="H21" s="147"/>
      <c r="I21" s="147"/>
      <c r="J21" s="147"/>
      <c r="K21" s="147"/>
      <c r="L21" s="147"/>
      <c r="M21" s="147"/>
      <c r="N21" s="147"/>
      <c r="O21" s="147"/>
      <c r="P21" s="147"/>
      <c r="Q21" s="147"/>
      <c r="R21" s="550">
        <f t="shared" si="5"/>
        <v>0</v>
      </c>
      <c r="S21" s="147"/>
      <c r="T21" s="147"/>
      <c r="U21" s="143"/>
    </row>
    <row r="22" spans="1:21" s="144" customFormat="1">
      <c r="A22" s="145" t="s">
        <v>139</v>
      </c>
      <c r="B22" s="146">
        <f t="shared" si="4"/>
        <v>0</v>
      </c>
      <c r="C22" s="147"/>
      <c r="D22" s="147"/>
      <c r="E22" s="147"/>
      <c r="F22" s="147"/>
      <c r="G22" s="147"/>
      <c r="H22" s="147"/>
      <c r="I22" s="147"/>
      <c r="J22" s="147"/>
      <c r="K22" s="147"/>
      <c r="L22" s="147"/>
      <c r="M22" s="147"/>
      <c r="N22" s="147"/>
      <c r="O22" s="147"/>
      <c r="P22" s="147"/>
      <c r="Q22" s="147"/>
      <c r="R22" s="550">
        <f t="shared" si="5"/>
        <v>0</v>
      </c>
      <c r="S22" s="147"/>
      <c r="T22" s="147"/>
      <c r="U22" s="143"/>
    </row>
    <row r="23" spans="1:21" s="144" customFormat="1">
      <c r="A23" s="145" t="s">
        <v>140</v>
      </c>
      <c r="B23" s="146">
        <f t="shared" si="4"/>
        <v>0</v>
      </c>
      <c r="C23" s="147"/>
      <c r="D23" s="147"/>
      <c r="E23" s="147"/>
      <c r="F23" s="147"/>
      <c r="G23" s="147"/>
      <c r="H23" s="147"/>
      <c r="I23" s="147"/>
      <c r="J23" s="147"/>
      <c r="K23" s="147"/>
      <c r="L23" s="147"/>
      <c r="M23" s="147"/>
      <c r="N23" s="147"/>
      <c r="O23" s="147"/>
      <c r="P23" s="147"/>
      <c r="Q23" s="147"/>
      <c r="R23" s="550">
        <f t="shared" si="5"/>
        <v>0</v>
      </c>
      <c r="S23" s="147"/>
      <c r="T23" s="147"/>
      <c r="U23" s="143"/>
    </row>
    <row r="24" spans="1:21" s="144" customFormat="1">
      <c r="A24" s="542" t="s">
        <v>1751</v>
      </c>
      <c r="B24" s="146">
        <f t="shared" si="4"/>
        <v>0</v>
      </c>
      <c r="C24" s="147"/>
      <c r="D24" s="147"/>
      <c r="E24" s="147"/>
      <c r="F24" s="147"/>
      <c r="G24" s="147"/>
      <c r="H24" s="147"/>
      <c r="I24" s="147"/>
      <c r="J24" s="147"/>
      <c r="K24" s="147"/>
      <c r="L24" s="147"/>
      <c r="M24" s="147"/>
      <c r="N24" s="147"/>
      <c r="O24" s="147"/>
      <c r="P24" s="147"/>
      <c r="Q24" s="147"/>
      <c r="R24" s="550">
        <f t="shared" si="5"/>
        <v>0</v>
      </c>
      <c r="S24" s="147"/>
      <c r="T24" s="147"/>
      <c r="U24" s="143"/>
    </row>
    <row r="25" spans="1:21" s="144" customFormat="1">
      <c r="A25" s="1193" t="s">
        <v>34</v>
      </c>
      <c r="B25" s="146">
        <f t="shared" si="4"/>
        <v>0</v>
      </c>
      <c r="C25" s="147"/>
      <c r="D25" s="147"/>
      <c r="E25" s="147"/>
      <c r="F25" s="147"/>
      <c r="G25" s="147"/>
      <c r="H25" s="147"/>
      <c r="I25" s="147"/>
      <c r="J25" s="147"/>
      <c r="K25" s="147"/>
      <c r="L25" s="147"/>
      <c r="M25" s="147"/>
      <c r="N25" s="147"/>
      <c r="O25" s="147"/>
      <c r="P25" s="147"/>
      <c r="Q25" s="147"/>
      <c r="R25" s="550">
        <f t="shared" si="5"/>
        <v>0</v>
      </c>
      <c r="S25" s="147"/>
      <c r="T25" s="147"/>
      <c r="U25" s="143"/>
    </row>
    <row r="26" spans="1:21" s="144" customFormat="1">
      <c r="A26" s="149" t="s">
        <v>133</v>
      </c>
      <c r="B26" s="146">
        <f t="shared" si="4"/>
        <v>0</v>
      </c>
      <c r="C26" s="146">
        <f>SUM(C17:C25)</f>
        <v>0</v>
      </c>
      <c r="D26" s="146">
        <f t="shared" ref="D26:Q26" si="6">SUM(D17:D25)</f>
        <v>0</v>
      </c>
      <c r="E26" s="146">
        <f t="shared" si="6"/>
        <v>0</v>
      </c>
      <c r="F26" s="146">
        <f t="shared" si="6"/>
        <v>0</v>
      </c>
      <c r="G26" s="146">
        <f t="shared" si="6"/>
        <v>0</v>
      </c>
      <c r="H26" s="146">
        <f t="shared" si="6"/>
        <v>0</v>
      </c>
      <c r="I26" s="146">
        <f t="shared" si="6"/>
        <v>0</v>
      </c>
      <c r="J26" s="146">
        <f t="shared" si="6"/>
        <v>0</v>
      </c>
      <c r="K26" s="146">
        <f t="shared" si="6"/>
        <v>0</v>
      </c>
      <c r="L26" s="146">
        <f t="shared" si="6"/>
        <v>0</v>
      </c>
      <c r="M26" s="146">
        <f t="shared" si="6"/>
        <v>0</v>
      </c>
      <c r="N26" s="146">
        <f t="shared" si="6"/>
        <v>0</v>
      </c>
      <c r="O26" s="146">
        <f t="shared" si="6"/>
        <v>0</v>
      </c>
      <c r="P26" s="146">
        <f t="shared" si="6"/>
        <v>0</v>
      </c>
      <c r="Q26" s="146">
        <f t="shared" si="6"/>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5"/>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605</v>
      </c>
      <c r="B29" s="146">
        <f t="shared" ref="B29:B38" si="7">SUM(C29+D29)</f>
        <v>2121922</v>
      </c>
      <c r="C29" s="147">
        <v>2121922</v>
      </c>
      <c r="D29" s="147"/>
      <c r="E29" s="147">
        <f>C29-SUM(F29:Q29)</f>
        <v>2121922</v>
      </c>
      <c r="F29" s="147"/>
      <c r="G29" s="147"/>
      <c r="H29" s="147"/>
      <c r="I29" s="147"/>
      <c r="J29" s="147"/>
      <c r="K29" s="147"/>
      <c r="L29" s="147"/>
      <c r="M29" s="147"/>
      <c r="N29" s="147"/>
      <c r="O29" s="147"/>
      <c r="P29" s="147"/>
      <c r="Q29" s="147"/>
      <c r="R29" s="550">
        <f t="shared" ref="R29:R37" si="8">SUM(E29:Q29)</f>
        <v>2121922</v>
      </c>
      <c r="S29" s="147">
        <f>C29</f>
        <v>2121922</v>
      </c>
      <c r="T29" s="147"/>
      <c r="U29" s="143"/>
    </row>
    <row r="30" spans="1:21" s="144" customFormat="1">
      <c r="A30" s="145" t="s">
        <v>606</v>
      </c>
      <c r="B30" s="146">
        <f t="shared" si="7"/>
        <v>41480312</v>
      </c>
      <c r="C30" s="147">
        <v>41480312</v>
      </c>
      <c r="D30" s="147"/>
      <c r="E30" s="147">
        <f>MAX(0,C30-SUM(F30:Q30))</f>
        <v>0</v>
      </c>
      <c r="F30" s="147">
        <f>Application!AO627</f>
        <v>22361000</v>
      </c>
      <c r="G30" s="147">
        <f>Application!AO628-G10-G34</f>
        <v>13324312</v>
      </c>
      <c r="H30" s="147">
        <f>Application!AO629</f>
        <v>1750000</v>
      </c>
      <c r="I30" s="147">
        <f>Application!AO630</f>
        <v>3805000</v>
      </c>
      <c r="J30" s="147">
        <f>Application!AO631</f>
        <v>240000</v>
      </c>
      <c r="K30" s="147"/>
      <c r="L30" s="147"/>
      <c r="M30" s="147"/>
      <c r="N30" s="147"/>
      <c r="O30" s="147"/>
      <c r="P30" s="147"/>
      <c r="Q30" s="147"/>
      <c r="R30" s="550">
        <f t="shared" si="8"/>
        <v>41480312</v>
      </c>
      <c r="S30" s="147">
        <f>C30</f>
        <v>41480312</v>
      </c>
      <c r="T30" s="147"/>
      <c r="U30" s="143"/>
    </row>
    <row r="31" spans="1:21" s="144" customFormat="1">
      <c r="A31" s="145" t="s">
        <v>607</v>
      </c>
      <c r="B31" s="146">
        <f t="shared" si="7"/>
        <v>1635174</v>
      </c>
      <c r="C31" s="147">
        <v>1635174</v>
      </c>
      <c r="D31" s="147"/>
      <c r="E31" s="147">
        <f t="shared" ref="E31:E37" si="9">C31-SUM(F31:Q31)</f>
        <v>1635174</v>
      </c>
      <c r="F31" s="147"/>
      <c r="G31" s="147"/>
      <c r="H31" s="147"/>
      <c r="I31" s="147"/>
      <c r="J31" s="147"/>
      <c r="K31" s="147"/>
      <c r="L31" s="147"/>
      <c r="M31" s="147"/>
      <c r="N31" s="147"/>
      <c r="O31" s="147"/>
      <c r="P31" s="147"/>
      <c r="Q31" s="147"/>
      <c r="R31" s="550">
        <f t="shared" si="8"/>
        <v>1635174</v>
      </c>
      <c r="S31" s="147">
        <f t="shared" ref="S31:S34" si="10">C31</f>
        <v>1635174</v>
      </c>
      <c r="T31" s="147"/>
      <c r="U31" s="143"/>
    </row>
    <row r="32" spans="1:21" s="144" customFormat="1">
      <c r="A32" s="145" t="s">
        <v>137</v>
      </c>
      <c r="B32" s="146">
        <f t="shared" si="7"/>
        <v>2019779.5</v>
      </c>
      <c r="C32" s="147">
        <f>4039559/2</f>
        <v>2019779.5</v>
      </c>
      <c r="D32" s="147"/>
      <c r="E32" s="147">
        <f t="shared" si="9"/>
        <v>2019779.5</v>
      </c>
      <c r="F32" s="147"/>
      <c r="G32" s="147"/>
      <c r="H32" s="147"/>
      <c r="I32" s="147"/>
      <c r="J32" s="147"/>
      <c r="K32" s="147"/>
      <c r="L32" s="147"/>
      <c r="M32" s="147"/>
      <c r="N32" s="147"/>
      <c r="O32" s="147"/>
      <c r="P32" s="147"/>
      <c r="Q32" s="147"/>
      <c r="R32" s="550">
        <f t="shared" si="8"/>
        <v>2019779.5</v>
      </c>
      <c r="S32" s="147">
        <f t="shared" si="10"/>
        <v>2019779.5</v>
      </c>
      <c r="T32" s="147"/>
      <c r="U32" s="143"/>
    </row>
    <row r="33" spans="1:21" s="144" customFormat="1">
      <c r="A33" s="145" t="s">
        <v>138</v>
      </c>
      <c r="B33" s="146">
        <f t="shared" si="7"/>
        <v>2019779.5</v>
      </c>
      <c r="C33" s="147">
        <f>C32</f>
        <v>2019779.5</v>
      </c>
      <c r="D33" s="147"/>
      <c r="E33" s="147">
        <f t="shared" si="9"/>
        <v>2019779.5</v>
      </c>
      <c r="F33" s="147"/>
      <c r="G33" s="147"/>
      <c r="H33" s="147"/>
      <c r="I33" s="147"/>
      <c r="J33" s="147"/>
      <c r="K33" s="147"/>
      <c r="L33" s="147"/>
      <c r="M33" s="147"/>
      <c r="N33" s="147"/>
      <c r="O33" s="147"/>
      <c r="P33" s="147"/>
      <c r="Q33" s="147"/>
      <c r="R33" s="550">
        <f t="shared" si="8"/>
        <v>2019779.5</v>
      </c>
      <c r="S33" s="147">
        <f t="shared" si="10"/>
        <v>2019779.5</v>
      </c>
      <c r="T33" s="147"/>
      <c r="U33" s="143"/>
    </row>
    <row r="34" spans="1:21" s="144" customFormat="1">
      <c r="A34" s="145" t="s">
        <v>139</v>
      </c>
      <c r="B34" s="146">
        <f t="shared" si="7"/>
        <v>13826771</v>
      </c>
      <c r="C34" s="147">
        <v>13826771</v>
      </c>
      <c r="D34" s="147"/>
      <c r="E34" s="147">
        <f>MAX(0,C34-SUM(F34:Q34))</f>
        <v>4651083</v>
      </c>
      <c r="F34" s="147"/>
      <c r="G34" s="147">
        <f>C34-4651083</f>
        <v>9175688</v>
      </c>
      <c r="H34" s="147"/>
      <c r="I34" s="147"/>
      <c r="J34" s="147"/>
      <c r="K34" s="147"/>
      <c r="L34" s="147"/>
      <c r="M34" s="147"/>
      <c r="N34" s="147"/>
      <c r="O34" s="147"/>
      <c r="P34" s="147"/>
      <c r="Q34" s="147"/>
      <c r="R34" s="550">
        <f t="shared" si="8"/>
        <v>13826771</v>
      </c>
      <c r="S34" s="147">
        <f t="shared" si="10"/>
        <v>13826771</v>
      </c>
      <c r="T34" s="147"/>
      <c r="U34" s="143"/>
    </row>
    <row r="35" spans="1:21" s="144" customFormat="1">
      <c r="A35" s="145" t="s">
        <v>140</v>
      </c>
      <c r="B35" s="146">
        <f t="shared" si="7"/>
        <v>702532</v>
      </c>
      <c r="C35" s="147">
        <v>702532</v>
      </c>
      <c r="D35" s="147"/>
      <c r="E35" s="147">
        <f t="shared" si="9"/>
        <v>702532</v>
      </c>
      <c r="F35" s="147"/>
      <c r="G35" s="147"/>
      <c r="H35" s="147"/>
      <c r="I35" s="147"/>
      <c r="J35" s="147"/>
      <c r="K35" s="147"/>
      <c r="L35" s="147"/>
      <c r="M35" s="147"/>
      <c r="N35" s="147"/>
      <c r="O35" s="147"/>
      <c r="P35" s="147"/>
      <c r="Q35" s="147"/>
      <c r="R35" s="550">
        <f t="shared" si="8"/>
        <v>702532</v>
      </c>
      <c r="S35" s="147">
        <f>C35</f>
        <v>702532</v>
      </c>
      <c r="T35" s="147"/>
      <c r="U35" s="143"/>
    </row>
    <row r="36" spans="1:21" s="144" customFormat="1">
      <c r="A36" s="304" t="s">
        <v>1751</v>
      </c>
      <c r="B36" s="146">
        <f t="shared" si="7"/>
        <v>300000</v>
      </c>
      <c r="C36" s="147">
        <v>300000</v>
      </c>
      <c r="D36" s="147"/>
      <c r="E36" s="147">
        <f t="shared" si="9"/>
        <v>300000</v>
      </c>
      <c r="F36" s="147"/>
      <c r="G36" s="147"/>
      <c r="H36" s="147"/>
      <c r="I36" s="147"/>
      <c r="J36" s="147"/>
      <c r="K36" s="147"/>
      <c r="L36" s="147"/>
      <c r="M36" s="147"/>
      <c r="N36" s="147"/>
      <c r="O36" s="147"/>
      <c r="P36" s="147"/>
      <c r="Q36" s="147"/>
      <c r="R36" s="550">
        <f t="shared" si="8"/>
        <v>300000</v>
      </c>
      <c r="S36" s="147">
        <f>C36</f>
        <v>300000</v>
      </c>
      <c r="T36" s="147"/>
      <c r="U36" s="143"/>
    </row>
    <row r="37" spans="1:21" s="144" customFormat="1" ht="24">
      <c r="A37" s="1193" t="s">
        <v>2766</v>
      </c>
      <c r="B37" s="146">
        <f t="shared" si="7"/>
        <v>2555665</v>
      </c>
      <c r="C37" s="147">
        <f>878165+677500+1000000</f>
        <v>2555665</v>
      </c>
      <c r="D37" s="147"/>
      <c r="E37" s="147">
        <f t="shared" si="9"/>
        <v>2555665</v>
      </c>
      <c r="F37" s="147"/>
      <c r="G37" s="147"/>
      <c r="H37" s="147"/>
      <c r="I37" s="147"/>
      <c r="J37" s="147"/>
      <c r="K37" s="147"/>
      <c r="L37" s="147"/>
      <c r="M37" s="147"/>
      <c r="N37" s="147"/>
      <c r="O37" s="147"/>
      <c r="P37" s="147"/>
      <c r="Q37" s="147"/>
      <c r="R37" s="550">
        <f t="shared" si="8"/>
        <v>2555665</v>
      </c>
      <c r="S37" s="147">
        <f>C37-1000000</f>
        <v>1555665</v>
      </c>
      <c r="T37" s="147"/>
      <c r="U37" s="143"/>
    </row>
    <row r="38" spans="1:21" s="144" customFormat="1">
      <c r="A38" s="149" t="s">
        <v>143</v>
      </c>
      <c r="B38" s="146">
        <f t="shared" si="7"/>
        <v>66661935</v>
      </c>
      <c r="C38" s="146">
        <f>SUM(C29:C37)</f>
        <v>66661935</v>
      </c>
      <c r="D38" s="146">
        <f t="shared" ref="D38:Q38" si="11">SUM(D29:D37)</f>
        <v>0</v>
      </c>
      <c r="E38" s="146">
        <f t="shared" si="11"/>
        <v>16005935</v>
      </c>
      <c r="F38" s="146">
        <f t="shared" si="11"/>
        <v>22361000</v>
      </c>
      <c r="G38" s="146">
        <f t="shared" si="11"/>
        <v>22500000</v>
      </c>
      <c r="H38" s="146">
        <f t="shared" si="11"/>
        <v>1750000</v>
      </c>
      <c r="I38" s="146">
        <f t="shared" si="11"/>
        <v>3805000</v>
      </c>
      <c r="J38" s="146">
        <f t="shared" si="11"/>
        <v>240000</v>
      </c>
      <c r="K38" s="146">
        <f t="shared" si="11"/>
        <v>0</v>
      </c>
      <c r="L38" s="146">
        <f t="shared" si="11"/>
        <v>0</v>
      </c>
      <c r="M38" s="146">
        <f t="shared" si="11"/>
        <v>0</v>
      </c>
      <c r="N38" s="146">
        <f t="shared" si="11"/>
        <v>0</v>
      </c>
      <c r="O38" s="146">
        <f t="shared" si="11"/>
        <v>0</v>
      </c>
      <c r="P38" s="146">
        <f t="shared" si="11"/>
        <v>0</v>
      </c>
      <c r="Q38" s="146">
        <f t="shared" si="11"/>
        <v>0</v>
      </c>
      <c r="R38" s="370">
        <f>SUM(R29:R37)</f>
        <v>66661935</v>
      </c>
      <c r="S38" s="150">
        <f>SUM(S29:S37)</f>
        <v>65661935</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1548000</v>
      </c>
      <c r="C40" s="147">
        <v>1548000</v>
      </c>
      <c r="D40" s="147"/>
      <c r="E40" s="147">
        <f>C40-SUM(F40:Q40)</f>
        <v>1548000</v>
      </c>
      <c r="F40" s="147"/>
      <c r="G40" s="147"/>
      <c r="H40" s="147"/>
      <c r="I40" s="147"/>
      <c r="J40" s="147"/>
      <c r="K40" s="147"/>
      <c r="L40" s="147"/>
      <c r="M40" s="147"/>
      <c r="N40" s="147"/>
      <c r="O40" s="147"/>
      <c r="P40" s="147"/>
      <c r="Q40" s="147"/>
      <c r="R40" s="550">
        <f>SUM(E40:Q40)</f>
        <v>1548000</v>
      </c>
      <c r="S40" s="147">
        <f>C40</f>
        <v>1548000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50">
        <f>SUM(E41:Q41)</f>
        <v>0</v>
      </c>
      <c r="S41" s="147"/>
      <c r="T41" s="147"/>
      <c r="U41" s="143"/>
    </row>
    <row r="42" spans="1:21" s="144" customFormat="1">
      <c r="A42" s="149" t="s">
        <v>147</v>
      </c>
      <c r="B42" s="146">
        <f>SUM(C42:D42)</f>
        <v>1548000</v>
      </c>
      <c r="C42" s="146">
        <f>SUM(C39:C41)</f>
        <v>1548000</v>
      </c>
      <c r="D42" s="146">
        <f>SUM(D39:D41)</f>
        <v>0</v>
      </c>
      <c r="E42" s="146">
        <f t="shared" ref="E42:T42" si="12">SUM(E40:E41)</f>
        <v>1548000</v>
      </c>
      <c r="F42" s="146">
        <f t="shared" si="12"/>
        <v>0</v>
      </c>
      <c r="G42" s="146">
        <f t="shared" si="12"/>
        <v>0</v>
      </c>
      <c r="H42" s="146">
        <f t="shared" si="12"/>
        <v>0</v>
      </c>
      <c r="I42" s="146">
        <f t="shared" si="12"/>
        <v>0</v>
      </c>
      <c r="J42" s="146">
        <f t="shared" si="12"/>
        <v>0</v>
      </c>
      <c r="K42" s="146">
        <f t="shared" si="12"/>
        <v>0</v>
      </c>
      <c r="L42" s="146">
        <f t="shared" si="12"/>
        <v>0</v>
      </c>
      <c r="M42" s="146">
        <f t="shared" si="12"/>
        <v>0</v>
      </c>
      <c r="N42" s="146">
        <f t="shared" si="12"/>
        <v>0</v>
      </c>
      <c r="O42" s="146">
        <f t="shared" si="12"/>
        <v>0</v>
      </c>
      <c r="P42" s="146">
        <f t="shared" si="12"/>
        <v>0</v>
      </c>
      <c r="Q42" s="146">
        <f t="shared" si="12"/>
        <v>0</v>
      </c>
      <c r="R42" s="370">
        <f>SUM(R40:R41)</f>
        <v>1548000</v>
      </c>
      <c r="S42" s="150">
        <f t="shared" si="12"/>
        <v>1548000</v>
      </c>
      <c r="T42" s="150">
        <f t="shared" si="12"/>
        <v>0</v>
      </c>
      <c r="U42" s="143"/>
    </row>
    <row r="43" spans="1:21" s="144" customFormat="1">
      <c r="A43" s="149" t="s">
        <v>148</v>
      </c>
      <c r="B43" s="146">
        <f>SUM(C43:D43)</f>
        <v>672000</v>
      </c>
      <c r="C43" s="147">
        <v>672000</v>
      </c>
      <c r="D43" s="147"/>
      <c r="E43" s="147">
        <f>C43-SUM(F43:Q43)</f>
        <v>672000</v>
      </c>
      <c r="F43" s="147"/>
      <c r="G43" s="147"/>
      <c r="H43" s="147"/>
      <c r="I43" s="147"/>
      <c r="J43" s="147"/>
      <c r="K43" s="147"/>
      <c r="L43" s="147"/>
      <c r="M43" s="147"/>
      <c r="N43" s="147"/>
      <c r="O43" s="147"/>
      <c r="P43" s="147"/>
      <c r="Q43" s="147"/>
      <c r="R43" s="550">
        <f>SUM(E43:Q43)</f>
        <v>672000</v>
      </c>
      <c r="S43" s="147">
        <f>C43</f>
        <v>672000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3">SUM(C45+D45)</f>
        <v>12400188.5</v>
      </c>
      <c r="C45" s="147">
        <f>8558305.5+3841883</f>
        <v>12400188.5</v>
      </c>
      <c r="D45" s="147"/>
      <c r="E45" s="147">
        <f t="shared" ref="E45:E46" si="14">C45-SUM(F45:Q45)</f>
        <v>12400188.5</v>
      </c>
      <c r="F45" s="147"/>
      <c r="G45" s="147"/>
      <c r="H45" s="147"/>
      <c r="I45" s="147"/>
      <c r="J45" s="147"/>
      <c r="K45" s="147"/>
      <c r="L45" s="147"/>
      <c r="M45" s="147"/>
      <c r="N45" s="147"/>
      <c r="O45" s="147"/>
      <c r="P45" s="147"/>
      <c r="Q45" s="147"/>
      <c r="R45" s="550">
        <f t="shared" ref="R45:R53" si="15">SUM(E45:Q45)</f>
        <v>12400188.5</v>
      </c>
      <c r="S45" s="147">
        <f>4354225.5+853751.5</f>
        <v>5207977</v>
      </c>
      <c r="T45" s="147"/>
      <c r="U45" s="143"/>
    </row>
    <row r="46" spans="1:21" s="144" customFormat="1">
      <c r="A46" s="145" t="s">
        <v>151</v>
      </c>
      <c r="B46" s="146">
        <f t="shared" si="13"/>
        <v>435540.8</v>
      </c>
      <c r="C46" s="147">
        <v>435540.8</v>
      </c>
      <c r="D46" s="147"/>
      <c r="E46" s="147">
        <f t="shared" si="14"/>
        <v>435540.8</v>
      </c>
      <c r="F46" s="147"/>
      <c r="G46" s="147"/>
      <c r="H46" s="147"/>
      <c r="I46" s="147"/>
      <c r="J46" s="147"/>
      <c r="K46" s="147"/>
      <c r="L46" s="147"/>
      <c r="M46" s="147"/>
      <c r="N46" s="147"/>
      <c r="O46" s="147"/>
      <c r="P46" s="147"/>
      <c r="Q46" s="147"/>
      <c r="R46" s="550">
        <f t="shared" si="15"/>
        <v>435540.8</v>
      </c>
      <c r="S46" s="147">
        <v>185840.5</v>
      </c>
      <c r="T46" s="147"/>
      <c r="U46" s="143"/>
    </row>
    <row r="47" spans="1:21" s="144" customFormat="1">
      <c r="A47" s="198" t="s">
        <v>152</v>
      </c>
      <c r="B47" s="146">
        <f t="shared" si="13"/>
        <v>0</v>
      </c>
      <c r="C47" s="147"/>
      <c r="D47" s="147"/>
      <c r="E47" s="147"/>
      <c r="F47" s="147"/>
      <c r="G47" s="147"/>
      <c r="H47" s="147"/>
      <c r="I47" s="147"/>
      <c r="J47" s="147"/>
      <c r="K47" s="147"/>
      <c r="L47" s="147"/>
      <c r="M47" s="147"/>
      <c r="N47" s="147"/>
      <c r="O47" s="147"/>
      <c r="P47" s="147"/>
      <c r="Q47" s="147"/>
      <c r="R47" s="550">
        <f t="shared" si="15"/>
        <v>0</v>
      </c>
      <c r="S47" s="147"/>
      <c r="T47" s="147"/>
      <c r="U47" s="143"/>
    </row>
    <row r="48" spans="1:21" s="144" customFormat="1">
      <c r="A48" s="145" t="s">
        <v>153</v>
      </c>
      <c r="B48" s="146">
        <f t="shared" si="13"/>
        <v>0</v>
      </c>
      <c r="C48" s="147"/>
      <c r="D48" s="147"/>
      <c r="E48" s="147"/>
      <c r="F48" s="147"/>
      <c r="G48" s="147"/>
      <c r="H48" s="147"/>
      <c r="I48" s="147"/>
      <c r="J48" s="147"/>
      <c r="K48" s="147"/>
      <c r="L48" s="147"/>
      <c r="M48" s="147"/>
      <c r="N48" s="147"/>
      <c r="O48" s="147"/>
      <c r="P48" s="147"/>
      <c r="Q48" s="147"/>
      <c r="R48" s="550">
        <f t="shared" si="15"/>
        <v>0</v>
      </c>
      <c r="S48" s="147"/>
      <c r="T48" s="147"/>
      <c r="U48" s="143"/>
    </row>
    <row r="49" spans="1:21" s="144" customFormat="1">
      <c r="A49" s="145" t="s">
        <v>57</v>
      </c>
      <c r="B49" s="146">
        <f t="shared" si="13"/>
        <v>358556</v>
      </c>
      <c r="C49" s="147">
        <f>60000+50000+81054+130662+12000+19840+5000</f>
        <v>358556</v>
      </c>
      <c r="D49" s="147"/>
      <c r="E49" s="147">
        <f t="shared" ref="E49:E53" si="16">C49-SUM(F49:Q49)</f>
        <v>358556</v>
      </c>
      <c r="F49" s="147"/>
      <c r="G49" s="147"/>
      <c r="H49" s="147"/>
      <c r="I49" s="147"/>
      <c r="J49" s="147"/>
      <c r="K49" s="147"/>
      <c r="L49" s="147"/>
      <c r="M49" s="147"/>
      <c r="N49" s="147"/>
      <c r="O49" s="147"/>
      <c r="P49" s="147"/>
      <c r="Q49" s="147"/>
      <c r="R49" s="550">
        <f t="shared" si="15"/>
        <v>358556</v>
      </c>
      <c r="S49" s="147">
        <f>6446+5372+8708+55752+5120+2132+537</f>
        <v>84067</v>
      </c>
      <c r="T49" s="147"/>
      <c r="U49" s="143"/>
    </row>
    <row r="50" spans="1:21" s="144" customFormat="1">
      <c r="A50" s="145" t="s">
        <v>156</v>
      </c>
      <c r="B50" s="146">
        <f t="shared" si="13"/>
        <v>65000</v>
      </c>
      <c r="C50" s="147">
        <v>65000</v>
      </c>
      <c r="D50" s="147"/>
      <c r="E50" s="147">
        <f t="shared" si="16"/>
        <v>65000</v>
      </c>
      <c r="F50" s="147"/>
      <c r="G50" s="147"/>
      <c r="H50" s="147"/>
      <c r="I50" s="147"/>
      <c r="J50" s="147"/>
      <c r="K50" s="147"/>
      <c r="L50" s="147"/>
      <c r="M50" s="147"/>
      <c r="N50" s="147"/>
      <c r="O50" s="147"/>
      <c r="P50" s="147"/>
      <c r="Q50" s="147"/>
      <c r="R50" s="550">
        <f t="shared" si="15"/>
        <v>65000</v>
      </c>
      <c r="S50" s="147">
        <f>C50</f>
        <v>65000</v>
      </c>
      <c r="T50" s="147"/>
      <c r="U50" s="143"/>
    </row>
    <row r="51" spans="1:21" s="144" customFormat="1">
      <c r="A51" s="304" t="s">
        <v>154</v>
      </c>
      <c r="B51" s="146">
        <f t="shared" si="13"/>
        <v>307726</v>
      </c>
      <c r="C51" s="147">
        <v>307726</v>
      </c>
      <c r="D51" s="147"/>
      <c r="E51" s="147">
        <f t="shared" si="16"/>
        <v>307726</v>
      </c>
      <c r="F51" s="147"/>
      <c r="G51" s="147"/>
      <c r="H51" s="147"/>
      <c r="I51" s="147"/>
      <c r="J51" s="147"/>
      <c r="K51" s="147"/>
      <c r="L51" s="147"/>
      <c r="M51" s="147"/>
      <c r="N51" s="147"/>
      <c r="O51" s="147"/>
      <c r="P51" s="147"/>
      <c r="Q51" s="147"/>
      <c r="R51" s="550">
        <f t="shared" si="15"/>
        <v>307726</v>
      </c>
      <c r="S51" s="147">
        <f>C51</f>
        <v>307726</v>
      </c>
      <c r="T51" s="147"/>
      <c r="U51" s="143"/>
    </row>
    <row r="52" spans="1:21" s="144" customFormat="1">
      <c r="A52" s="145" t="s">
        <v>155</v>
      </c>
      <c r="B52" s="146">
        <f t="shared" si="13"/>
        <v>1948010</v>
      </c>
      <c r="C52" s="147">
        <v>1948010</v>
      </c>
      <c r="D52" s="147"/>
      <c r="E52" s="147">
        <f t="shared" si="16"/>
        <v>1948010</v>
      </c>
      <c r="F52" s="147"/>
      <c r="G52" s="147"/>
      <c r="H52" s="147"/>
      <c r="I52" s="147"/>
      <c r="J52" s="147"/>
      <c r="K52" s="147"/>
      <c r="L52" s="147"/>
      <c r="M52" s="147"/>
      <c r="N52" s="147"/>
      <c r="O52" s="147"/>
      <c r="P52" s="147"/>
      <c r="Q52" s="147"/>
      <c r="R52" s="550">
        <f t="shared" si="15"/>
        <v>1948010</v>
      </c>
      <c r="S52" s="147">
        <f>C52</f>
        <v>1948010</v>
      </c>
      <c r="T52" s="147"/>
      <c r="U52" s="143"/>
    </row>
    <row r="53" spans="1:21" s="144" customFormat="1" ht="24">
      <c r="A53" s="1193" t="s">
        <v>2769</v>
      </c>
      <c r="B53" s="146">
        <f t="shared" si="13"/>
        <v>139800</v>
      </c>
      <c r="C53" s="147">
        <f>40000+65000+34800</f>
        <v>139800</v>
      </c>
      <c r="D53" s="147"/>
      <c r="E53" s="147">
        <f t="shared" si="16"/>
        <v>139800</v>
      </c>
      <c r="F53" s="147"/>
      <c r="G53" s="147"/>
      <c r="H53" s="147"/>
      <c r="I53" s="147"/>
      <c r="J53" s="147"/>
      <c r="K53" s="147"/>
      <c r="L53" s="147"/>
      <c r="M53" s="147"/>
      <c r="N53" s="147"/>
      <c r="O53" s="147"/>
      <c r="P53" s="147"/>
      <c r="Q53" s="147"/>
      <c r="R53" s="550">
        <f t="shared" si="15"/>
        <v>139800</v>
      </c>
      <c r="S53" s="147">
        <f>17068+27735+34800</f>
        <v>79603</v>
      </c>
      <c r="T53" s="147"/>
      <c r="U53" s="143"/>
    </row>
    <row r="54" spans="1:21" s="153" customFormat="1">
      <c r="A54" s="149" t="s">
        <v>157</v>
      </c>
      <c r="B54" s="150">
        <f>SUM(C54:D54)</f>
        <v>15654821.300000001</v>
      </c>
      <c r="C54" s="150">
        <f t="shared" ref="C54:T54" si="17">SUM(C45:C53)</f>
        <v>15654821.300000001</v>
      </c>
      <c r="D54" s="150">
        <f t="shared" si="17"/>
        <v>0</v>
      </c>
      <c r="E54" s="150">
        <f t="shared" si="17"/>
        <v>15654821.300000001</v>
      </c>
      <c r="F54" s="150">
        <f t="shared" si="17"/>
        <v>0</v>
      </c>
      <c r="G54" s="150">
        <f t="shared" si="17"/>
        <v>0</v>
      </c>
      <c r="H54" s="150">
        <f t="shared" si="17"/>
        <v>0</v>
      </c>
      <c r="I54" s="150">
        <f t="shared" si="17"/>
        <v>0</v>
      </c>
      <c r="J54" s="150">
        <f t="shared" si="17"/>
        <v>0</v>
      </c>
      <c r="K54" s="150">
        <f t="shared" si="17"/>
        <v>0</v>
      </c>
      <c r="L54" s="150">
        <f t="shared" si="17"/>
        <v>0</v>
      </c>
      <c r="M54" s="150">
        <f t="shared" si="17"/>
        <v>0</v>
      </c>
      <c r="N54" s="150">
        <f t="shared" si="17"/>
        <v>0</v>
      </c>
      <c r="O54" s="150">
        <f t="shared" si="17"/>
        <v>0</v>
      </c>
      <c r="P54" s="150">
        <f t="shared" si="17"/>
        <v>0</v>
      </c>
      <c r="Q54" s="150">
        <f t="shared" si="17"/>
        <v>0</v>
      </c>
      <c r="R54" s="370">
        <f t="shared" si="17"/>
        <v>15654821.300000001</v>
      </c>
      <c r="S54" s="150">
        <f t="shared" si="17"/>
        <v>7878223.5</v>
      </c>
      <c r="T54" s="150">
        <f t="shared" si="17"/>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8">SUM(C56+D56)</f>
        <v>167708</v>
      </c>
      <c r="C56" s="147">
        <v>167708</v>
      </c>
      <c r="D56" s="147"/>
      <c r="E56" s="147">
        <f>C56-SUM(F56:Q56)</f>
        <v>167708</v>
      </c>
      <c r="F56" s="147"/>
      <c r="G56" s="147"/>
      <c r="H56" s="147"/>
      <c r="I56" s="147"/>
      <c r="J56" s="147"/>
      <c r="K56" s="147"/>
      <c r="L56" s="147"/>
      <c r="M56" s="147"/>
      <c r="N56" s="147"/>
      <c r="O56" s="147"/>
      <c r="P56" s="147"/>
      <c r="Q56" s="147"/>
      <c r="R56" s="550">
        <f t="shared" ref="R56:R61" si="19">SUM(E56:Q56)</f>
        <v>167708</v>
      </c>
      <c r="S56" s="148"/>
      <c r="T56" s="148"/>
      <c r="U56" s="143"/>
    </row>
    <row r="57" spans="1:21" s="204" customFormat="1">
      <c r="A57" s="198" t="s">
        <v>152</v>
      </c>
      <c r="B57" s="205">
        <f t="shared" si="18"/>
        <v>0</v>
      </c>
      <c r="C57" s="202"/>
      <c r="D57" s="202"/>
      <c r="E57" s="202"/>
      <c r="F57" s="202"/>
      <c r="G57" s="202"/>
      <c r="H57" s="202"/>
      <c r="I57" s="202"/>
      <c r="J57" s="202"/>
      <c r="K57" s="202"/>
      <c r="L57" s="202"/>
      <c r="M57" s="202"/>
      <c r="N57" s="202"/>
      <c r="O57" s="202"/>
      <c r="P57" s="202"/>
      <c r="Q57" s="202"/>
      <c r="R57" s="550">
        <f t="shared" si="19"/>
        <v>0</v>
      </c>
      <c r="S57" s="206"/>
      <c r="T57" s="206"/>
      <c r="U57" s="203"/>
    </row>
    <row r="58" spans="1:21" s="144" customFormat="1">
      <c r="A58" s="145" t="s">
        <v>156</v>
      </c>
      <c r="B58" s="146">
        <f t="shared" si="18"/>
        <v>55000</v>
      </c>
      <c r="C58" s="147">
        <v>55000</v>
      </c>
      <c r="D58" s="147"/>
      <c r="E58" s="147">
        <f>C58-SUM(F58:Q58)</f>
        <v>55000</v>
      </c>
      <c r="F58" s="147"/>
      <c r="G58" s="147"/>
      <c r="H58" s="147"/>
      <c r="I58" s="147"/>
      <c r="J58" s="147"/>
      <c r="K58" s="147"/>
      <c r="L58" s="147"/>
      <c r="M58" s="147"/>
      <c r="N58" s="147"/>
      <c r="O58" s="147"/>
      <c r="P58" s="147"/>
      <c r="Q58" s="147"/>
      <c r="R58" s="550">
        <f t="shared" si="19"/>
        <v>55000</v>
      </c>
      <c r="S58" s="148"/>
      <c r="T58" s="148"/>
      <c r="U58" s="143"/>
    </row>
    <row r="59" spans="1:21" s="144" customFormat="1">
      <c r="A59" s="304" t="s">
        <v>154</v>
      </c>
      <c r="B59" s="146">
        <f t="shared" si="18"/>
        <v>0</v>
      </c>
      <c r="C59" s="147"/>
      <c r="D59" s="147"/>
      <c r="E59" s="147"/>
      <c r="F59" s="147"/>
      <c r="G59" s="147"/>
      <c r="H59" s="147"/>
      <c r="I59" s="147"/>
      <c r="J59" s="147"/>
      <c r="K59" s="147"/>
      <c r="L59" s="147"/>
      <c r="M59" s="147"/>
      <c r="N59" s="147"/>
      <c r="O59" s="147"/>
      <c r="P59" s="147"/>
      <c r="Q59" s="147"/>
      <c r="R59" s="550">
        <f t="shared" si="19"/>
        <v>0</v>
      </c>
      <c r="S59" s="148"/>
      <c r="T59" s="148"/>
      <c r="U59" s="143"/>
    </row>
    <row r="60" spans="1:21" s="144" customFormat="1">
      <c r="A60" s="145" t="s">
        <v>155</v>
      </c>
      <c r="B60" s="146">
        <f t="shared" si="18"/>
        <v>0</v>
      </c>
      <c r="C60" s="147"/>
      <c r="D60" s="147"/>
      <c r="E60" s="147"/>
      <c r="F60" s="147"/>
      <c r="G60" s="147"/>
      <c r="H60" s="147"/>
      <c r="I60" s="147"/>
      <c r="J60" s="147"/>
      <c r="K60" s="147"/>
      <c r="L60" s="147"/>
      <c r="M60" s="147"/>
      <c r="N60" s="147"/>
      <c r="O60" s="147"/>
      <c r="P60" s="147"/>
      <c r="Q60" s="147"/>
      <c r="R60" s="550">
        <f t="shared" si="19"/>
        <v>0</v>
      </c>
      <c r="S60" s="148"/>
      <c r="T60" s="148"/>
      <c r="U60" s="143"/>
    </row>
    <row r="61" spans="1:21" s="144" customFormat="1">
      <c r="A61" s="1193" t="s">
        <v>2767</v>
      </c>
      <c r="B61" s="146">
        <f t="shared" si="18"/>
        <v>70000</v>
      </c>
      <c r="C61" s="147">
        <f>20000+50000</f>
        <v>70000</v>
      </c>
      <c r="D61" s="147"/>
      <c r="E61" s="147">
        <f>C61-SUM(F61:Q61)</f>
        <v>70000</v>
      </c>
      <c r="F61" s="147"/>
      <c r="G61" s="147"/>
      <c r="H61" s="147"/>
      <c r="I61" s="147"/>
      <c r="J61" s="147"/>
      <c r="K61" s="147"/>
      <c r="L61" s="147"/>
      <c r="M61" s="147"/>
      <c r="N61" s="147"/>
      <c r="O61" s="147"/>
      <c r="P61" s="147"/>
      <c r="Q61" s="147"/>
      <c r="R61" s="550">
        <f t="shared" si="19"/>
        <v>70000</v>
      </c>
      <c r="S61" s="148"/>
      <c r="T61" s="148"/>
      <c r="U61" s="143"/>
    </row>
    <row r="62" spans="1:21" s="144" customFormat="1" ht="13.7" customHeight="1">
      <c r="A62" s="149" t="s">
        <v>301</v>
      </c>
      <c r="B62" s="146">
        <f>SUM(C62:D62)</f>
        <v>292708</v>
      </c>
      <c r="C62" s="146">
        <f t="shared" ref="C62:R62" si="20">SUM(C56:C61)</f>
        <v>292708</v>
      </c>
      <c r="D62" s="146">
        <f t="shared" si="20"/>
        <v>0</v>
      </c>
      <c r="E62" s="146">
        <f t="shared" si="20"/>
        <v>292708</v>
      </c>
      <c r="F62" s="146">
        <f t="shared" si="20"/>
        <v>0</v>
      </c>
      <c r="G62" s="146">
        <f t="shared" si="20"/>
        <v>0</v>
      </c>
      <c r="H62" s="146">
        <f t="shared" si="20"/>
        <v>0</v>
      </c>
      <c r="I62" s="146">
        <f t="shared" si="20"/>
        <v>0</v>
      </c>
      <c r="J62" s="146">
        <f t="shared" si="20"/>
        <v>0</v>
      </c>
      <c r="K62" s="146">
        <f t="shared" si="20"/>
        <v>0</v>
      </c>
      <c r="L62" s="146">
        <f t="shared" si="20"/>
        <v>0</v>
      </c>
      <c r="M62" s="146">
        <f t="shared" si="20"/>
        <v>0</v>
      </c>
      <c r="N62" s="146">
        <f t="shared" si="20"/>
        <v>0</v>
      </c>
      <c r="O62" s="146">
        <f t="shared" si="20"/>
        <v>0</v>
      </c>
      <c r="P62" s="146">
        <f t="shared" si="20"/>
        <v>0</v>
      </c>
      <c r="Q62" s="146">
        <f t="shared" si="20"/>
        <v>0</v>
      </c>
      <c r="R62" s="370">
        <f t="shared" si="20"/>
        <v>292708</v>
      </c>
      <c r="S62" s="148"/>
      <c r="T62" s="148"/>
      <c r="U62" s="143"/>
    </row>
    <row r="63" spans="1:21" s="144" customFormat="1">
      <c r="A63" s="154" t="s">
        <v>302</v>
      </c>
      <c r="B63" s="146">
        <f t="shared" ref="B63:R63" si="21">SUM(B8+B11+B13+B14+B15+B26+B27+B38+B42+B43+B54+B62)</f>
        <v>87406158.299999997</v>
      </c>
      <c r="C63" s="146">
        <f t="shared" si="21"/>
        <v>87406158.299999997</v>
      </c>
      <c r="D63" s="146">
        <f t="shared" si="21"/>
        <v>0</v>
      </c>
      <c r="E63" s="146">
        <f t="shared" si="21"/>
        <v>36750158.299999997</v>
      </c>
      <c r="F63" s="146">
        <f t="shared" si="21"/>
        <v>22361000</v>
      </c>
      <c r="G63" s="146">
        <f t="shared" si="21"/>
        <v>22500000</v>
      </c>
      <c r="H63" s="146">
        <f t="shared" si="21"/>
        <v>1750000</v>
      </c>
      <c r="I63" s="146">
        <f t="shared" si="21"/>
        <v>3805000</v>
      </c>
      <c r="J63" s="146">
        <f t="shared" si="21"/>
        <v>240000</v>
      </c>
      <c r="K63" s="146">
        <f t="shared" si="21"/>
        <v>0</v>
      </c>
      <c r="L63" s="146">
        <f t="shared" si="21"/>
        <v>0</v>
      </c>
      <c r="M63" s="146">
        <f t="shared" si="21"/>
        <v>0</v>
      </c>
      <c r="N63" s="146">
        <f t="shared" si="21"/>
        <v>0</v>
      </c>
      <c r="O63" s="146">
        <f t="shared" si="21"/>
        <v>0</v>
      </c>
      <c r="P63" s="146">
        <f t="shared" si="21"/>
        <v>0</v>
      </c>
      <c r="Q63" s="146">
        <f t="shared" si="21"/>
        <v>0</v>
      </c>
      <c r="R63" s="370">
        <f t="shared" si="21"/>
        <v>87406158.299999997</v>
      </c>
      <c r="S63" s="146">
        <f>SUM(S10+S13+S14+S15+S26+S27+S38+S42+S43+S54)</f>
        <v>76558797.5</v>
      </c>
      <c r="T63" s="146">
        <f>SUM(T11+T13+T14+T15+T26+T27+T38+T42+T43+T54)</f>
        <v>0</v>
      </c>
      <c r="U63" s="143"/>
    </row>
    <row r="64" spans="1:21" s="144" customFormat="1" ht="24">
      <c r="A64" s="141" t="s">
        <v>1755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190000</v>
      </c>
      <c r="C65" s="147">
        <f>90000+50000+50000</f>
        <v>190000</v>
      </c>
      <c r="D65" s="147"/>
      <c r="E65" s="147">
        <f>C65-SUM(F65:Q65)</f>
        <v>190000</v>
      </c>
      <c r="F65" s="147"/>
      <c r="G65" s="147"/>
      <c r="H65" s="147"/>
      <c r="I65" s="147"/>
      <c r="J65" s="147"/>
      <c r="K65" s="147"/>
      <c r="L65" s="147"/>
      <c r="M65" s="147"/>
      <c r="N65" s="147"/>
      <c r="O65" s="147"/>
      <c r="P65" s="147"/>
      <c r="Q65" s="147"/>
      <c r="R65" s="550">
        <f>SUM(E65:Q65)</f>
        <v>190000</v>
      </c>
      <c r="S65" s="147">
        <v>90000</v>
      </c>
      <c r="T65" s="147"/>
      <c r="U65" s="143"/>
    </row>
    <row r="66" spans="1:21" s="144" customFormat="1" ht="24" customHeight="1">
      <c r="A66" s="304" t="s">
        <v>1752</v>
      </c>
      <c r="B66" s="146">
        <f>SUM(C66+D66)</f>
        <v>0</v>
      </c>
      <c r="C66" s="147"/>
      <c r="D66" s="147"/>
      <c r="E66" s="147"/>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1753</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1759</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34</v>
      </c>
      <c r="B69" s="146">
        <f>SUM(C69+D69)</f>
        <v>0</v>
      </c>
      <c r="C69" s="147"/>
      <c r="D69" s="147"/>
      <c r="E69" s="147"/>
      <c r="F69" s="147"/>
      <c r="G69" s="147"/>
      <c r="H69" s="147"/>
      <c r="I69" s="147"/>
      <c r="J69" s="147"/>
      <c r="K69" s="147"/>
      <c r="L69" s="147"/>
      <c r="M69" s="147"/>
      <c r="N69" s="147"/>
      <c r="O69" s="147"/>
      <c r="P69" s="147"/>
      <c r="Q69" s="147"/>
      <c r="R69" s="550">
        <f>SUM(E69:Q69)</f>
        <v>0</v>
      </c>
      <c r="S69" s="147"/>
      <c r="T69" s="147"/>
      <c r="U69" s="143"/>
    </row>
    <row r="70" spans="1:21" s="144" customFormat="1">
      <c r="A70" s="149" t="s">
        <v>1756</v>
      </c>
      <c r="B70" s="146">
        <f>SUM(C70:D70)</f>
        <v>190000</v>
      </c>
      <c r="C70" s="146">
        <f>SUM(C65:C69)</f>
        <v>190000</v>
      </c>
      <c r="D70" s="146">
        <f>SUM(D65:D69)</f>
        <v>0</v>
      </c>
      <c r="E70" s="146">
        <f t="shared" ref="E70:T70" si="22">SUM(E65:E69)</f>
        <v>190000</v>
      </c>
      <c r="F70" s="146">
        <f t="shared" si="22"/>
        <v>0</v>
      </c>
      <c r="G70" s="146">
        <f t="shared" si="22"/>
        <v>0</v>
      </c>
      <c r="H70" s="146">
        <f t="shared" si="22"/>
        <v>0</v>
      </c>
      <c r="I70" s="146">
        <f t="shared" si="22"/>
        <v>0</v>
      </c>
      <c r="J70" s="146">
        <f t="shared" si="22"/>
        <v>0</v>
      </c>
      <c r="K70" s="146">
        <f t="shared" si="22"/>
        <v>0</v>
      </c>
      <c r="L70" s="146">
        <f t="shared" si="22"/>
        <v>0</v>
      </c>
      <c r="M70" s="146">
        <f t="shared" si="22"/>
        <v>0</v>
      </c>
      <c r="N70" s="146">
        <f t="shared" si="22"/>
        <v>0</v>
      </c>
      <c r="O70" s="146">
        <f t="shared" si="22"/>
        <v>0</v>
      </c>
      <c r="P70" s="146">
        <f t="shared" si="22"/>
        <v>0</v>
      </c>
      <c r="Q70" s="146">
        <f t="shared" si="22"/>
        <v>0</v>
      </c>
      <c r="R70" s="370">
        <f t="shared" si="22"/>
        <v>190000</v>
      </c>
      <c r="S70" s="150">
        <f t="shared" si="22"/>
        <v>90000</v>
      </c>
      <c r="T70" s="150">
        <f t="shared" si="22"/>
        <v>0</v>
      </c>
      <c r="U70" s="143"/>
    </row>
    <row r="71" spans="1:21" s="144" customFormat="1">
      <c r="A71" s="141" t="s">
        <v>609</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610</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611</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1005</v>
      </c>
      <c r="B74" s="146">
        <f>SUM(C74+D74)</f>
        <v>198162</v>
      </c>
      <c r="C74" s="147">
        <v>198162</v>
      </c>
      <c r="D74" s="147"/>
      <c r="E74" s="147">
        <f>C74-SUM(F74:Q74)</f>
        <v>198162</v>
      </c>
      <c r="F74" s="147"/>
      <c r="G74" s="147"/>
      <c r="H74" s="147"/>
      <c r="I74" s="147"/>
      <c r="J74" s="147"/>
      <c r="K74" s="147"/>
      <c r="L74" s="147"/>
      <c r="M74" s="147"/>
      <c r="N74" s="147"/>
      <c r="O74" s="147"/>
      <c r="P74" s="147"/>
      <c r="Q74" s="147"/>
      <c r="R74" s="550">
        <f>SUM(E74:Q74)</f>
        <v>198162</v>
      </c>
      <c r="S74" s="148"/>
      <c r="T74" s="148"/>
      <c r="U74" s="143"/>
    </row>
    <row r="75" spans="1:21" s="144" customFormat="1">
      <c r="A75" s="145" t="s">
        <v>612</v>
      </c>
      <c r="B75" s="146">
        <f>SUM(C75+D75)</f>
        <v>719641</v>
      </c>
      <c r="C75" s="147">
        <v>719641</v>
      </c>
      <c r="D75" s="147"/>
      <c r="E75" s="147">
        <f>C75-SUM(F75:Q75)</f>
        <v>719641</v>
      </c>
      <c r="F75" s="147"/>
      <c r="G75" s="147"/>
      <c r="H75" s="147"/>
      <c r="I75" s="147"/>
      <c r="J75" s="147"/>
      <c r="K75" s="147"/>
      <c r="L75" s="147"/>
      <c r="M75" s="147"/>
      <c r="N75" s="147"/>
      <c r="O75" s="147"/>
      <c r="P75" s="147"/>
      <c r="Q75" s="147"/>
      <c r="R75" s="550">
        <f>SUM(E75:Q75)</f>
        <v>719641</v>
      </c>
      <c r="S75" s="148"/>
      <c r="T75" s="148"/>
      <c r="U75" s="143"/>
    </row>
    <row r="76" spans="1:21" s="144" customFormat="1">
      <c r="A76" s="1193" t="s">
        <v>34</v>
      </c>
      <c r="B76" s="146">
        <f>SUM(C76+D76)</f>
        <v>0</v>
      </c>
      <c r="C76" s="147"/>
      <c r="D76" s="147"/>
      <c r="E76" s="147"/>
      <c r="F76" s="147"/>
      <c r="G76" s="147"/>
      <c r="H76" s="147"/>
      <c r="I76" s="147"/>
      <c r="J76" s="147"/>
      <c r="K76" s="147"/>
      <c r="L76" s="147"/>
      <c r="M76" s="147"/>
      <c r="N76" s="147"/>
      <c r="O76" s="147"/>
      <c r="P76" s="147"/>
      <c r="Q76" s="147"/>
      <c r="R76" s="550">
        <f>SUM(E76:Q76)</f>
        <v>0</v>
      </c>
      <c r="S76" s="148"/>
      <c r="T76" s="148"/>
      <c r="U76" s="143"/>
    </row>
    <row r="77" spans="1:21" s="144" customFormat="1">
      <c r="A77" s="149" t="s">
        <v>613</v>
      </c>
      <c r="B77" s="146">
        <f>SUM(C77:D77)</f>
        <v>917803</v>
      </c>
      <c r="C77" s="146">
        <f>SUM(C72:C76)</f>
        <v>917803</v>
      </c>
      <c r="D77" s="146">
        <f>SUM(D72:D76)</f>
        <v>0</v>
      </c>
      <c r="E77" s="146">
        <f t="shared" ref="E77:Q77" si="23">SUM(E72:E76)</f>
        <v>917803</v>
      </c>
      <c r="F77" s="146">
        <f t="shared" si="23"/>
        <v>0</v>
      </c>
      <c r="G77" s="146">
        <f t="shared" si="23"/>
        <v>0</v>
      </c>
      <c r="H77" s="146">
        <f t="shared" si="23"/>
        <v>0</v>
      </c>
      <c r="I77" s="146">
        <f t="shared" si="23"/>
        <v>0</v>
      </c>
      <c r="J77" s="146">
        <f t="shared" si="23"/>
        <v>0</v>
      </c>
      <c r="K77" s="146">
        <f t="shared" si="23"/>
        <v>0</v>
      </c>
      <c r="L77" s="146">
        <f t="shared" si="23"/>
        <v>0</v>
      </c>
      <c r="M77" s="146">
        <f t="shared" si="23"/>
        <v>0</v>
      </c>
      <c r="N77" s="146">
        <f t="shared" si="23"/>
        <v>0</v>
      </c>
      <c r="O77" s="146">
        <f t="shared" si="23"/>
        <v>0</v>
      </c>
      <c r="P77" s="146">
        <f t="shared" si="23"/>
        <v>0</v>
      </c>
      <c r="Q77" s="146">
        <f t="shared" si="23"/>
        <v>0</v>
      </c>
      <c r="R77" s="370">
        <f>SUM(R72:R76)</f>
        <v>917803</v>
      </c>
      <c r="S77" s="148"/>
      <c r="T77" s="148"/>
      <c r="U77" s="143"/>
    </row>
    <row r="78" spans="1:21" s="144" customFormat="1">
      <c r="A78" s="141" t="s">
        <v>1314</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1316</v>
      </c>
      <c r="B79" s="146">
        <f>SUM(C79:D79)</f>
        <v>3388896.7</v>
      </c>
      <c r="C79" s="147">
        <v>3388896.7</v>
      </c>
      <c r="D79" s="147"/>
      <c r="E79" s="147">
        <f>C79-SUM(F79:Q79)</f>
        <v>3388896.7</v>
      </c>
      <c r="F79" s="147"/>
      <c r="G79" s="147"/>
      <c r="H79" s="147"/>
      <c r="I79" s="147"/>
      <c r="J79" s="147"/>
      <c r="K79" s="147"/>
      <c r="L79" s="147"/>
      <c r="M79" s="147"/>
      <c r="N79" s="147"/>
      <c r="O79" s="147"/>
      <c r="P79" s="147"/>
      <c r="Q79" s="147"/>
      <c r="R79" s="550">
        <f>SUM(E79:Q79)</f>
        <v>3388896.7</v>
      </c>
      <c r="S79" s="147">
        <f>C79</f>
        <v>3388896.7</v>
      </c>
      <c r="T79" s="147"/>
      <c r="U79" s="143"/>
    </row>
    <row r="80" spans="1:21" s="144" customFormat="1">
      <c r="A80" s="304" t="s">
        <v>58</v>
      </c>
      <c r="B80" s="146">
        <f>SUM(C80:D80)</f>
        <v>509409</v>
      </c>
      <c r="C80" s="147">
        <v>509409</v>
      </c>
      <c r="D80" s="147"/>
      <c r="E80" s="147">
        <f>C80-SUM(F80:Q80)</f>
        <v>509409</v>
      </c>
      <c r="F80" s="147"/>
      <c r="G80" s="147"/>
      <c r="H80" s="147"/>
      <c r="I80" s="147"/>
      <c r="J80" s="147"/>
      <c r="K80" s="147"/>
      <c r="L80" s="147"/>
      <c r="M80" s="147"/>
      <c r="N80" s="147"/>
      <c r="O80" s="147"/>
      <c r="P80" s="147"/>
      <c r="Q80" s="147"/>
      <c r="R80" s="550">
        <f>SUM(E80:Q80)</f>
        <v>509409</v>
      </c>
      <c r="S80" s="147">
        <f>C80</f>
        <v>509409</v>
      </c>
      <c r="T80" s="147"/>
      <c r="U80" s="143"/>
    </row>
    <row r="81" spans="1:21" s="144" customFormat="1">
      <c r="A81" s="149" t="s">
        <v>1313</v>
      </c>
      <c r="B81" s="146">
        <f>SUM(C81:D81)</f>
        <v>3898305.7</v>
      </c>
      <c r="C81" s="543">
        <f>SUM(C79:C80)</f>
        <v>3898305.7</v>
      </c>
      <c r="D81" s="543">
        <f t="shared" ref="D81:T81" si="24">SUM(D79:D80)</f>
        <v>0</v>
      </c>
      <c r="E81" s="543">
        <f t="shared" si="24"/>
        <v>3898305.7</v>
      </c>
      <c r="F81" s="543">
        <f t="shared" si="24"/>
        <v>0</v>
      </c>
      <c r="G81" s="543">
        <f t="shared" si="24"/>
        <v>0</v>
      </c>
      <c r="H81" s="543">
        <f t="shared" si="24"/>
        <v>0</v>
      </c>
      <c r="I81" s="543">
        <f t="shared" si="24"/>
        <v>0</v>
      </c>
      <c r="J81" s="543">
        <f t="shared" si="24"/>
        <v>0</v>
      </c>
      <c r="K81" s="543">
        <f t="shared" si="24"/>
        <v>0</v>
      </c>
      <c r="L81" s="543">
        <f t="shared" si="24"/>
        <v>0</v>
      </c>
      <c r="M81" s="543">
        <f t="shared" si="24"/>
        <v>0</v>
      </c>
      <c r="N81" s="543">
        <f t="shared" si="24"/>
        <v>0</v>
      </c>
      <c r="O81" s="543">
        <f t="shared" si="24"/>
        <v>0</v>
      </c>
      <c r="P81" s="543">
        <f t="shared" si="24"/>
        <v>0</v>
      </c>
      <c r="Q81" s="543">
        <f t="shared" si="24"/>
        <v>0</v>
      </c>
      <c r="R81" s="543">
        <f t="shared" si="24"/>
        <v>3898305.7</v>
      </c>
      <c r="S81" s="543">
        <f t="shared" si="24"/>
        <v>3898305.7</v>
      </c>
      <c r="T81" s="543">
        <f t="shared" si="24"/>
        <v>0</v>
      </c>
      <c r="U81" s="143"/>
    </row>
    <row r="82" spans="1:21" s="144" customFormat="1">
      <c r="A82" s="141" t="s">
        <v>773</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2409</v>
      </c>
      <c r="B83" s="146">
        <f t="shared" ref="B83:B95" si="25">SUM(C83+D83)</f>
        <v>139108</v>
      </c>
      <c r="C83" s="147">
        <v>139108</v>
      </c>
      <c r="D83" s="147"/>
      <c r="E83" s="147">
        <f>C83-SUM(F83:Q83)</f>
        <v>139108</v>
      </c>
      <c r="F83" s="147"/>
      <c r="G83" s="147"/>
      <c r="H83" s="147"/>
      <c r="I83" s="147"/>
      <c r="J83" s="147"/>
      <c r="K83" s="147"/>
      <c r="L83" s="147"/>
      <c r="M83" s="147"/>
      <c r="N83" s="147"/>
      <c r="O83" s="147"/>
      <c r="P83" s="147"/>
      <c r="Q83" s="147"/>
      <c r="R83" s="550">
        <f t="shared" ref="R83:R95" si="26">SUM(E83:Q83)</f>
        <v>139108</v>
      </c>
      <c r="S83" s="148"/>
      <c r="T83" s="148"/>
      <c r="U83" s="143"/>
    </row>
    <row r="84" spans="1:21" s="144" customFormat="1">
      <c r="A84" s="145" t="s">
        <v>775</v>
      </c>
      <c r="B84" s="146">
        <f t="shared" si="25"/>
        <v>0</v>
      </c>
      <c r="C84" s="147"/>
      <c r="D84" s="147"/>
      <c r="E84" s="147"/>
      <c r="F84" s="147"/>
      <c r="G84" s="147"/>
      <c r="H84" s="147"/>
      <c r="I84" s="147"/>
      <c r="J84" s="147"/>
      <c r="K84" s="147"/>
      <c r="L84" s="147"/>
      <c r="M84" s="147"/>
      <c r="N84" s="147"/>
      <c r="O84" s="147"/>
      <c r="P84" s="147"/>
      <c r="Q84" s="147"/>
      <c r="R84" s="550">
        <f t="shared" si="26"/>
        <v>0</v>
      </c>
      <c r="S84" s="147"/>
      <c r="T84" s="147"/>
      <c r="U84" s="143"/>
    </row>
    <row r="85" spans="1:21" s="144" customFormat="1">
      <c r="A85" s="145" t="s">
        <v>776</v>
      </c>
      <c r="B85" s="146">
        <f t="shared" si="25"/>
        <v>2380393</v>
      </c>
      <c r="C85" s="147">
        <v>2380393</v>
      </c>
      <c r="D85" s="147"/>
      <c r="E85" s="147">
        <f>C85-SUM(F85:Q85)</f>
        <v>2380393</v>
      </c>
      <c r="F85" s="147"/>
      <c r="G85" s="147"/>
      <c r="H85" s="147"/>
      <c r="I85" s="147"/>
      <c r="J85" s="147"/>
      <c r="K85" s="147"/>
      <c r="L85" s="147"/>
      <c r="M85" s="147"/>
      <c r="N85" s="147"/>
      <c r="O85" s="147"/>
      <c r="P85" s="147"/>
      <c r="Q85" s="147"/>
      <c r="R85" s="550">
        <f t="shared" si="26"/>
        <v>2380393</v>
      </c>
      <c r="S85" s="147">
        <f>C85</f>
        <v>2380393</v>
      </c>
      <c r="T85" s="147"/>
      <c r="U85" s="143"/>
    </row>
    <row r="86" spans="1:21" s="144" customFormat="1">
      <c r="A86" s="145" t="s">
        <v>777</v>
      </c>
      <c r="B86" s="146">
        <f t="shared" si="25"/>
        <v>1240000</v>
      </c>
      <c r="C86" s="147">
        <v>1240000</v>
      </c>
      <c r="D86" s="147"/>
      <c r="E86" s="147">
        <f>C86-SUM(F86:Q86)</f>
        <v>1240000</v>
      </c>
      <c r="F86" s="147"/>
      <c r="G86" s="147"/>
      <c r="H86" s="147"/>
      <c r="I86" s="147"/>
      <c r="J86" s="147"/>
      <c r="K86" s="147"/>
      <c r="L86" s="147"/>
      <c r="M86" s="147"/>
      <c r="N86" s="147"/>
      <c r="O86" s="147"/>
      <c r="P86" s="147"/>
      <c r="Q86" s="147"/>
      <c r="R86" s="550">
        <f t="shared" si="26"/>
        <v>1240000</v>
      </c>
      <c r="S86" s="147">
        <f>C86</f>
        <v>1240000</v>
      </c>
      <c r="T86" s="147"/>
      <c r="U86" s="143"/>
    </row>
    <row r="87" spans="1:21" s="144" customFormat="1">
      <c r="A87" s="145" t="s">
        <v>778</v>
      </c>
      <c r="B87" s="146">
        <f t="shared" si="25"/>
        <v>0</v>
      </c>
      <c r="C87" s="147"/>
      <c r="D87" s="147"/>
      <c r="E87" s="147"/>
      <c r="F87" s="147"/>
      <c r="G87" s="147"/>
      <c r="H87" s="147"/>
      <c r="I87" s="147"/>
      <c r="J87" s="147"/>
      <c r="K87" s="147"/>
      <c r="L87" s="147"/>
      <c r="M87" s="147"/>
      <c r="N87" s="147"/>
      <c r="O87" s="147"/>
      <c r="P87" s="147"/>
      <c r="Q87" s="147"/>
      <c r="R87" s="550">
        <f t="shared" si="26"/>
        <v>0</v>
      </c>
      <c r="S87" s="147"/>
      <c r="T87" s="147"/>
      <c r="U87" s="143"/>
    </row>
    <row r="88" spans="1:21" s="144" customFormat="1">
      <c r="A88" s="145" t="s">
        <v>779</v>
      </c>
      <c r="B88" s="146">
        <f t="shared" si="25"/>
        <v>387000</v>
      </c>
      <c r="C88" s="147">
        <v>387000</v>
      </c>
      <c r="D88" s="147"/>
      <c r="E88" s="147">
        <f>C88-SUM(F88:Q88)</f>
        <v>387000</v>
      </c>
      <c r="F88" s="147"/>
      <c r="G88" s="147"/>
      <c r="H88" s="147"/>
      <c r="I88" s="147"/>
      <c r="J88" s="147"/>
      <c r="K88" s="147"/>
      <c r="L88" s="147"/>
      <c r="M88" s="147"/>
      <c r="N88" s="147"/>
      <c r="O88" s="147"/>
      <c r="P88" s="147"/>
      <c r="Q88" s="147"/>
      <c r="R88" s="550">
        <f t="shared" si="26"/>
        <v>387000</v>
      </c>
      <c r="S88" s="148"/>
      <c r="T88" s="148"/>
      <c r="U88" s="143"/>
    </row>
    <row r="89" spans="1:21" s="144" customFormat="1">
      <c r="A89" s="145" t="s">
        <v>780</v>
      </c>
      <c r="B89" s="146">
        <f t="shared" si="25"/>
        <v>400000</v>
      </c>
      <c r="C89" s="147">
        <v>400000</v>
      </c>
      <c r="D89" s="147"/>
      <c r="E89" s="147">
        <f>C89-SUM(F89:Q89)</f>
        <v>400000</v>
      </c>
      <c r="F89" s="147"/>
      <c r="G89" s="147"/>
      <c r="H89" s="147"/>
      <c r="I89" s="147"/>
      <c r="J89" s="147"/>
      <c r="K89" s="147"/>
      <c r="L89" s="147"/>
      <c r="M89" s="147"/>
      <c r="N89" s="147"/>
      <c r="O89" s="147"/>
      <c r="P89" s="147"/>
      <c r="Q89" s="147"/>
      <c r="R89" s="550">
        <f t="shared" si="26"/>
        <v>400000</v>
      </c>
      <c r="S89" s="147">
        <f>C89</f>
        <v>400000</v>
      </c>
      <c r="T89" s="147"/>
      <c r="U89" s="143"/>
    </row>
    <row r="90" spans="1:21" s="144" customFormat="1">
      <c r="A90" s="145" t="s">
        <v>781</v>
      </c>
      <c r="B90" s="146">
        <f t="shared" si="25"/>
        <v>13000</v>
      </c>
      <c r="C90" s="147">
        <v>13000</v>
      </c>
      <c r="D90" s="147"/>
      <c r="E90" s="147">
        <f>C90-SUM(F90:Q90)</f>
        <v>13000</v>
      </c>
      <c r="F90" s="147"/>
      <c r="G90" s="147"/>
      <c r="H90" s="147"/>
      <c r="I90" s="147"/>
      <c r="J90" s="147"/>
      <c r="K90" s="147"/>
      <c r="L90" s="147"/>
      <c r="M90" s="147"/>
      <c r="N90" s="147"/>
      <c r="O90" s="147"/>
      <c r="P90" s="147"/>
      <c r="Q90" s="147"/>
      <c r="R90" s="550">
        <f t="shared" si="26"/>
        <v>13000</v>
      </c>
      <c r="S90" s="147"/>
      <c r="T90" s="147"/>
      <c r="U90" s="143"/>
    </row>
    <row r="91" spans="1:21" s="144" customFormat="1">
      <c r="A91" s="145" t="s">
        <v>372</v>
      </c>
      <c r="B91" s="146">
        <f t="shared" si="25"/>
        <v>0</v>
      </c>
      <c r="C91" s="147"/>
      <c r="D91" s="147"/>
      <c r="E91" s="147"/>
      <c r="F91" s="147"/>
      <c r="G91" s="147"/>
      <c r="H91" s="147"/>
      <c r="I91" s="147"/>
      <c r="J91" s="147"/>
      <c r="K91" s="147"/>
      <c r="L91" s="147"/>
      <c r="M91" s="147"/>
      <c r="N91" s="147"/>
      <c r="O91" s="147"/>
      <c r="P91" s="147"/>
      <c r="Q91" s="147"/>
      <c r="R91" s="550">
        <f t="shared" si="26"/>
        <v>0</v>
      </c>
      <c r="S91" s="147"/>
      <c r="T91" s="147"/>
      <c r="U91" s="143"/>
    </row>
    <row r="92" spans="1:21" s="144" customFormat="1">
      <c r="A92" s="304" t="s">
        <v>1315</v>
      </c>
      <c r="B92" s="146">
        <f t="shared" si="25"/>
        <v>35000</v>
      </c>
      <c r="C92" s="147">
        <v>35000</v>
      </c>
      <c r="D92" s="147"/>
      <c r="E92" s="147">
        <f>C92-SUM(F92:Q92)</f>
        <v>35000</v>
      </c>
      <c r="F92" s="147"/>
      <c r="G92" s="147"/>
      <c r="H92" s="147"/>
      <c r="I92" s="147"/>
      <c r="J92" s="147"/>
      <c r="K92" s="147"/>
      <c r="L92" s="147"/>
      <c r="M92" s="147"/>
      <c r="N92" s="147"/>
      <c r="O92" s="147"/>
      <c r="P92" s="147"/>
      <c r="Q92" s="147"/>
      <c r="R92" s="550">
        <f t="shared" si="26"/>
        <v>35000</v>
      </c>
      <c r="S92" s="147">
        <f>C92</f>
        <v>35000</v>
      </c>
      <c r="T92" s="147"/>
      <c r="U92" s="143"/>
    </row>
    <row r="93" spans="1:21" s="144" customFormat="1">
      <c r="A93" s="1193" t="s">
        <v>2768</v>
      </c>
      <c r="B93" s="146">
        <f t="shared" si="25"/>
        <v>275000</v>
      </c>
      <c r="C93" s="147">
        <v>275000</v>
      </c>
      <c r="D93" s="147"/>
      <c r="E93" s="147">
        <f>C93-SUM(F93:Q93)</f>
        <v>275000</v>
      </c>
      <c r="F93" s="147"/>
      <c r="G93" s="147"/>
      <c r="H93" s="147"/>
      <c r="I93" s="147"/>
      <c r="J93" s="147"/>
      <c r="K93" s="147"/>
      <c r="L93" s="147"/>
      <c r="M93" s="147"/>
      <c r="N93" s="147"/>
      <c r="O93" s="147"/>
      <c r="P93" s="147"/>
      <c r="Q93" s="147"/>
      <c r="R93" s="550">
        <f t="shared" si="26"/>
        <v>275000</v>
      </c>
      <c r="S93" s="147">
        <f>C93</f>
        <v>275000</v>
      </c>
      <c r="T93" s="147"/>
      <c r="U93" s="143"/>
    </row>
    <row r="94" spans="1:21" s="144" customFormat="1">
      <c r="A94" s="1193" t="s">
        <v>2770</v>
      </c>
      <c r="B94" s="146">
        <f t="shared" si="25"/>
        <v>85000</v>
      </c>
      <c r="C94" s="147">
        <v>85000</v>
      </c>
      <c r="D94" s="147"/>
      <c r="E94" s="147">
        <f>C94-SUM(F94:Q94)</f>
        <v>85000</v>
      </c>
      <c r="F94" s="147"/>
      <c r="G94" s="147"/>
      <c r="H94" s="147"/>
      <c r="I94" s="147"/>
      <c r="J94" s="147"/>
      <c r="K94" s="147"/>
      <c r="L94" s="147"/>
      <c r="M94" s="147"/>
      <c r="N94" s="147"/>
      <c r="O94" s="147"/>
      <c r="P94" s="147"/>
      <c r="Q94" s="147"/>
      <c r="R94" s="550">
        <f t="shared" si="26"/>
        <v>85000</v>
      </c>
      <c r="S94" s="147">
        <f>C94</f>
        <v>85000</v>
      </c>
      <c r="T94" s="147"/>
      <c r="U94" s="143"/>
    </row>
    <row r="95" spans="1:21" s="144" customFormat="1">
      <c r="A95" s="1193" t="s">
        <v>34</v>
      </c>
      <c r="B95" s="146">
        <f t="shared" si="25"/>
        <v>0</v>
      </c>
      <c r="C95" s="147"/>
      <c r="D95" s="147"/>
      <c r="E95" s="147"/>
      <c r="F95" s="147"/>
      <c r="G95" s="147"/>
      <c r="H95" s="147"/>
      <c r="I95" s="147"/>
      <c r="J95" s="147"/>
      <c r="K95" s="147"/>
      <c r="L95" s="147"/>
      <c r="M95" s="147"/>
      <c r="N95" s="147"/>
      <c r="O95" s="147"/>
      <c r="P95" s="147"/>
      <c r="Q95" s="147"/>
      <c r="R95" s="550">
        <f t="shared" si="26"/>
        <v>0</v>
      </c>
      <c r="S95" s="147"/>
      <c r="T95" s="147"/>
      <c r="U95" s="143"/>
    </row>
    <row r="96" spans="1:21" s="144" customFormat="1">
      <c r="A96" s="149" t="s">
        <v>782</v>
      </c>
      <c r="B96" s="146">
        <f>SUM(C96:D96)</f>
        <v>4954501</v>
      </c>
      <c r="C96" s="146">
        <f t="shared" ref="C96:R96" si="27">SUM(C83:C95)</f>
        <v>4954501</v>
      </c>
      <c r="D96" s="146">
        <f t="shared" si="27"/>
        <v>0</v>
      </c>
      <c r="E96" s="146">
        <f t="shared" si="27"/>
        <v>4954501</v>
      </c>
      <c r="F96" s="146">
        <f t="shared" si="27"/>
        <v>0</v>
      </c>
      <c r="G96" s="146">
        <f t="shared" si="27"/>
        <v>0</v>
      </c>
      <c r="H96" s="146">
        <f t="shared" si="27"/>
        <v>0</v>
      </c>
      <c r="I96" s="146">
        <f t="shared" si="27"/>
        <v>0</v>
      </c>
      <c r="J96" s="146">
        <f t="shared" si="27"/>
        <v>0</v>
      </c>
      <c r="K96" s="146">
        <f t="shared" si="27"/>
        <v>0</v>
      </c>
      <c r="L96" s="146">
        <f t="shared" si="27"/>
        <v>0</v>
      </c>
      <c r="M96" s="146">
        <f t="shared" si="27"/>
        <v>0</v>
      </c>
      <c r="N96" s="146">
        <f t="shared" si="27"/>
        <v>0</v>
      </c>
      <c r="O96" s="146">
        <f t="shared" si="27"/>
        <v>0</v>
      </c>
      <c r="P96" s="146">
        <f t="shared" si="27"/>
        <v>0</v>
      </c>
      <c r="Q96" s="146">
        <f t="shared" si="27"/>
        <v>0</v>
      </c>
      <c r="R96" s="370">
        <f t="shared" si="27"/>
        <v>4954501</v>
      </c>
      <c r="S96" s="150">
        <f>SUM(S84:S87,S89:S95)</f>
        <v>4415393</v>
      </c>
      <c r="T96" s="146">
        <f>SUM(T84:T87,T89:T95)</f>
        <v>0</v>
      </c>
      <c r="U96" s="143"/>
    </row>
    <row r="97" spans="1:21" s="144" customFormat="1">
      <c r="A97" s="149" t="s">
        <v>783</v>
      </c>
      <c r="B97" s="146">
        <f>SUM(C97:D97)</f>
        <v>97366768</v>
      </c>
      <c r="C97" s="146">
        <f t="shared" ref="C97:R97" si="28">SUM(C63+C70+C77+C81+C96)</f>
        <v>97366768</v>
      </c>
      <c r="D97" s="146">
        <f t="shared" si="28"/>
        <v>0</v>
      </c>
      <c r="E97" s="146">
        <f t="shared" si="28"/>
        <v>46710768</v>
      </c>
      <c r="F97" s="146">
        <f t="shared" si="28"/>
        <v>22361000</v>
      </c>
      <c r="G97" s="146">
        <f t="shared" si="28"/>
        <v>22500000</v>
      </c>
      <c r="H97" s="146">
        <f t="shared" si="28"/>
        <v>1750000</v>
      </c>
      <c r="I97" s="146">
        <f t="shared" si="28"/>
        <v>3805000</v>
      </c>
      <c r="J97" s="146">
        <f t="shared" si="28"/>
        <v>240000</v>
      </c>
      <c r="K97" s="146">
        <f t="shared" si="28"/>
        <v>0</v>
      </c>
      <c r="L97" s="146">
        <f t="shared" si="28"/>
        <v>0</v>
      </c>
      <c r="M97" s="146">
        <f t="shared" si="28"/>
        <v>0</v>
      </c>
      <c r="N97" s="146">
        <f t="shared" si="28"/>
        <v>0</v>
      </c>
      <c r="O97" s="146">
        <f t="shared" si="28"/>
        <v>0</v>
      </c>
      <c r="P97" s="146">
        <f t="shared" si="28"/>
        <v>0</v>
      </c>
      <c r="Q97" s="146">
        <f t="shared" si="28"/>
        <v>0</v>
      </c>
      <c r="R97" s="146">
        <f t="shared" si="28"/>
        <v>97366768</v>
      </c>
      <c r="S97" s="146">
        <f>SUM(S63+S70+S81+S96)</f>
        <v>84962496.200000003</v>
      </c>
      <c r="T97" s="146">
        <f>SUM(T63+T70+T81+T96)</f>
        <v>0</v>
      </c>
      <c r="U97" s="143"/>
    </row>
    <row r="98" spans="1:21" s="144" customFormat="1">
      <c r="A98" s="141" t="s">
        <v>784</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785</v>
      </c>
      <c r="B99" s="146">
        <f>SUM(C99+D99)</f>
        <v>12744374</v>
      </c>
      <c r="C99" s="1014">
        <v>12744374</v>
      </c>
      <c r="D99" s="1014"/>
      <c r="E99" s="1014">
        <f>C99-SUM(F99:Q99)</f>
        <v>2500000</v>
      </c>
      <c r="F99" s="147"/>
      <c r="G99" s="147"/>
      <c r="H99" s="147"/>
      <c r="I99" s="147"/>
      <c r="J99" s="147"/>
      <c r="K99" s="147">
        <f>Application!AO632</f>
        <v>10244374</v>
      </c>
      <c r="L99" s="147"/>
      <c r="M99" s="147"/>
      <c r="N99" s="147"/>
      <c r="O99" s="147"/>
      <c r="P99" s="147"/>
      <c r="Q99" s="147"/>
      <c r="R99" s="550">
        <f>SUM(E99:Q99)</f>
        <v>12744374</v>
      </c>
      <c r="S99" s="147">
        <f>C99</f>
        <v>12744374</v>
      </c>
      <c r="T99" s="147"/>
      <c r="U99" s="143"/>
    </row>
    <row r="100" spans="1:21" s="144" customFormat="1">
      <c r="A100" s="304" t="s">
        <v>1757</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786</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1758</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787</v>
      </c>
      <c r="B104" s="146">
        <f>SUM(C104:D104)</f>
        <v>12744374</v>
      </c>
      <c r="C104" s="146">
        <f>SUM(C99:C103)</f>
        <v>12744374</v>
      </c>
      <c r="D104" s="146">
        <f t="shared" ref="D104:T104" si="29">SUM(D99:D103)</f>
        <v>0</v>
      </c>
      <c r="E104" s="146">
        <f t="shared" si="29"/>
        <v>2500000</v>
      </c>
      <c r="F104" s="146">
        <f t="shared" si="29"/>
        <v>0</v>
      </c>
      <c r="G104" s="146">
        <f t="shared" si="29"/>
        <v>0</v>
      </c>
      <c r="H104" s="146">
        <f t="shared" si="29"/>
        <v>0</v>
      </c>
      <c r="I104" s="146">
        <f t="shared" si="29"/>
        <v>0</v>
      </c>
      <c r="J104" s="146">
        <f t="shared" si="29"/>
        <v>0</v>
      </c>
      <c r="K104" s="146">
        <f t="shared" si="29"/>
        <v>10244374</v>
      </c>
      <c r="L104" s="146">
        <f t="shared" si="29"/>
        <v>0</v>
      </c>
      <c r="M104" s="146">
        <f t="shared" si="29"/>
        <v>0</v>
      </c>
      <c r="N104" s="146">
        <f t="shared" si="29"/>
        <v>0</v>
      </c>
      <c r="O104" s="146">
        <f t="shared" si="29"/>
        <v>0</v>
      </c>
      <c r="P104" s="146">
        <f t="shared" si="29"/>
        <v>0</v>
      </c>
      <c r="Q104" s="146">
        <f t="shared" si="29"/>
        <v>0</v>
      </c>
      <c r="R104" s="370">
        <f t="shared" si="29"/>
        <v>12744374</v>
      </c>
      <c r="S104" s="150">
        <f t="shared" si="29"/>
        <v>12744374</v>
      </c>
      <c r="T104" s="150">
        <f t="shared" si="29"/>
        <v>0</v>
      </c>
      <c r="U104" s="143"/>
    </row>
    <row r="105" spans="1:21" s="144" customFormat="1">
      <c r="A105" s="149" t="s">
        <v>788</v>
      </c>
      <c r="B105" s="150">
        <f>SUM(C105:D105)</f>
        <v>110111142</v>
      </c>
      <c r="C105" s="150">
        <f t="shared" ref="C105:R105" si="30">SUM(C97+C104)</f>
        <v>110111142</v>
      </c>
      <c r="D105" s="150">
        <f t="shared" si="30"/>
        <v>0</v>
      </c>
      <c r="E105" s="150">
        <f t="shared" si="30"/>
        <v>49210768</v>
      </c>
      <c r="F105" s="150">
        <f t="shared" si="30"/>
        <v>22361000</v>
      </c>
      <c r="G105" s="150">
        <f t="shared" si="30"/>
        <v>22500000</v>
      </c>
      <c r="H105" s="150">
        <f t="shared" si="30"/>
        <v>1750000</v>
      </c>
      <c r="I105" s="150">
        <f t="shared" si="30"/>
        <v>3805000</v>
      </c>
      <c r="J105" s="150">
        <f t="shared" si="30"/>
        <v>240000</v>
      </c>
      <c r="K105" s="150">
        <f t="shared" si="30"/>
        <v>10244374</v>
      </c>
      <c r="L105" s="150">
        <f t="shared" si="30"/>
        <v>0</v>
      </c>
      <c r="M105" s="150">
        <f t="shared" si="30"/>
        <v>0</v>
      </c>
      <c r="N105" s="150">
        <f t="shared" si="30"/>
        <v>0</v>
      </c>
      <c r="O105" s="150">
        <f t="shared" si="30"/>
        <v>0</v>
      </c>
      <c r="P105" s="150">
        <f t="shared" si="30"/>
        <v>0</v>
      </c>
      <c r="Q105" s="150">
        <f t="shared" si="30"/>
        <v>0</v>
      </c>
      <c r="R105" s="370">
        <f t="shared" si="30"/>
        <v>110111142</v>
      </c>
      <c r="S105" s="150">
        <f>S97+S104</f>
        <v>97706870.200000003</v>
      </c>
      <c r="T105" s="150">
        <f>T97+T104</f>
        <v>0</v>
      </c>
      <c r="U105" s="143"/>
    </row>
    <row r="106" spans="1:21">
      <c r="A106" s="548" t="s">
        <v>1042</v>
      </c>
      <c r="B106" s="157"/>
      <c r="C106" s="157"/>
      <c r="D106" s="157"/>
      <c r="H106" s="159" t="s">
        <v>92</v>
      </c>
      <c r="I106" s="159"/>
      <c r="J106" s="159"/>
      <c r="R106" s="160" t="s">
        <v>93</v>
      </c>
      <c r="S106" s="147"/>
      <c r="T106" s="147"/>
    </row>
    <row r="107" spans="1:21">
      <c r="A107" s="157" t="s">
        <v>183</v>
      </c>
      <c r="C107" s="157"/>
      <c r="D107" s="157"/>
      <c r="I107" s="162" t="s">
        <v>350</v>
      </c>
      <c r="J107" s="162"/>
      <c r="R107" s="160" t="s">
        <v>94</v>
      </c>
      <c r="S107" s="150">
        <f>S105+S106</f>
        <v>97706870.200000003</v>
      </c>
      <c r="T107" s="150">
        <f>T105+T106</f>
        <v>0</v>
      </c>
    </row>
    <row r="108" spans="1:21" s="201" customFormat="1">
      <c r="A108" s="162" t="s">
        <v>890</v>
      </c>
      <c r="B108" s="157"/>
      <c r="C108" s="157"/>
      <c r="D108" s="157"/>
      <c r="E108" s="323">
        <f>Application!AO640</f>
        <v>49210768</v>
      </c>
      <c r="F108" s="323">
        <f>Application!AO627</f>
        <v>22361000</v>
      </c>
      <c r="G108" s="323">
        <f>Application!AO628</f>
        <v>22500000</v>
      </c>
      <c r="H108" s="323">
        <f>Application!AO629</f>
        <v>1750000</v>
      </c>
      <c r="I108" s="323">
        <f>Application!AO630</f>
        <v>3805000</v>
      </c>
      <c r="J108" s="323">
        <f>Application!AO631</f>
        <v>240000</v>
      </c>
      <c r="K108" s="323">
        <f>Application!AO632</f>
        <v>10244374</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35" customHeight="1">
      <c r="A109" s="157"/>
      <c r="B109" s="157"/>
      <c r="C109" s="157"/>
      <c r="D109" s="157"/>
    </row>
    <row r="110" spans="1:21">
      <c r="A110" s="162" t="s">
        <v>975</v>
      </c>
      <c r="B110" s="157"/>
      <c r="C110" s="157"/>
      <c r="D110" s="157"/>
    </row>
    <row r="111" spans="1:21">
      <c r="A111" s="156" t="s">
        <v>976</v>
      </c>
      <c r="B111" s="157"/>
      <c r="C111" s="157"/>
      <c r="D111" s="157"/>
    </row>
    <row r="112" spans="1:21" ht="12" customHeight="1">
      <c r="A112" s="336"/>
      <c r="B112" s="157"/>
      <c r="C112" s="157"/>
      <c r="D112" s="157"/>
    </row>
    <row r="113" spans="1:21">
      <c r="A113" s="156" t="s">
        <v>1041</v>
      </c>
      <c r="B113" s="157"/>
      <c r="C113" s="157"/>
      <c r="D113" s="157"/>
    </row>
    <row r="114" spans="1:21">
      <c r="A114" s="156" t="s">
        <v>2410</v>
      </c>
      <c r="B114" s="157"/>
      <c r="C114" s="157"/>
      <c r="D114" s="157"/>
    </row>
    <row r="115" spans="1:21" ht="12" customHeight="1">
      <c r="A115" s="336"/>
      <c r="B115" s="157"/>
      <c r="C115" s="157"/>
      <c r="D115" s="157"/>
    </row>
    <row r="116" spans="1:21">
      <c r="A116" s="373" t="s">
        <v>1044</v>
      </c>
      <c r="B116" s="157"/>
      <c r="C116" s="157"/>
      <c r="D116" s="157"/>
    </row>
    <row r="117" spans="1:21">
      <c r="A117" s="373" t="s">
        <v>1328</v>
      </c>
      <c r="B117" s="157"/>
      <c r="C117" s="157"/>
      <c r="D117" s="157"/>
    </row>
    <row r="118" spans="1:21">
      <c r="A118" s="373" t="s">
        <v>1043</v>
      </c>
      <c r="B118" s="157"/>
      <c r="C118" s="157"/>
      <c r="D118" s="157"/>
    </row>
    <row r="119" spans="1:21">
      <c r="A119" s="373" t="s">
        <v>1045</v>
      </c>
      <c r="B119" s="157"/>
      <c r="C119" s="157"/>
      <c r="D119" s="157"/>
    </row>
    <row r="120" spans="1:21" ht="12" customHeight="1">
      <c r="A120" s="372"/>
      <c r="B120" s="157"/>
      <c r="C120" s="157"/>
      <c r="D120" s="157"/>
    </row>
    <row r="121" spans="1:21" ht="15.75">
      <c r="A121" s="366" t="s">
        <v>1027</v>
      </c>
      <c r="B121" s="157"/>
      <c r="C121" s="157"/>
      <c r="D121" s="157"/>
    </row>
    <row r="122" spans="1:21">
      <c r="A122" s="353" t="s">
        <v>1011</v>
      </c>
      <c r="B122" s="352"/>
      <c r="C122" s="352"/>
      <c r="D122" s="1891" t="s">
        <v>1012</v>
      </c>
      <c r="E122" s="1891"/>
      <c r="F122" s="1891"/>
      <c r="G122" s="352"/>
      <c r="H122" s="352"/>
      <c r="I122" s="352"/>
      <c r="J122" s="352"/>
      <c r="K122" s="352"/>
      <c r="L122" s="352"/>
      <c r="M122" s="352"/>
      <c r="N122" s="352"/>
      <c r="O122" s="352"/>
      <c r="P122" s="352"/>
      <c r="Q122" s="352"/>
      <c r="R122" s="352"/>
      <c r="S122" s="352"/>
      <c r="T122" s="352"/>
      <c r="U122" s="354"/>
    </row>
    <row r="123" spans="1:21">
      <c r="A123" s="352" t="s">
        <v>1013</v>
      </c>
      <c r="B123" s="361"/>
      <c r="C123" s="352"/>
      <c r="D123" s="1893" t="s">
        <v>1329</v>
      </c>
      <c r="E123" s="1819"/>
      <c r="F123" s="1819"/>
      <c r="G123" s="1819"/>
      <c r="H123" s="1819"/>
      <c r="I123" s="1819"/>
      <c r="J123" s="1819"/>
      <c r="K123" s="1819"/>
      <c r="L123" s="1819"/>
      <c r="M123" s="1819"/>
      <c r="N123" s="1819"/>
      <c r="O123" s="1819"/>
      <c r="P123" s="1819"/>
      <c r="Q123" s="1819"/>
      <c r="R123" s="1819"/>
      <c r="S123" s="1819"/>
      <c r="T123" s="352"/>
      <c r="U123" s="354"/>
    </row>
    <row r="124" spans="1:21" ht="12.75">
      <c r="A124" s="117" t="s">
        <v>1014</v>
      </c>
      <c r="B124" s="361"/>
      <c r="C124" s="117"/>
      <c r="D124" s="1819"/>
      <c r="E124" s="1819"/>
      <c r="F124" s="1819"/>
      <c r="G124" s="1819"/>
      <c r="H124" s="1819"/>
      <c r="I124" s="1819"/>
      <c r="J124" s="1819"/>
      <c r="K124" s="1819"/>
      <c r="L124" s="1819"/>
      <c r="M124" s="1819"/>
      <c r="N124" s="1819"/>
      <c r="O124" s="1819"/>
      <c r="P124" s="1819"/>
      <c r="Q124" s="1819"/>
      <c r="R124" s="1819"/>
      <c r="S124" s="1819"/>
      <c r="T124" s="352"/>
      <c r="U124" s="354"/>
    </row>
    <row r="125" spans="1:21" ht="12.75">
      <c r="A125" s="117" t="s">
        <v>1015</v>
      </c>
      <c r="B125" s="361"/>
      <c r="C125" s="117"/>
      <c r="D125" s="1819"/>
      <c r="E125" s="1819"/>
      <c r="F125" s="1819"/>
      <c r="G125" s="1819"/>
      <c r="H125" s="1819"/>
      <c r="I125" s="1819"/>
      <c r="J125" s="1819"/>
      <c r="K125" s="1819"/>
      <c r="L125" s="1819"/>
      <c r="M125" s="1819"/>
      <c r="N125" s="1819"/>
      <c r="O125" s="1819"/>
      <c r="P125" s="1819"/>
      <c r="Q125" s="1819"/>
      <c r="R125" s="1819"/>
      <c r="S125" s="1819"/>
      <c r="T125" s="352"/>
      <c r="U125" s="354"/>
    </row>
    <row r="126" spans="1:21" ht="12.75">
      <c r="A126" s="117" t="s">
        <v>1016</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1017</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1018</v>
      </c>
      <c r="B128" s="361"/>
      <c r="C128" s="117"/>
      <c r="D128" s="1888"/>
      <c r="E128" s="1888"/>
      <c r="F128" s="1888"/>
      <c r="G128" s="1888"/>
      <c r="H128" s="1888"/>
      <c r="I128" s="117"/>
      <c r="J128" s="1889"/>
      <c r="K128" s="1889"/>
      <c r="L128" s="117"/>
      <c r="M128" s="117"/>
      <c r="N128" s="117"/>
      <c r="O128" s="117"/>
      <c r="P128" s="117"/>
      <c r="Q128" s="117"/>
      <c r="R128" s="117"/>
      <c r="S128" s="117"/>
      <c r="T128" s="352"/>
      <c r="U128" s="354"/>
    </row>
    <row r="129" spans="1:21" ht="12.75">
      <c r="A129" s="117" t="s">
        <v>300</v>
      </c>
      <c r="B129" s="361"/>
      <c r="C129" s="117"/>
      <c r="D129" s="1890" t="s">
        <v>1019</v>
      </c>
      <c r="E129" s="1890"/>
      <c r="F129" s="1890"/>
      <c r="G129" s="1890"/>
      <c r="H129" s="1890"/>
      <c r="I129" s="117"/>
      <c r="J129" s="117" t="s">
        <v>1020</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1021</v>
      </c>
      <c r="B131" s="362">
        <f>SUM(B123:B129)</f>
        <v>0</v>
      </c>
      <c r="C131" s="117"/>
      <c r="D131" s="1862"/>
      <c r="E131" s="1862"/>
      <c r="F131" s="1862"/>
      <c r="G131" s="1862"/>
      <c r="H131" s="1862"/>
      <c r="I131" s="117"/>
      <c r="J131" s="1862"/>
      <c r="K131" s="1862"/>
      <c r="L131" s="1862"/>
      <c r="M131" s="1862"/>
      <c r="N131" s="117"/>
      <c r="O131" s="117"/>
      <c r="P131" s="117"/>
      <c r="Q131" s="117"/>
      <c r="R131" s="117"/>
      <c r="S131" s="117"/>
      <c r="T131" s="352"/>
      <c r="U131" s="354"/>
    </row>
    <row r="132" spans="1:21" ht="12" customHeight="1">
      <c r="A132" s="364"/>
      <c r="B132" s="117"/>
      <c r="C132" s="117"/>
      <c r="D132" s="1894" t="s">
        <v>1022</v>
      </c>
      <c r="E132" s="1894"/>
      <c r="F132" s="1894"/>
      <c r="G132" s="1894"/>
      <c r="H132" s="1894"/>
      <c r="I132" s="117"/>
      <c r="J132" s="1894" t="s">
        <v>1023</v>
      </c>
      <c r="K132" s="1894"/>
      <c r="L132" s="1894"/>
      <c r="M132" s="1894"/>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1024</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1025</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95"/>
      <c r="B138" s="1888"/>
      <c r="C138" s="1888"/>
      <c r="D138" s="356"/>
      <c r="E138" s="1889"/>
      <c r="F138" s="1889"/>
      <c r="G138" s="117"/>
      <c r="H138" s="117"/>
      <c r="I138" s="117"/>
      <c r="J138" s="117"/>
      <c r="K138" s="117"/>
      <c r="L138" s="117"/>
      <c r="M138" s="117"/>
      <c r="N138" s="117"/>
      <c r="O138" s="117"/>
      <c r="P138" s="117"/>
      <c r="Q138" s="117"/>
      <c r="R138" s="117"/>
      <c r="S138" s="117"/>
      <c r="T138" s="358"/>
      <c r="U138" s="359"/>
    </row>
    <row r="139" spans="1:21" ht="12.75">
      <c r="A139" s="1892" t="s">
        <v>1026</v>
      </c>
      <c r="B139" s="1892"/>
      <c r="C139" s="1892"/>
      <c r="D139" s="356"/>
      <c r="E139" s="117" t="s">
        <v>1020</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2" workbookViewId="0">
      <selection activeCell="C4" sqref="C4"/>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98" t="s">
        <v>1332</v>
      </c>
      <c r="B1" s="1899"/>
      <c r="C1" s="1899"/>
      <c r="D1" s="1899"/>
      <c r="E1" s="1899"/>
      <c r="F1" s="1899"/>
      <c r="G1" s="1899"/>
      <c r="H1" s="1899"/>
      <c r="I1" s="1899"/>
      <c r="J1" s="1900"/>
      <c r="K1" s="386"/>
    </row>
    <row r="2" spans="1:11" s="432" customFormat="1" ht="72">
      <c r="A2" s="429"/>
      <c r="B2" s="430" t="s">
        <v>1049</v>
      </c>
      <c r="C2" s="430" t="s">
        <v>1334</v>
      </c>
      <c r="D2" s="430" t="s">
        <v>1335</v>
      </c>
      <c r="E2" s="430" t="s">
        <v>1260</v>
      </c>
      <c r="F2" s="430" t="s">
        <v>1336</v>
      </c>
      <c r="G2" s="430" t="s">
        <v>1337</v>
      </c>
      <c r="H2" s="430" t="s">
        <v>1050</v>
      </c>
      <c r="I2" s="430" t="s">
        <v>1338</v>
      </c>
      <c r="J2" s="430" t="s">
        <v>1339</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55</v>
      </c>
      <c r="C4" s="393"/>
      <c r="D4" s="393"/>
      <c r="E4" s="394"/>
      <c r="F4" s="394"/>
      <c r="G4" s="394"/>
      <c r="H4" s="394"/>
      <c r="I4" s="394"/>
      <c r="J4" s="394"/>
      <c r="K4" s="390"/>
    </row>
    <row r="5" spans="1:11" s="391" customFormat="1">
      <c r="A5" s="395" t="s">
        <v>28</v>
      </c>
      <c r="B5" s="392">
        <f>'Sources and Uses Budget'!C5</f>
        <v>1080000</v>
      </c>
      <c r="C5" s="393"/>
      <c r="D5" s="393"/>
      <c r="E5" s="394"/>
      <c r="F5" s="394"/>
      <c r="G5" s="394"/>
      <c r="H5" s="394"/>
      <c r="I5" s="394"/>
      <c r="J5" s="394"/>
      <c r="K5" s="390"/>
    </row>
    <row r="6" spans="1:11" s="391" customFormat="1">
      <c r="A6" s="395" t="s">
        <v>29</v>
      </c>
      <c r="B6" s="392">
        <f>'Sources and Uses Budget'!C6</f>
        <v>50000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600</v>
      </c>
      <c r="B8" s="392">
        <f>'Sources and Uses Budget'!C8</f>
        <v>1130055</v>
      </c>
      <c r="C8" s="392">
        <f>SUM(C4:C7)</f>
        <v>0</v>
      </c>
      <c r="D8" s="392">
        <f>SUM(D4:D7)</f>
        <v>0</v>
      </c>
      <c r="E8" s="394"/>
      <c r="F8" s="394"/>
      <c r="G8" s="394"/>
      <c r="H8" s="394"/>
      <c r="I8" s="394"/>
      <c r="J8" s="394"/>
      <c r="K8" s="390"/>
    </row>
    <row r="9" spans="1:11" s="391" customFormat="1">
      <c r="A9" s="395" t="s">
        <v>601</v>
      </c>
      <c r="B9" s="392">
        <f>'Sources and Uses Budget'!C9</f>
        <v>0</v>
      </c>
      <c r="C9" s="393"/>
      <c r="D9" s="393"/>
      <c r="E9" s="394"/>
      <c r="F9" s="394"/>
      <c r="G9" s="394"/>
      <c r="H9" s="392">
        <f>'Sources and Uses Budget'!T9</f>
        <v>0</v>
      </c>
      <c r="I9" s="393"/>
      <c r="J9" s="393"/>
      <c r="K9" s="390"/>
    </row>
    <row r="10" spans="1:11" s="391" customFormat="1">
      <c r="A10" s="395" t="s">
        <v>602</v>
      </c>
      <c r="B10" s="392">
        <f>'Sources and Uses Budget'!C10</f>
        <v>1336000</v>
      </c>
      <c r="C10" s="393"/>
      <c r="D10" s="393"/>
      <c r="E10" s="392">
        <f>'Sources and Uses Budget'!S10</f>
        <v>688000</v>
      </c>
      <c r="F10" s="393"/>
      <c r="G10" s="393"/>
      <c r="H10" s="392">
        <f>'Sources and Uses Budget'!T10</f>
        <v>0</v>
      </c>
      <c r="I10" s="393"/>
      <c r="J10" s="393"/>
      <c r="K10" s="390"/>
    </row>
    <row r="11" spans="1:11" s="391" customFormat="1">
      <c r="A11" s="396" t="s">
        <v>603</v>
      </c>
      <c r="B11" s="392">
        <f>'Sources and Uses Budget'!C11</f>
        <v>1336000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2466055</v>
      </c>
      <c r="C12" s="392">
        <f>SUM(C8+C11)</f>
        <v>0</v>
      </c>
      <c r="D12" s="392">
        <f>SUM(D8+D11)</f>
        <v>0</v>
      </c>
      <c r="E12" s="394"/>
      <c r="F12" s="394"/>
      <c r="G12" s="394"/>
      <c r="H12" s="394"/>
      <c r="I12" s="394"/>
      <c r="J12" s="394"/>
      <c r="K12" s="390"/>
    </row>
    <row r="13" spans="1:11" s="391" customFormat="1">
      <c r="A13" s="397" t="s">
        <v>916</v>
      </c>
      <c r="B13" s="392">
        <f>'Sources and Uses Budget'!C13</f>
        <v>110639</v>
      </c>
      <c r="C13" s="393"/>
      <c r="D13" s="393"/>
      <c r="E13" s="392">
        <f>'Sources and Uses Budget'!S13</f>
        <v>110639</v>
      </c>
      <c r="F13" s="393"/>
      <c r="G13" s="393"/>
      <c r="H13" s="392">
        <f>'Sources and Uses Budget'!T13</f>
        <v>0</v>
      </c>
      <c r="I13" s="393"/>
      <c r="J13" s="393"/>
      <c r="K13" s="390"/>
    </row>
    <row r="14" spans="1:11" s="391" customFormat="1" ht="24">
      <c r="A14" s="395" t="s">
        <v>917</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1264</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604</v>
      </c>
      <c r="B16" s="389"/>
      <c r="C16" s="389"/>
      <c r="D16" s="389"/>
      <c r="E16" s="389"/>
      <c r="F16" s="389"/>
      <c r="G16" s="389"/>
      <c r="H16" s="389"/>
      <c r="I16" s="389"/>
      <c r="J16" s="389"/>
      <c r="K16" s="390"/>
    </row>
    <row r="17" spans="1:11" s="391" customFormat="1">
      <c r="A17" s="395" t="s">
        <v>605</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606</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607</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1751</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605</v>
      </c>
      <c r="B29" s="392">
        <f>'Sources and Uses Budget'!C29</f>
        <v>2121922</v>
      </c>
      <c r="C29" s="393"/>
      <c r="D29" s="393"/>
      <c r="E29" s="392">
        <f>'Sources and Uses Budget'!S29</f>
        <v>2121922</v>
      </c>
      <c r="F29" s="393"/>
      <c r="G29" s="393"/>
      <c r="H29" s="392">
        <f>'Sources and Uses Budget'!T29</f>
        <v>0</v>
      </c>
      <c r="I29" s="393"/>
      <c r="J29" s="393"/>
      <c r="K29" s="390"/>
    </row>
    <row r="30" spans="1:11" s="391" customFormat="1">
      <c r="A30" s="145" t="s">
        <v>606</v>
      </c>
      <c r="B30" s="392">
        <f>'Sources and Uses Budget'!C30</f>
        <v>41480312</v>
      </c>
      <c r="C30" s="393"/>
      <c r="D30" s="393"/>
      <c r="E30" s="392">
        <f>'Sources and Uses Budget'!S30</f>
        <v>41480312</v>
      </c>
      <c r="F30" s="393"/>
      <c r="G30" s="393"/>
      <c r="H30" s="392">
        <f>'Sources and Uses Budget'!T30</f>
        <v>0</v>
      </c>
      <c r="I30" s="393"/>
      <c r="J30" s="393"/>
      <c r="K30" s="390"/>
    </row>
    <row r="31" spans="1:11" s="391" customFormat="1">
      <c r="A31" s="145" t="s">
        <v>607</v>
      </c>
      <c r="B31" s="392">
        <f>'Sources and Uses Budget'!C31</f>
        <v>1635174</v>
      </c>
      <c r="C31" s="393"/>
      <c r="D31" s="393"/>
      <c r="E31" s="392">
        <f>'Sources and Uses Budget'!S31</f>
        <v>1635174</v>
      </c>
      <c r="F31" s="393"/>
      <c r="G31" s="393"/>
      <c r="H31" s="392">
        <f>'Sources and Uses Budget'!T31</f>
        <v>0</v>
      </c>
      <c r="I31" s="393"/>
      <c r="J31" s="393"/>
      <c r="K31" s="390"/>
    </row>
    <row r="32" spans="1:11" s="391" customFormat="1">
      <c r="A32" s="145" t="s">
        <v>137</v>
      </c>
      <c r="B32" s="392">
        <f>'Sources and Uses Budget'!C32</f>
        <v>2019779.5</v>
      </c>
      <c r="C32" s="393"/>
      <c r="D32" s="393"/>
      <c r="E32" s="392">
        <f>'Sources and Uses Budget'!S32</f>
        <v>2019779.5</v>
      </c>
      <c r="F32" s="393"/>
      <c r="G32" s="393"/>
      <c r="H32" s="392">
        <f>'Sources and Uses Budget'!T32</f>
        <v>0</v>
      </c>
      <c r="I32" s="393"/>
      <c r="J32" s="393"/>
      <c r="K32" s="390"/>
    </row>
    <row r="33" spans="1:11" s="391" customFormat="1">
      <c r="A33" s="145" t="s">
        <v>138</v>
      </c>
      <c r="B33" s="392">
        <f>'Sources and Uses Budget'!C33</f>
        <v>2019779.5</v>
      </c>
      <c r="C33" s="393"/>
      <c r="D33" s="393"/>
      <c r="E33" s="392">
        <f>'Sources and Uses Budget'!S33</f>
        <v>2019779.5</v>
      </c>
      <c r="F33" s="393"/>
      <c r="G33" s="393"/>
      <c r="H33" s="392">
        <f>'Sources and Uses Budget'!T33</f>
        <v>0</v>
      </c>
      <c r="I33" s="393"/>
      <c r="J33" s="393"/>
      <c r="K33" s="390"/>
    </row>
    <row r="34" spans="1:11" s="391" customFormat="1">
      <c r="A34" s="145" t="s">
        <v>139</v>
      </c>
      <c r="B34" s="392">
        <f>'Sources and Uses Budget'!C34</f>
        <v>13826771</v>
      </c>
      <c r="C34" s="393"/>
      <c r="D34" s="393"/>
      <c r="E34" s="392">
        <f>'Sources and Uses Budget'!S34</f>
        <v>13826771</v>
      </c>
      <c r="F34" s="393"/>
      <c r="G34" s="393"/>
      <c r="H34" s="392">
        <f>'Sources and Uses Budget'!T34</f>
        <v>0</v>
      </c>
      <c r="I34" s="393"/>
      <c r="J34" s="393"/>
      <c r="K34" s="390"/>
    </row>
    <row r="35" spans="1:11" s="391" customFormat="1">
      <c r="A35" s="145" t="s">
        <v>140</v>
      </c>
      <c r="B35" s="392">
        <f>'Sources and Uses Budget'!C35</f>
        <v>702532</v>
      </c>
      <c r="C35" s="393"/>
      <c r="D35" s="393"/>
      <c r="E35" s="392">
        <f>'Sources and Uses Budget'!S35</f>
        <v>702532</v>
      </c>
      <c r="F35" s="393"/>
      <c r="G35" s="393"/>
      <c r="H35" s="392">
        <f>'Sources and Uses Budget'!T35</f>
        <v>0</v>
      </c>
      <c r="I35" s="393"/>
      <c r="J35" s="393"/>
      <c r="K35" s="390"/>
    </row>
    <row r="36" spans="1:11" s="391" customFormat="1">
      <c r="A36" s="542" t="s">
        <v>1751</v>
      </c>
      <c r="B36" s="392">
        <f>'Sources and Uses Budget'!C36</f>
        <v>300000</v>
      </c>
      <c r="C36" s="393"/>
      <c r="D36" s="393"/>
      <c r="E36" s="392">
        <f>'Sources and Uses Budget'!S36</f>
        <v>300000</v>
      </c>
      <c r="F36" s="393"/>
      <c r="G36" s="393"/>
      <c r="H36" s="392">
        <f>'Sources and Uses Budget'!T36</f>
        <v>0</v>
      </c>
      <c r="I36" s="393"/>
      <c r="J36" s="393"/>
      <c r="K36" s="390"/>
    </row>
    <row r="37" spans="1:11" s="391" customFormat="1" ht="24">
      <c r="A37" s="395" t="str">
        <f>'Sources and Uses Budget'!$A37</f>
        <v>Bond Premium, PV System, Environmental Remediation</v>
      </c>
      <c r="B37" s="392">
        <f>'Sources and Uses Budget'!C37</f>
        <v>2555665</v>
      </c>
      <c r="C37" s="393"/>
      <c r="D37" s="393"/>
      <c r="E37" s="392">
        <f>'Sources and Uses Budget'!S37</f>
        <v>1555665</v>
      </c>
      <c r="F37" s="393"/>
      <c r="G37" s="393"/>
      <c r="H37" s="392">
        <f>'Sources and Uses Budget'!T37</f>
        <v>0</v>
      </c>
      <c r="I37" s="393"/>
      <c r="J37" s="393"/>
      <c r="K37" s="390"/>
    </row>
    <row r="38" spans="1:11" s="391" customFormat="1">
      <c r="A38" s="396" t="s">
        <v>143</v>
      </c>
      <c r="B38" s="392">
        <f>'Sources and Uses Budget'!C38</f>
        <v>66661935</v>
      </c>
      <c r="C38" s="392">
        <f>SUM(C29:C37)</f>
        <v>0</v>
      </c>
      <c r="D38" s="392">
        <f>SUM(D29:D37)</f>
        <v>0</v>
      </c>
      <c r="E38" s="392">
        <f>'Sources and Uses Budget'!S38</f>
        <v>65661935</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1548000</v>
      </c>
      <c r="C40" s="393"/>
      <c r="D40" s="393"/>
      <c r="E40" s="392">
        <f>'Sources and Uses Budget'!S40</f>
        <v>1548000</v>
      </c>
      <c r="F40" s="393"/>
      <c r="G40" s="393"/>
      <c r="H40" s="392">
        <f>'Sources and Uses Budget'!T40</f>
        <v>0</v>
      </c>
      <c r="I40" s="393"/>
      <c r="J40" s="393"/>
      <c r="K40" s="390"/>
    </row>
    <row r="41" spans="1:11" s="391" customFormat="1">
      <c r="A41" s="395" t="s">
        <v>146</v>
      </c>
      <c r="B41" s="392">
        <f>'Sources and Uses Budget'!C41</f>
        <v>0</v>
      </c>
      <c r="C41" s="393"/>
      <c r="D41" s="393"/>
      <c r="E41" s="392">
        <f>'Sources and Uses Budget'!S41</f>
        <v>0</v>
      </c>
      <c r="F41" s="393"/>
      <c r="G41" s="393"/>
      <c r="H41" s="392">
        <f>'Sources and Uses Budget'!T41</f>
        <v>0</v>
      </c>
      <c r="I41" s="393"/>
      <c r="J41" s="393"/>
      <c r="K41" s="390"/>
    </row>
    <row r="42" spans="1:11" s="391" customFormat="1">
      <c r="A42" s="396" t="s">
        <v>147</v>
      </c>
      <c r="B42" s="392">
        <f>'Sources and Uses Budget'!C42</f>
        <v>1548000</v>
      </c>
      <c r="C42" s="392">
        <f>SUM(C39:C41)</f>
        <v>0</v>
      </c>
      <c r="D42" s="392">
        <f>SUM(D39:D41)</f>
        <v>0</v>
      </c>
      <c r="E42" s="392">
        <f>'Sources and Uses Budget'!S42</f>
        <v>1548000</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672000</v>
      </c>
      <c r="C43" s="393"/>
      <c r="D43" s="393"/>
      <c r="E43" s="392">
        <f>'Sources and Uses Budget'!S43</f>
        <v>672000</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12400188.5</v>
      </c>
      <c r="C45" s="393"/>
      <c r="D45" s="393"/>
      <c r="E45" s="392">
        <f>'Sources and Uses Budget'!S45</f>
        <v>5207977</v>
      </c>
      <c r="F45" s="393"/>
      <c r="G45" s="393"/>
      <c r="H45" s="392">
        <f>'Sources and Uses Budget'!T45</f>
        <v>0</v>
      </c>
      <c r="I45" s="393"/>
      <c r="J45" s="393"/>
      <c r="K45" s="390"/>
    </row>
    <row r="46" spans="1:11" s="391" customFormat="1">
      <c r="A46" s="395" t="s">
        <v>151</v>
      </c>
      <c r="B46" s="392">
        <f>'Sources and Uses Budget'!C46</f>
        <v>435540.8</v>
      </c>
      <c r="C46" s="393"/>
      <c r="D46" s="393"/>
      <c r="E46" s="392">
        <f>'Sources and Uses Budget'!S46</f>
        <v>185840.5</v>
      </c>
      <c r="F46" s="393"/>
      <c r="G46" s="393"/>
      <c r="H46" s="392">
        <f>'Sources and Uses Budget'!T46</f>
        <v>0</v>
      </c>
      <c r="I46" s="393"/>
      <c r="J46" s="393"/>
      <c r="K46" s="390"/>
    </row>
    <row r="47" spans="1:11" s="391" customFormat="1" ht="12"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358556</v>
      </c>
      <c r="C49" s="393"/>
      <c r="D49" s="393"/>
      <c r="E49" s="392">
        <f>'Sources and Uses Budget'!S49</f>
        <v>84067</v>
      </c>
      <c r="F49" s="393"/>
      <c r="G49" s="393"/>
      <c r="H49" s="392">
        <f>'Sources and Uses Budget'!T49</f>
        <v>0</v>
      </c>
      <c r="I49" s="393"/>
      <c r="J49" s="393"/>
      <c r="K49" s="390"/>
    </row>
    <row r="50" spans="1:11" s="391" customFormat="1">
      <c r="A50" s="395" t="s">
        <v>156</v>
      </c>
      <c r="B50" s="392">
        <f>'Sources and Uses Budget'!C50</f>
        <v>65000</v>
      </c>
      <c r="C50" s="393"/>
      <c r="D50" s="393"/>
      <c r="E50" s="392">
        <f>'Sources and Uses Budget'!S50</f>
        <v>65000</v>
      </c>
      <c r="F50" s="393"/>
      <c r="G50" s="393"/>
      <c r="H50" s="392">
        <f>'Sources and Uses Budget'!T50</f>
        <v>0</v>
      </c>
      <c r="I50" s="393"/>
      <c r="J50" s="393"/>
      <c r="K50" s="390"/>
    </row>
    <row r="51" spans="1:11" s="391" customFormat="1">
      <c r="A51" s="395" t="s">
        <v>154</v>
      </c>
      <c r="B51" s="392">
        <f>'Sources and Uses Budget'!C51</f>
        <v>307726</v>
      </c>
      <c r="C51" s="393"/>
      <c r="D51" s="393"/>
      <c r="E51" s="392">
        <f>'Sources and Uses Budget'!S51</f>
        <v>307726</v>
      </c>
      <c r="F51" s="393"/>
      <c r="G51" s="393"/>
      <c r="H51" s="392">
        <f>'Sources and Uses Budget'!T51</f>
        <v>0</v>
      </c>
      <c r="I51" s="393"/>
      <c r="J51" s="393"/>
      <c r="K51" s="390"/>
    </row>
    <row r="52" spans="1:11" s="391" customFormat="1">
      <c r="A52" s="395" t="s">
        <v>155</v>
      </c>
      <c r="B52" s="392">
        <f>'Sources and Uses Budget'!C52</f>
        <v>1948010</v>
      </c>
      <c r="C52" s="393"/>
      <c r="D52" s="393"/>
      <c r="E52" s="392">
        <f>'Sources and Uses Budget'!S52</f>
        <v>1948010</v>
      </c>
      <c r="F52" s="393"/>
      <c r="G52" s="393"/>
      <c r="H52" s="392">
        <f>'Sources and Uses Budget'!T52</f>
        <v>0</v>
      </c>
      <c r="I52" s="393"/>
      <c r="J52" s="393"/>
      <c r="K52" s="390"/>
    </row>
    <row r="53" spans="1:11" s="391" customFormat="1" ht="24">
      <c r="A53" s="395" t="str">
        <f>'Sources and Uses Budget'!$A53</f>
        <v>Constr Lender Expenses, Inspections, and Counsel</v>
      </c>
      <c r="B53" s="392">
        <f>'Sources and Uses Budget'!C53</f>
        <v>139800</v>
      </c>
      <c r="C53" s="393"/>
      <c r="D53" s="393"/>
      <c r="E53" s="392">
        <f>'Sources and Uses Budget'!S53</f>
        <v>79603</v>
      </c>
      <c r="F53" s="393"/>
      <c r="G53" s="393"/>
      <c r="H53" s="392">
        <f>'Sources and Uses Budget'!T53</f>
        <v>0</v>
      </c>
      <c r="I53" s="393"/>
      <c r="J53" s="393"/>
      <c r="K53" s="390"/>
    </row>
    <row r="54" spans="1:11" s="400" customFormat="1">
      <c r="A54" s="396" t="s">
        <v>157</v>
      </c>
      <c r="B54" s="392">
        <f>'Sources and Uses Budget'!C54</f>
        <v>15654821.300000001</v>
      </c>
      <c r="C54" s="398">
        <f>SUM(C45:C53)</f>
        <v>0</v>
      </c>
      <c r="D54" s="398">
        <f>SUM(D45:D53)</f>
        <v>0</v>
      </c>
      <c r="E54" s="392">
        <f>'Sources and Uses Budget'!S54</f>
        <v>7878223.5</v>
      </c>
      <c r="F54" s="398">
        <f>SUM(F45:F53)</f>
        <v>0</v>
      </c>
      <c r="G54" s="398">
        <f>SUM(G45:G53)</f>
        <v>0</v>
      </c>
      <c r="H54" s="392">
        <f>'Sources and Uses Budget'!T54</f>
        <v>0</v>
      </c>
      <c r="I54" s="398">
        <f>SUM(I45:I53)</f>
        <v>0</v>
      </c>
      <c r="J54" s="398">
        <f>SUM(J45:J53)</f>
        <v>0</v>
      </c>
      <c r="K54" s="399"/>
    </row>
    <row r="55" spans="1:11" s="391" customFormat="1">
      <c r="A55" s="388" t="s">
        <v>418</v>
      </c>
      <c r="B55" s="389"/>
      <c r="C55" s="389"/>
      <c r="D55" s="389"/>
      <c r="E55" s="389"/>
      <c r="F55" s="389"/>
      <c r="G55" s="389"/>
      <c r="H55" s="389"/>
      <c r="I55" s="389"/>
      <c r="J55" s="389"/>
      <c r="K55" s="390"/>
    </row>
    <row r="56" spans="1:11" s="391" customFormat="1">
      <c r="A56" s="395" t="s">
        <v>158</v>
      </c>
      <c r="B56" s="392">
        <f>'Sources and Uses Budget'!C56</f>
        <v>167708</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55000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Perm Lender Expenses and Counsel</v>
      </c>
      <c r="B61" s="392">
        <f>'Sources and Uses Budget'!C61</f>
        <v>70000</v>
      </c>
      <c r="C61" s="393"/>
      <c r="D61" s="393"/>
      <c r="E61" s="394"/>
      <c r="F61" s="394"/>
      <c r="G61" s="394"/>
      <c r="H61" s="394"/>
      <c r="I61" s="394"/>
      <c r="J61" s="394"/>
      <c r="K61" s="390"/>
    </row>
    <row r="62" spans="1:11" s="391" customFormat="1" ht="13.7" customHeight="1">
      <c r="A62" s="396" t="s">
        <v>301</v>
      </c>
      <c r="B62" s="392">
        <f>'Sources and Uses Budget'!C62</f>
        <v>292708</v>
      </c>
      <c r="C62" s="392">
        <f>SUM(C56:C61)</f>
        <v>0</v>
      </c>
      <c r="D62" s="392">
        <f>SUM(D56:D61)</f>
        <v>0</v>
      </c>
      <c r="E62" s="394"/>
      <c r="F62" s="394"/>
      <c r="G62" s="394"/>
      <c r="H62" s="394"/>
      <c r="I62" s="394"/>
      <c r="J62" s="394"/>
      <c r="K62" s="390"/>
    </row>
    <row r="63" spans="1:11" s="391" customFormat="1">
      <c r="A63" s="401" t="s">
        <v>302</v>
      </c>
      <c r="B63" s="392">
        <f>'Sources and Uses Budget'!C63</f>
        <v>87406158.299999997</v>
      </c>
      <c r="C63" s="392">
        <f>SUM(C8+C11+C13+C14+C15+C26+C27+C38+C42+C43+C54+C62)</f>
        <v>0</v>
      </c>
      <c r="D63" s="392">
        <f>SUM(D8+D11+D13+D14+D15+D26+D27+D38+D42+D43+D54+D62)</f>
        <v>0</v>
      </c>
      <c r="E63" s="392">
        <f>'Sources and Uses Budget'!S63</f>
        <v>76558797.5</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4">
      <c r="A64" s="141" t="s">
        <v>1755</v>
      </c>
      <c r="B64" s="389"/>
      <c r="C64" s="389"/>
      <c r="D64" s="389"/>
      <c r="E64" s="389"/>
      <c r="F64" s="389"/>
      <c r="G64" s="389"/>
      <c r="H64" s="389"/>
      <c r="I64" s="389"/>
      <c r="J64" s="389"/>
      <c r="K64" s="390"/>
    </row>
    <row r="65" spans="1:11" s="391" customFormat="1">
      <c r="A65" s="145" t="s">
        <v>170</v>
      </c>
      <c r="B65" s="392">
        <f>'Sources and Uses Budget'!C65</f>
        <v>190000</v>
      </c>
      <c r="C65" s="393"/>
      <c r="D65" s="393"/>
      <c r="E65" s="392">
        <f>'Sources and Uses Budget'!S65</f>
        <v>90000</v>
      </c>
      <c r="F65" s="393"/>
      <c r="G65" s="393"/>
      <c r="H65" s="392">
        <f>'Sources and Uses Budget'!T65</f>
        <v>0</v>
      </c>
      <c r="I65" s="393"/>
      <c r="J65" s="393"/>
      <c r="K65" s="390"/>
    </row>
    <row r="66" spans="1:11" s="391" customFormat="1" ht="24">
      <c r="A66" s="304" t="s">
        <v>1752</v>
      </c>
      <c r="B66" s="392">
        <f>'Sources and Uses Budget'!C66</f>
        <v>0</v>
      </c>
      <c r="C66" s="393"/>
      <c r="D66" s="393"/>
      <c r="E66" s="392">
        <f>'Sources and Uses Budget'!S66</f>
        <v>0</v>
      </c>
      <c r="F66" s="393"/>
      <c r="G66" s="393"/>
      <c r="H66" s="392">
        <f>'Sources and Uses Budget'!T66</f>
        <v>0</v>
      </c>
      <c r="I66" s="393"/>
      <c r="J66" s="393"/>
      <c r="K66" s="390"/>
    </row>
    <row r="67" spans="1:11" s="391" customFormat="1" ht="24">
      <c r="A67" s="304" t="s">
        <v>1753</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1759</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Other: (Specify)</v>
      </c>
      <c r="B69" s="392">
        <f>'Sources and Uses Budget'!C69</f>
        <v>0</v>
      </c>
      <c r="C69" s="393"/>
      <c r="D69" s="393"/>
      <c r="E69" s="392">
        <f>'Sources and Uses Budget'!S69</f>
        <v>0</v>
      </c>
      <c r="F69" s="393"/>
      <c r="G69" s="393"/>
      <c r="H69" s="392">
        <f>'Sources and Uses Budget'!T69</f>
        <v>0</v>
      </c>
      <c r="I69" s="393"/>
      <c r="J69" s="393"/>
      <c r="K69" s="390"/>
    </row>
    <row r="70" spans="1:11" s="391" customFormat="1">
      <c r="A70" s="396" t="s">
        <v>608</v>
      </c>
      <c r="B70" s="392">
        <f>'Sources and Uses Budget'!C70</f>
        <v>190000</v>
      </c>
      <c r="C70" s="392">
        <f>SUM(C64:C69)</f>
        <v>0</v>
      </c>
      <c r="D70" s="392">
        <f>SUM(D64:D69)</f>
        <v>0</v>
      </c>
      <c r="E70" s="392">
        <f>'Sources and Uses Budget'!S70</f>
        <v>90000</v>
      </c>
      <c r="F70" s="398">
        <f>SUM(F65:F69)</f>
        <v>0</v>
      </c>
      <c r="G70" s="398">
        <f>SUM(G65:G69)</f>
        <v>0</v>
      </c>
      <c r="H70" s="392">
        <f>'Sources and Uses Budget'!T70</f>
        <v>0</v>
      </c>
      <c r="I70" s="398">
        <f>SUM(I65:I69)</f>
        <v>0</v>
      </c>
      <c r="J70" s="398">
        <f>SUM(J65:J69)</f>
        <v>0</v>
      </c>
      <c r="K70" s="390"/>
    </row>
    <row r="71" spans="1:11" s="391" customFormat="1">
      <c r="A71" s="388" t="s">
        <v>609</v>
      </c>
      <c r="B71" s="389"/>
      <c r="C71" s="389"/>
      <c r="D71" s="389"/>
      <c r="E71" s="389"/>
      <c r="F71" s="389"/>
      <c r="G71" s="389"/>
      <c r="H71" s="389"/>
      <c r="I71" s="389"/>
      <c r="J71" s="389"/>
      <c r="K71" s="390"/>
    </row>
    <row r="72" spans="1:11" s="391" customFormat="1">
      <c r="A72" s="395" t="s">
        <v>610</v>
      </c>
      <c r="B72" s="392">
        <f>'Sources and Uses Budget'!C72</f>
        <v>0</v>
      </c>
      <c r="C72" s="393"/>
      <c r="D72" s="393"/>
      <c r="E72" s="394"/>
      <c r="F72" s="394"/>
      <c r="G72" s="394"/>
      <c r="H72" s="394"/>
      <c r="I72" s="394"/>
      <c r="J72" s="394"/>
      <c r="K72" s="390"/>
    </row>
    <row r="73" spans="1:11" s="391" customFormat="1">
      <c r="A73" s="395" t="s">
        <v>611</v>
      </c>
      <c r="B73" s="392">
        <f>'Sources and Uses Budget'!C73</f>
        <v>0</v>
      </c>
      <c r="C73" s="393"/>
      <c r="D73" s="393"/>
      <c r="E73" s="394"/>
      <c r="F73" s="394"/>
      <c r="G73" s="394"/>
      <c r="H73" s="394"/>
      <c r="I73" s="394"/>
      <c r="J73" s="394"/>
      <c r="K73" s="390"/>
    </row>
    <row r="74" spans="1:11" s="391" customFormat="1">
      <c r="A74" s="397" t="s">
        <v>1005</v>
      </c>
      <c r="B74" s="392">
        <f>'Sources and Uses Budget'!C74</f>
        <v>198162</v>
      </c>
      <c r="C74" s="393"/>
      <c r="D74" s="393"/>
      <c r="E74" s="394"/>
      <c r="F74" s="394"/>
      <c r="G74" s="394"/>
      <c r="H74" s="394"/>
      <c r="I74" s="394"/>
      <c r="J74" s="394"/>
      <c r="K74" s="390"/>
    </row>
    <row r="75" spans="1:11" s="391" customFormat="1">
      <c r="A75" s="395" t="s">
        <v>612</v>
      </c>
      <c r="B75" s="392">
        <f>'Sources and Uses Budget'!C75</f>
        <v>719641</v>
      </c>
      <c r="C75" s="393"/>
      <c r="D75" s="393"/>
      <c r="E75" s="394"/>
      <c r="F75" s="394"/>
      <c r="G75" s="394"/>
      <c r="H75" s="394"/>
      <c r="I75" s="394"/>
      <c r="J75" s="394"/>
      <c r="K75" s="390"/>
    </row>
    <row r="76" spans="1:11" s="391" customFormat="1">
      <c r="A76" s="395" t="str">
        <f>'Sources and Uses Budget'!$A76</f>
        <v>Other: (Specify)</v>
      </c>
      <c r="B76" s="392">
        <f>'Sources and Uses Budget'!C76</f>
        <v>0</v>
      </c>
      <c r="C76" s="393"/>
      <c r="D76" s="393"/>
      <c r="E76" s="394"/>
      <c r="F76" s="394"/>
      <c r="G76" s="394"/>
      <c r="H76" s="394"/>
      <c r="I76" s="394"/>
      <c r="J76" s="394"/>
      <c r="K76" s="390"/>
    </row>
    <row r="77" spans="1:11" s="391" customFormat="1">
      <c r="A77" s="396" t="s">
        <v>613</v>
      </c>
      <c r="B77" s="392">
        <f>'Sources and Uses Budget'!C77</f>
        <v>917803</v>
      </c>
      <c r="C77" s="392">
        <f>SUM(C72:C76)</f>
        <v>0</v>
      </c>
      <c r="D77" s="392">
        <f>SUM(D72:D76)</f>
        <v>0</v>
      </c>
      <c r="E77" s="394"/>
      <c r="F77" s="394"/>
      <c r="G77" s="394"/>
      <c r="H77" s="394"/>
      <c r="I77" s="394"/>
      <c r="J77" s="394"/>
      <c r="K77" s="390"/>
    </row>
    <row r="78" spans="1:11" s="391" customFormat="1">
      <c r="A78" s="388" t="s">
        <v>1314</v>
      </c>
      <c r="B78" s="389"/>
      <c r="C78" s="389"/>
      <c r="D78" s="389"/>
      <c r="E78" s="389"/>
      <c r="F78" s="389"/>
      <c r="G78" s="389"/>
      <c r="H78" s="389"/>
      <c r="I78" s="389"/>
      <c r="J78" s="389"/>
      <c r="K78" s="390"/>
    </row>
    <row r="79" spans="1:11" s="391" customFormat="1">
      <c r="A79" s="395" t="s">
        <v>1316</v>
      </c>
      <c r="B79" s="392">
        <f>'Sources and Uses Budget'!C79</f>
        <v>3388896.7</v>
      </c>
      <c r="C79" s="393"/>
      <c r="D79" s="393"/>
      <c r="E79" s="392">
        <f>'Sources and Uses Budget'!S79</f>
        <v>3388896.7</v>
      </c>
      <c r="F79" s="393"/>
      <c r="G79" s="393"/>
      <c r="H79" s="392">
        <f>'Sources and Uses Budget'!T79</f>
        <v>0</v>
      </c>
      <c r="I79" s="393"/>
      <c r="J79" s="393"/>
      <c r="K79" s="390"/>
    </row>
    <row r="80" spans="1:11" s="391" customFormat="1">
      <c r="A80" s="395" t="s">
        <v>58</v>
      </c>
      <c r="B80" s="392">
        <f>'Sources and Uses Budget'!C80</f>
        <v>509409</v>
      </c>
      <c r="C80" s="393"/>
      <c r="D80" s="393"/>
      <c r="E80" s="392">
        <f>'Sources and Uses Budget'!S80</f>
        <v>509409</v>
      </c>
      <c r="F80" s="393"/>
      <c r="G80" s="393"/>
      <c r="H80" s="392">
        <f>'Sources and Uses Budget'!T80</f>
        <v>0</v>
      </c>
      <c r="I80" s="393"/>
      <c r="J80" s="393"/>
      <c r="K80" s="390"/>
    </row>
    <row r="81" spans="1:11" s="391" customFormat="1">
      <c r="A81" s="396" t="s">
        <v>1313</v>
      </c>
      <c r="B81" s="392">
        <f>'Sources and Uses Budget'!C81</f>
        <v>3898305.7</v>
      </c>
      <c r="C81" s="392">
        <f>SUM(C79:C80)</f>
        <v>0</v>
      </c>
      <c r="D81" s="392">
        <f>SUM(D79:D80)</f>
        <v>0</v>
      </c>
      <c r="E81" s="392">
        <f>'Sources and Uses Budget'!S81</f>
        <v>3898305.7</v>
      </c>
      <c r="F81" s="392">
        <f>SUM(F79:F80)</f>
        <v>0</v>
      </c>
      <c r="G81" s="392">
        <f>SUM(G79:G80)</f>
        <v>0</v>
      </c>
      <c r="H81" s="392">
        <f>'Sources and Uses Budget'!T81</f>
        <v>0</v>
      </c>
      <c r="I81" s="392">
        <f>SUM(I79:I80)</f>
        <v>0</v>
      </c>
      <c r="J81" s="392">
        <f>SUM(J79:J80)</f>
        <v>0</v>
      </c>
      <c r="K81" s="390"/>
    </row>
    <row r="82" spans="1:11" s="391" customFormat="1">
      <c r="A82" s="388" t="s">
        <v>773</v>
      </c>
      <c r="B82" s="389"/>
      <c r="C82" s="389"/>
      <c r="D82" s="389"/>
      <c r="E82" s="389"/>
      <c r="F82" s="389"/>
      <c r="G82" s="389"/>
      <c r="H82" s="389"/>
      <c r="I82" s="389"/>
      <c r="J82" s="389"/>
      <c r="K82" s="390"/>
    </row>
    <row r="83" spans="1:11" s="391" customFormat="1" ht="13.7" customHeight="1">
      <c r="A83" s="145" t="s">
        <v>2409</v>
      </c>
      <c r="B83" s="392">
        <f>'Sources and Uses Budget'!C83</f>
        <v>139108</v>
      </c>
      <c r="C83" s="393"/>
      <c r="D83" s="393"/>
      <c r="E83" s="394"/>
      <c r="F83" s="394"/>
      <c r="G83" s="394"/>
      <c r="H83" s="394"/>
      <c r="I83" s="394"/>
      <c r="J83" s="394"/>
      <c r="K83" s="390"/>
    </row>
    <row r="84" spans="1:11" s="391" customFormat="1">
      <c r="A84" s="145" t="s">
        <v>775</v>
      </c>
      <c r="B84" s="392">
        <f>'Sources and Uses Budget'!C84</f>
        <v>0</v>
      </c>
      <c r="C84" s="393"/>
      <c r="D84" s="393"/>
      <c r="E84" s="392">
        <f>'Sources and Uses Budget'!S84</f>
        <v>0</v>
      </c>
      <c r="F84" s="393"/>
      <c r="G84" s="393"/>
      <c r="H84" s="392">
        <f>'Sources and Uses Budget'!T84</f>
        <v>0</v>
      </c>
      <c r="I84" s="393"/>
      <c r="J84" s="393"/>
      <c r="K84" s="390"/>
    </row>
    <row r="85" spans="1:11" s="391" customFormat="1">
      <c r="A85" s="145" t="s">
        <v>776</v>
      </c>
      <c r="B85" s="392">
        <f>'Sources and Uses Budget'!C85</f>
        <v>2380393</v>
      </c>
      <c r="C85" s="393"/>
      <c r="D85" s="393"/>
      <c r="E85" s="392">
        <f>'Sources and Uses Budget'!S85</f>
        <v>2380393</v>
      </c>
      <c r="F85" s="393"/>
      <c r="G85" s="393"/>
      <c r="H85" s="392">
        <f>'Sources and Uses Budget'!T85</f>
        <v>0</v>
      </c>
      <c r="I85" s="393"/>
      <c r="J85" s="393"/>
      <c r="K85" s="390"/>
    </row>
    <row r="86" spans="1:11" s="391" customFormat="1">
      <c r="A86" s="145" t="s">
        <v>777</v>
      </c>
      <c r="B86" s="392">
        <f>'Sources and Uses Budget'!C86</f>
        <v>1240000</v>
      </c>
      <c r="C86" s="393"/>
      <c r="D86" s="393"/>
      <c r="E86" s="392">
        <f>'Sources and Uses Budget'!S86</f>
        <v>1240000</v>
      </c>
      <c r="F86" s="393"/>
      <c r="G86" s="393"/>
      <c r="H86" s="392">
        <f>'Sources and Uses Budget'!T86</f>
        <v>0</v>
      </c>
      <c r="I86" s="393"/>
      <c r="J86" s="393"/>
      <c r="K86" s="390"/>
    </row>
    <row r="87" spans="1:11" s="391" customFormat="1">
      <c r="A87" s="145" t="s">
        <v>778</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779</v>
      </c>
      <c r="B88" s="392">
        <f>'Sources and Uses Budget'!C88</f>
        <v>387000</v>
      </c>
      <c r="C88" s="393"/>
      <c r="D88" s="393"/>
      <c r="E88" s="394"/>
      <c r="F88" s="394"/>
      <c r="G88" s="394"/>
      <c r="H88" s="394"/>
      <c r="I88" s="394"/>
      <c r="J88" s="394"/>
      <c r="K88" s="390"/>
    </row>
    <row r="89" spans="1:11" s="391" customFormat="1">
      <c r="A89" s="145" t="s">
        <v>780</v>
      </c>
      <c r="B89" s="392">
        <f>'Sources and Uses Budget'!C89</f>
        <v>400000</v>
      </c>
      <c r="C89" s="393"/>
      <c r="D89" s="393"/>
      <c r="E89" s="392">
        <f>'Sources and Uses Budget'!S89</f>
        <v>400000</v>
      </c>
      <c r="F89" s="393"/>
      <c r="G89" s="393"/>
      <c r="H89" s="392">
        <f>'Sources and Uses Budget'!T89</f>
        <v>0</v>
      </c>
      <c r="I89" s="393"/>
      <c r="J89" s="393"/>
      <c r="K89" s="390"/>
    </row>
    <row r="90" spans="1:11" s="391" customFormat="1">
      <c r="A90" s="145" t="s">
        <v>781</v>
      </c>
      <c r="B90" s="392">
        <f>'Sources and Uses Budget'!C90</f>
        <v>13000</v>
      </c>
      <c r="C90" s="393"/>
      <c r="D90" s="393"/>
      <c r="E90" s="392">
        <f>'Sources and Uses Budget'!S90</f>
        <v>0</v>
      </c>
      <c r="F90" s="393"/>
      <c r="G90" s="393"/>
      <c r="H90" s="392">
        <f>'Sources and Uses Budget'!T90</f>
        <v>0</v>
      </c>
      <c r="I90" s="393"/>
      <c r="J90" s="393"/>
      <c r="K90" s="390"/>
    </row>
    <row r="91" spans="1:11" s="391" customFormat="1">
      <c r="A91" s="155" t="s">
        <v>372</v>
      </c>
      <c r="B91" s="392">
        <f>'Sources and Uses Budget'!C91</f>
        <v>0</v>
      </c>
      <c r="C91" s="393"/>
      <c r="D91" s="393"/>
      <c r="E91" s="392">
        <f>'Sources and Uses Budget'!S91</f>
        <v>0</v>
      </c>
      <c r="F91" s="393"/>
      <c r="G91" s="393"/>
      <c r="H91" s="392">
        <f>'Sources and Uses Budget'!T91</f>
        <v>0</v>
      </c>
      <c r="I91" s="393"/>
      <c r="J91" s="393"/>
      <c r="K91" s="390"/>
    </row>
    <row r="92" spans="1:11" s="391" customFormat="1">
      <c r="A92" s="542" t="s">
        <v>1315</v>
      </c>
      <c r="B92" s="392">
        <f>'Sources and Uses Budget'!C92</f>
        <v>35000</v>
      </c>
      <c r="C92" s="393"/>
      <c r="D92" s="393"/>
      <c r="E92" s="392">
        <f>'Sources and Uses Budget'!S92</f>
        <v>35000</v>
      </c>
      <c r="F92" s="393"/>
      <c r="G92" s="393"/>
      <c r="H92" s="392">
        <f>'Sources and Uses Budget'!T92</f>
        <v>0</v>
      </c>
      <c r="I92" s="393"/>
      <c r="J92" s="393"/>
      <c r="K92" s="390"/>
    </row>
    <row r="93" spans="1:11" s="391" customFormat="1">
      <c r="A93" s="395" t="str">
        <f>'Sources and Uses Budget'!$A93</f>
        <v>Special Inspections/Testiing</v>
      </c>
      <c r="B93" s="392">
        <f>'Sources and Uses Budget'!C93</f>
        <v>275000</v>
      </c>
      <c r="C93" s="393"/>
      <c r="D93" s="393"/>
      <c r="E93" s="392">
        <f>'Sources and Uses Budget'!S93</f>
        <v>275000</v>
      </c>
      <c r="F93" s="393"/>
      <c r="G93" s="393"/>
      <c r="H93" s="392">
        <f>'Sources and Uses Budget'!T93</f>
        <v>0</v>
      </c>
      <c r="I93" s="393"/>
      <c r="J93" s="393"/>
      <c r="K93" s="390"/>
    </row>
    <row r="94" spans="1:11" s="391" customFormat="1">
      <c r="A94" s="395" t="str">
        <f>'Sources and Uses Budget'!$A94</f>
        <v>Environmental Consulting</v>
      </c>
      <c r="B94" s="392">
        <f>'Sources and Uses Budget'!C94</f>
        <v>85000</v>
      </c>
      <c r="C94" s="393"/>
      <c r="D94" s="393"/>
      <c r="E94" s="392">
        <f>'Sources and Uses Budget'!S94</f>
        <v>85000</v>
      </c>
      <c r="F94" s="393"/>
      <c r="G94" s="393"/>
      <c r="H94" s="392">
        <f>'Sources and Uses Budget'!T94</f>
        <v>0</v>
      </c>
      <c r="I94" s="393"/>
      <c r="J94" s="393"/>
      <c r="K94" s="390"/>
    </row>
    <row r="95" spans="1:11" s="391" customFormat="1">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782</v>
      </c>
      <c r="B96" s="392">
        <f>'Sources and Uses Budget'!C96</f>
        <v>4954501</v>
      </c>
      <c r="C96" s="392">
        <f>SUM(C83:C95)</f>
        <v>0</v>
      </c>
      <c r="D96" s="392">
        <f>SUM(D83:D95)</f>
        <v>0</v>
      </c>
      <c r="E96" s="392">
        <f>'Sources and Uses Budget'!S96</f>
        <v>4415393</v>
      </c>
      <c r="F96" s="398">
        <f>SUM(F84:F87,F89:F95)</f>
        <v>0</v>
      </c>
      <c r="G96" s="398">
        <f>SUM(G84:G87,G89:G95)</f>
        <v>0</v>
      </c>
      <c r="H96" s="392">
        <f>'Sources and Uses Budget'!T96</f>
        <v>0</v>
      </c>
      <c r="I96" s="392">
        <f>SUM(I84:I87,I89:I95)</f>
        <v>0</v>
      </c>
      <c r="J96" s="392">
        <f>SUM(J84:J87,J89:J95)</f>
        <v>0</v>
      </c>
      <c r="K96" s="390"/>
    </row>
    <row r="97" spans="1:11" s="391" customFormat="1">
      <c r="A97" s="396" t="s">
        <v>1051</v>
      </c>
      <c r="B97" s="392">
        <f>'Sources and Uses Budget'!C97</f>
        <v>97366768</v>
      </c>
      <c r="C97" s="392">
        <f>SUM(C63+C70+C77+C81+C96)</f>
        <v>0</v>
      </c>
      <c r="D97" s="392">
        <f>SUM(D63+D70+D77+D81+D96)</f>
        <v>0</v>
      </c>
      <c r="E97" s="392">
        <f>'Sources and Uses Budget'!S97</f>
        <v>84962496.200000003</v>
      </c>
      <c r="F97" s="398">
        <f>SUM(+F63+F70+F81+F96)</f>
        <v>0</v>
      </c>
      <c r="G97" s="398">
        <f>SUM(+G63+G70+G81+G96)</f>
        <v>0</v>
      </c>
      <c r="H97" s="392">
        <f>'Sources and Uses Budget'!T97</f>
        <v>0</v>
      </c>
      <c r="I97" s="398">
        <f>SUM(I63+I70+I81+I96)</f>
        <v>0</v>
      </c>
      <c r="J97" s="398">
        <f>SUM(J63+J70+J81+J96)</f>
        <v>0</v>
      </c>
      <c r="K97" s="390"/>
    </row>
    <row r="98" spans="1:11" s="391" customFormat="1">
      <c r="A98" s="388" t="s">
        <v>784</v>
      </c>
      <c r="B98" s="389"/>
      <c r="C98" s="389"/>
      <c r="D98" s="389"/>
      <c r="E98" s="389"/>
      <c r="F98" s="389"/>
      <c r="G98" s="389"/>
      <c r="H98" s="389"/>
      <c r="I98" s="389"/>
      <c r="J98" s="389"/>
      <c r="K98" s="390"/>
    </row>
    <row r="99" spans="1:11" s="391" customFormat="1">
      <c r="A99" s="145" t="s">
        <v>785</v>
      </c>
      <c r="B99" s="392">
        <f>'Sources and Uses Budget'!C99</f>
        <v>12744374</v>
      </c>
      <c r="C99" s="393"/>
      <c r="D99" s="393"/>
      <c r="E99" s="392">
        <f>'Sources and Uses Budget'!S99</f>
        <v>12744374</v>
      </c>
      <c r="F99" s="393"/>
      <c r="G99" s="393"/>
      <c r="H99" s="392">
        <f>'Sources and Uses Budget'!T99</f>
        <v>0</v>
      </c>
      <c r="I99" s="393"/>
      <c r="J99" s="393"/>
      <c r="K99" s="390"/>
    </row>
    <row r="100" spans="1:11" s="391" customFormat="1">
      <c r="A100" s="304" t="s">
        <v>1757</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786</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1758</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787</v>
      </c>
      <c r="B104" s="392">
        <f>'Sources and Uses Budget'!C104</f>
        <v>12744374</v>
      </c>
      <c r="C104" s="392">
        <f>SUM(C99:C103)</f>
        <v>0</v>
      </c>
      <c r="D104" s="392">
        <f>SUM(D99:D103)</f>
        <v>0</v>
      </c>
      <c r="E104" s="392">
        <f>'Sources and Uses Budget'!S104</f>
        <v>12744374</v>
      </c>
      <c r="F104" s="398">
        <f>SUM(F99:F103)</f>
        <v>0</v>
      </c>
      <c r="G104" s="398">
        <f>SUM(G99:G103)</f>
        <v>0</v>
      </c>
      <c r="H104" s="392">
        <f>'Sources and Uses Budget'!T104</f>
        <v>0</v>
      </c>
      <c r="I104" s="398">
        <f>SUM(I99:I103)</f>
        <v>0</v>
      </c>
      <c r="J104" s="398">
        <f>SUM(J99:J103)</f>
        <v>0</v>
      </c>
      <c r="K104" s="390"/>
    </row>
    <row r="105" spans="1:11" s="391" customFormat="1">
      <c r="A105" s="396" t="s">
        <v>1052</v>
      </c>
      <c r="B105" s="392">
        <f>'Sources and Uses Budget'!C105</f>
        <v>110111142</v>
      </c>
      <c r="C105" s="398">
        <f>SUM(C97+C104)</f>
        <v>0</v>
      </c>
      <c r="D105" s="398">
        <f>SUM(D97+D104)</f>
        <v>0</v>
      </c>
      <c r="E105" s="392">
        <f>'Sources and Uses Budget'!S105</f>
        <v>97706870.200000003</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375</v>
      </c>
      <c r="E107" s="392">
        <f>'Sources and Uses Budget'!S107</f>
        <v>97706870.200000003</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96"/>
      <c r="E124" s="1335"/>
      <c r="F124" s="1335"/>
      <c r="G124" s="1335"/>
      <c r="H124" s="1335"/>
      <c r="I124" s="1335"/>
      <c r="J124" s="407"/>
      <c r="K124" s="390"/>
    </row>
    <row r="125" spans="1:11" s="391" customFormat="1" ht="12.75">
      <c r="A125" s="416"/>
      <c r="B125" s="415"/>
      <c r="C125" s="416"/>
      <c r="D125" s="1335"/>
      <c r="E125" s="1335"/>
      <c r="F125" s="1335"/>
      <c r="G125" s="1335"/>
      <c r="H125" s="1335"/>
      <c r="I125" s="1335"/>
      <c r="J125" s="407"/>
      <c r="K125" s="390"/>
    </row>
    <row r="126" spans="1:11" s="391" customFormat="1" ht="12.75">
      <c r="A126" s="416"/>
      <c r="B126" s="415"/>
      <c r="C126" s="416"/>
      <c r="D126" s="1335"/>
      <c r="E126" s="1335"/>
      <c r="F126" s="1335"/>
      <c r="G126" s="1335"/>
      <c r="H126" s="1335"/>
      <c r="I126" s="1335"/>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97"/>
      <c r="B139" s="1335"/>
      <c r="C139" s="1335"/>
      <c r="D139" s="387"/>
      <c r="E139" s="416"/>
      <c r="F139" s="416"/>
      <c r="G139" s="416"/>
    </row>
    <row r="140" spans="1:11" ht="12" customHeight="1">
      <c r="A140" s="1295"/>
      <c r="B140" s="1295"/>
      <c r="C140" s="1295"/>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63" zoomScale="125" zoomScaleNormal="85" workbookViewId="0">
      <selection activeCell="C332" sqref="C332:AJ336"/>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42578125" style="14" customWidth="1"/>
    <col min="19" max="19" width="3.28515625" style="14" customWidth="1"/>
    <col min="20" max="32" width="2.42578125" style="14" customWidth="1"/>
    <col min="33" max="33" width="3.42578125" style="14" customWidth="1"/>
    <col min="34" max="36" width="2.42578125" style="14" customWidth="1"/>
    <col min="37" max="37" width="5.42578125" style="14" customWidth="1"/>
    <col min="38" max="38" width="2.42578125" style="14" customWidth="1"/>
    <col min="39" max="39" width="3.42578125" style="14" customWidth="1"/>
    <col min="40" max="40" width="5.42578125" style="568" customWidth="1"/>
    <col min="41" max="41" width="5.42578125" style="30" hidden="1" customWidth="1"/>
    <col min="42" max="45" width="5.42578125" style="14" hidden="1" customWidth="1"/>
    <col min="46" max="46" width="10.85546875" style="14" hidden="1" customWidth="1"/>
    <col min="47" max="48" width="5.42578125" style="14" hidden="1" customWidth="1"/>
    <col min="49" max="49" width="8.7109375" style="14" hidden="1" customWidth="1"/>
    <col min="50" max="50" width="7.42578125" style="14" hidden="1" customWidth="1"/>
    <col min="51" max="55" width="5.42578125" style="14" hidden="1" customWidth="1"/>
    <col min="56" max="60" width="5.42578125" style="32" hidden="1" customWidth="1"/>
    <col min="61" max="81" width="5.42578125" style="14" hidden="1" customWidth="1"/>
    <col min="82" max="16384" width="9.140625" style="14" hidden="1"/>
  </cols>
  <sheetData>
    <row r="1" spans="1:42" ht="15.75" customHeight="1">
      <c r="A1" s="1933" t="s">
        <v>1409</v>
      </c>
      <c r="B1" s="1933"/>
      <c r="C1" s="1933"/>
      <c r="D1" s="1933"/>
      <c r="E1" s="1933"/>
      <c r="F1" s="1933"/>
      <c r="G1" s="1933"/>
      <c r="H1" s="1933"/>
      <c r="I1" s="1933"/>
      <c r="J1" s="1933"/>
      <c r="K1" s="1933"/>
      <c r="L1" s="1933"/>
      <c r="M1" s="1933"/>
      <c r="N1" s="1933"/>
      <c r="O1" s="1933"/>
      <c r="P1" s="1933"/>
      <c r="Q1" s="1933"/>
      <c r="R1" s="1933"/>
      <c r="S1" s="1933"/>
      <c r="T1" s="1933"/>
      <c r="U1" s="1933"/>
      <c r="V1" s="1933"/>
      <c r="W1" s="1933"/>
      <c r="X1" s="1933"/>
      <c r="Y1" s="1933"/>
      <c r="Z1" s="1933"/>
      <c r="AA1" s="1933"/>
      <c r="AB1" s="1933"/>
      <c r="AC1" s="1933"/>
      <c r="AD1" s="1933"/>
      <c r="AE1" s="1933"/>
      <c r="AF1" s="1933"/>
      <c r="AG1" s="1933"/>
      <c r="AH1" s="1933"/>
      <c r="AI1" s="1933"/>
      <c r="AJ1" s="1933"/>
      <c r="AK1" s="1933"/>
      <c r="AL1" s="1933"/>
      <c r="AM1" s="1933"/>
    </row>
    <row r="2" spans="1:42" s="570" customFormat="1" ht="12.75" customHeight="1" thickBot="1">
      <c r="A2" s="1934"/>
      <c r="B2" s="1934"/>
      <c r="C2" s="1934"/>
      <c r="D2" s="1934"/>
      <c r="E2" s="1934"/>
      <c r="F2" s="1934"/>
      <c r="G2" s="1934"/>
      <c r="H2" s="1934"/>
      <c r="I2" s="1934"/>
      <c r="J2" s="1934"/>
      <c r="K2" s="1934"/>
      <c r="L2" s="1934"/>
      <c r="M2" s="1934"/>
      <c r="N2" s="1934"/>
      <c r="O2" s="1934"/>
      <c r="P2" s="1934"/>
      <c r="Q2" s="1934"/>
      <c r="R2" s="1934"/>
      <c r="S2" s="1934"/>
      <c r="T2" s="1934"/>
      <c r="U2" s="1934"/>
      <c r="V2" s="1934"/>
      <c r="W2" s="1934"/>
      <c r="X2" s="1934"/>
      <c r="Y2" s="1934"/>
      <c r="Z2" s="1934"/>
      <c r="AA2" s="1934"/>
      <c r="AB2" s="1934"/>
      <c r="AC2" s="1934"/>
      <c r="AD2" s="1934"/>
      <c r="AE2" s="1934"/>
      <c r="AF2" s="1934"/>
      <c r="AG2" s="1934"/>
      <c r="AH2" s="1934"/>
      <c r="AI2" s="1934"/>
      <c r="AJ2" s="1934"/>
      <c r="AK2" s="1934"/>
      <c r="AL2" s="1934"/>
      <c r="AM2" s="1934"/>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1410</v>
      </c>
      <c r="B4" s="573" t="s">
        <v>1411</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1412</v>
      </c>
      <c r="B7" s="573" t="s">
        <v>1413</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17" t="s">
        <v>1414</v>
      </c>
      <c r="AF7" s="1917"/>
      <c r="AG7" s="1917"/>
      <c r="AH7" s="1917"/>
      <c r="AI7" s="1917"/>
      <c r="AJ7" s="1917"/>
      <c r="AK7" s="1917"/>
      <c r="AL7" s="574"/>
      <c r="AM7" s="574"/>
      <c r="AN7" s="569"/>
    </row>
    <row r="8" spans="1:42" s="570" customFormat="1" ht="12.75" customHeight="1">
      <c r="A8" s="572"/>
      <c r="B8" s="573" t="s">
        <v>1917</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2322</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2316</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1907" t="s">
        <v>598</v>
      </c>
      <c r="C13" s="1907"/>
      <c r="D13" s="581"/>
      <c r="E13" s="582" t="s">
        <v>1415</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1935"/>
      <c r="AH13" s="1935"/>
      <c r="AI13" s="1935"/>
      <c r="AJ13" s="1936"/>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1907" t="s">
        <v>598</v>
      </c>
      <c r="C16" s="1907"/>
      <c r="D16" s="581"/>
      <c r="E16" s="1918" t="s">
        <v>1416</v>
      </c>
      <c r="F16" s="1919"/>
      <c r="G16" s="1919"/>
      <c r="H16" s="1919"/>
      <c r="I16" s="1919"/>
      <c r="J16" s="1919"/>
      <c r="K16" s="1919"/>
      <c r="L16" s="1919"/>
      <c r="M16" s="1919"/>
      <c r="N16" s="1919"/>
      <c r="O16" s="1919"/>
      <c r="P16" s="1919"/>
      <c r="Q16" s="1919"/>
      <c r="R16" s="1919"/>
      <c r="S16" s="1919"/>
      <c r="T16" s="1919"/>
      <c r="U16" s="1919"/>
      <c r="V16" s="1919"/>
      <c r="W16" s="1919"/>
      <c r="X16" s="1919"/>
      <c r="Y16" s="1919"/>
      <c r="Z16" s="1919"/>
      <c r="AA16" s="1919"/>
      <c r="AB16" s="1919"/>
      <c r="AC16" s="1919"/>
      <c r="AD16" s="1919"/>
      <c r="AE16" s="1919"/>
      <c r="AF16" s="1919"/>
      <c r="AG16" s="1919"/>
      <c r="AH16" s="1919"/>
      <c r="AI16" s="1919"/>
      <c r="AJ16" s="1920"/>
      <c r="AK16" s="574"/>
      <c r="AL16" s="574"/>
      <c r="AM16" s="574"/>
      <c r="AN16" s="569"/>
      <c r="AO16" s="584">
        <f>IF($B25="yes",20,0)</f>
        <v>0</v>
      </c>
      <c r="AP16" s="14"/>
    </row>
    <row r="17" spans="1:42" s="570" customFormat="1" ht="12.75" customHeight="1">
      <c r="A17" s="574"/>
      <c r="B17" s="574"/>
      <c r="C17" s="574"/>
      <c r="D17" s="585"/>
      <c r="E17" s="1921"/>
      <c r="F17" s="1922"/>
      <c r="G17" s="1922"/>
      <c r="H17" s="1922"/>
      <c r="I17" s="1922"/>
      <c r="J17" s="1922"/>
      <c r="K17" s="1922"/>
      <c r="L17" s="1922"/>
      <c r="M17" s="1922"/>
      <c r="N17" s="1922"/>
      <c r="O17" s="1922"/>
      <c r="P17" s="1922"/>
      <c r="Q17" s="1922"/>
      <c r="R17" s="1922"/>
      <c r="S17" s="1922"/>
      <c r="T17" s="1922"/>
      <c r="U17" s="1922"/>
      <c r="V17" s="1922"/>
      <c r="W17" s="1922"/>
      <c r="X17" s="1922"/>
      <c r="Y17" s="1922"/>
      <c r="Z17" s="1922"/>
      <c r="AA17" s="1922"/>
      <c r="AB17" s="1922"/>
      <c r="AC17" s="1922"/>
      <c r="AD17" s="1922"/>
      <c r="AE17" s="1922"/>
      <c r="AF17" s="1922"/>
      <c r="AG17" s="1922"/>
      <c r="AH17" s="1922"/>
      <c r="AI17" s="1922"/>
      <c r="AJ17" s="1923"/>
      <c r="AK17" s="574"/>
      <c r="AL17" s="574"/>
      <c r="AM17" s="574"/>
      <c r="AN17" s="569"/>
      <c r="AO17" s="570">
        <f>IF(SUM(AO13:AO16)&gt;20,20,(SUM(AO13:AO16)))</f>
        <v>0</v>
      </c>
      <c r="AP17" s="570" t="s">
        <v>1417</v>
      </c>
    </row>
    <row r="18" spans="1:42" s="570" customFormat="1" ht="12.75" customHeight="1">
      <c r="A18" s="574"/>
      <c r="B18" s="574"/>
      <c r="C18" s="574"/>
      <c r="D18" s="585"/>
      <c r="E18" s="1921"/>
      <c r="F18" s="1922"/>
      <c r="G18" s="1922"/>
      <c r="H18" s="1922"/>
      <c r="I18" s="1922"/>
      <c r="J18" s="1922"/>
      <c r="K18" s="1922"/>
      <c r="L18" s="1922"/>
      <c r="M18" s="1922"/>
      <c r="N18" s="1922"/>
      <c r="O18" s="1922"/>
      <c r="P18" s="1922"/>
      <c r="Q18" s="1922"/>
      <c r="R18" s="1922"/>
      <c r="S18" s="1922"/>
      <c r="T18" s="1922"/>
      <c r="U18" s="1922"/>
      <c r="V18" s="1922"/>
      <c r="W18" s="1922"/>
      <c r="X18" s="1922"/>
      <c r="Y18" s="1922"/>
      <c r="Z18" s="1922"/>
      <c r="AA18" s="1922"/>
      <c r="AB18" s="1922"/>
      <c r="AC18" s="1922"/>
      <c r="AD18" s="1922"/>
      <c r="AE18" s="1922"/>
      <c r="AF18" s="1922"/>
      <c r="AG18" s="1922"/>
      <c r="AH18" s="1922"/>
      <c r="AI18" s="1922"/>
      <c r="AJ18" s="1923"/>
      <c r="AK18" s="574"/>
      <c r="AL18" s="574"/>
      <c r="AM18" s="574"/>
      <c r="AN18" s="569"/>
    </row>
    <row r="19" spans="1:42" s="570" customFormat="1" ht="12.75" customHeight="1">
      <c r="A19" s="574"/>
      <c r="B19" s="574"/>
      <c r="C19" s="574"/>
      <c r="D19" s="585"/>
      <c r="E19" s="586" t="s">
        <v>1418</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1946"/>
      <c r="F20" s="1947"/>
      <c r="G20" s="1947"/>
      <c r="H20" s="1947"/>
      <c r="I20" s="1947"/>
      <c r="J20" s="1947"/>
      <c r="K20" s="1947"/>
      <c r="L20" s="1947"/>
      <c r="M20" s="1947"/>
      <c r="N20" s="1947"/>
      <c r="O20" s="1947"/>
      <c r="P20" s="1947"/>
      <c r="Q20" s="1947"/>
      <c r="R20" s="1947"/>
      <c r="S20" s="1947"/>
      <c r="T20" s="1947"/>
      <c r="U20" s="1947"/>
      <c r="V20" s="1947"/>
      <c r="W20" s="1947"/>
      <c r="X20" s="1947"/>
      <c r="Y20" s="1947"/>
      <c r="Z20" s="1947"/>
      <c r="AA20" s="1947"/>
      <c r="AB20" s="1947"/>
      <c r="AC20" s="1947"/>
      <c r="AD20" s="1947"/>
      <c r="AE20" s="1947"/>
      <c r="AF20" s="1947"/>
      <c r="AG20" s="1947"/>
      <c r="AH20" s="1947"/>
      <c r="AI20" s="1947"/>
      <c r="AJ20" s="1948"/>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1907" t="s">
        <v>598</v>
      </c>
      <c r="C22" s="1907"/>
      <c r="D22" s="581"/>
      <c r="E22" s="1940" t="s">
        <v>1419</v>
      </c>
      <c r="F22" s="1941"/>
      <c r="G22" s="1941"/>
      <c r="H22" s="1941"/>
      <c r="I22" s="1941"/>
      <c r="J22" s="1941"/>
      <c r="K22" s="1941"/>
      <c r="L22" s="1941"/>
      <c r="M22" s="1941"/>
      <c r="N22" s="1941"/>
      <c r="O22" s="1941"/>
      <c r="P22" s="1941"/>
      <c r="Q22" s="1941"/>
      <c r="R22" s="1941"/>
      <c r="S22" s="1941"/>
      <c r="T22" s="1941"/>
      <c r="U22" s="1941"/>
      <c r="V22" s="1941"/>
      <c r="W22" s="1941"/>
      <c r="X22" s="1941"/>
      <c r="Y22" s="1941"/>
      <c r="Z22" s="1941"/>
      <c r="AA22" s="1941"/>
      <c r="AB22" s="1941"/>
      <c r="AC22" s="1941"/>
      <c r="AD22" s="1941"/>
      <c r="AE22" s="1941"/>
      <c r="AF22" s="1941"/>
      <c r="AG22" s="1941"/>
      <c r="AH22" s="1941"/>
      <c r="AI22" s="1941"/>
      <c r="AJ22" s="1942"/>
      <c r="AK22" s="574"/>
      <c r="AL22" s="574"/>
      <c r="AM22" s="574"/>
      <c r="AN22" s="569"/>
      <c r="AO22" s="570">
        <f>IF(SUM(AO20:AO21)&gt;14,14,SUM(AO20:AO21))</f>
        <v>0</v>
      </c>
      <c r="AP22" s="570" t="s">
        <v>1417</v>
      </c>
    </row>
    <row r="23" spans="1:42" s="570" customFormat="1" ht="12.75" customHeight="1">
      <c r="A23" s="574"/>
      <c r="B23" s="574"/>
      <c r="C23" s="574"/>
      <c r="D23" s="584"/>
      <c r="E23" s="1943"/>
      <c r="F23" s="1944"/>
      <c r="G23" s="1944"/>
      <c r="H23" s="1944"/>
      <c r="I23" s="1944"/>
      <c r="J23" s="1944"/>
      <c r="K23" s="1944"/>
      <c r="L23" s="1944"/>
      <c r="M23" s="1944"/>
      <c r="N23" s="1944"/>
      <c r="O23" s="1944"/>
      <c r="P23" s="1944"/>
      <c r="Q23" s="1944"/>
      <c r="R23" s="1944"/>
      <c r="S23" s="1944"/>
      <c r="T23" s="1944"/>
      <c r="U23" s="1944"/>
      <c r="V23" s="1944"/>
      <c r="W23" s="1944"/>
      <c r="X23" s="1944"/>
      <c r="Y23" s="1944"/>
      <c r="Z23" s="1944"/>
      <c r="AA23" s="1944"/>
      <c r="AB23" s="1944"/>
      <c r="AC23" s="1944"/>
      <c r="AD23" s="1944"/>
      <c r="AE23" s="1944"/>
      <c r="AF23" s="1944"/>
      <c r="AG23" s="1944"/>
      <c r="AH23" s="1944"/>
      <c r="AI23" s="1944"/>
      <c r="AJ23" s="1945"/>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1907" t="s">
        <v>598</v>
      </c>
      <c r="C25" s="1907"/>
      <c r="D25" s="581"/>
      <c r="E25" s="1908" t="s">
        <v>2346</v>
      </c>
      <c r="F25" s="1909"/>
      <c r="G25" s="1909"/>
      <c r="H25" s="1909"/>
      <c r="I25" s="1909"/>
      <c r="J25" s="1909"/>
      <c r="K25" s="1909"/>
      <c r="L25" s="1909"/>
      <c r="M25" s="1909"/>
      <c r="N25" s="1909"/>
      <c r="O25" s="1909"/>
      <c r="P25" s="1909"/>
      <c r="Q25" s="1909"/>
      <c r="R25" s="1909"/>
      <c r="S25" s="1909"/>
      <c r="T25" s="1909"/>
      <c r="U25" s="1909"/>
      <c r="V25" s="1909"/>
      <c r="W25" s="1909"/>
      <c r="X25" s="1909"/>
      <c r="Y25" s="1909"/>
      <c r="Z25" s="1909"/>
      <c r="AA25" s="1909"/>
      <c r="AB25" s="1909"/>
      <c r="AC25" s="1909"/>
      <c r="AD25" s="1909"/>
      <c r="AE25" s="1909"/>
      <c r="AF25" s="1909"/>
      <c r="AG25" s="1909"/>
      <c r="AH25" s="1909"/>
      <c r="AI25" s="1909"/>
      <c r="AJ25" s="1910"/>
      <c r="AK25" s="574"/>
      <c r="AL25" s="574"/>
      <c r="AM25" s="574"/>
      <c r="AN25" s="569"/>
      <c r="AO25" s="570">
        <f>IF(AO24&gt;6,6,AO24)</f>
        <v>0</v>
      </c>
      <c r="AP25" s="570" t="s">
        <v>1417</v>
      </c>
    </row>
    <row r="26" spans="1:42" s="570" customFormat="1" ht="12.75" customHeight="1">
      <c r="A26" s="574"/>
      <c r="B26" s="574"/>
      <c r="C26" s="574"/>
      <c r="D26" s="584"/>
      <c r="E26" s="1911"/>
      <c r="F26" s="1912"/>
      <c r="G26" s="1912"/>
      <c r="H26" s="1912"/>
      <c r="I26" s="1912"/>
      <c r="J26" s="1912"/>
      <c r="K26" s="1912"/>
      <c r="L26" s="1912"/>
      <c r="M26" s="1912"/>
      <c r="N26" s="1912"/>
      <c r="O26" s="1912"/>
      <c r="P26" s="1912"/>
      <c r="Q26" s="1912"/>
      <c r="R26" s="1912"/>
      <c r="S26" s="1912"/>
      <c r="T26" s="1912"/>
      <c r="U26" s="1912"/>
      <c r="V26" s="1912"/>
      <c r="W26" s="1912"/>
      <c r="X26" s="1912"/>
      <c r="Y26" s="1912"/>
      <c r="Z26" s="1912"/>
      <c r="AA26" s="1912"/>
      <c r="AB26" s="1912"/>
      <c r="AC26" s="1912"/>
      <c r="AD26" s="1912"/>
      <c r="AE26" s="1912"/>
      <c r="AF26" s="1912"/>
      <c r="AG26" s="1912"/>
      <c r="AH26" s="1912"/>
      <c r="AI26" s="1912"/>
      <c r="AJ26" s="1913"/>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2317</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1417</v>
      </c>
    </row>
    <row r="30" spans="1:42" s="570" customFormat="1" ht="12.75" customHeight="1">
      <c r="A30" s="574"/>
      <c r="B30" s="1907" t="s">
        <v>598</v>
      </c>
      <c r="C30" s="1907"/>
      <c r="D30" s="581"/>
      <c r="E30" s="1940" t="s">
        <v>2318</v>
      </c>
      <c r="F30" s="1941"/>
      <c r="G30" s="1941"/>
      <c r="H30" s="1941"/>
      <c r="I30" s="1941"/>
      <c r="J30" s="1941"/>
      <c r="K30" s="1941"/>
      <c r="L30" s="1941"/>
      <c r="M30" s="1941"/>
      <c r="N30" s="1941"/>
      <c r="O30" s="1941"/>
      <c r="P30" s="1941"/>
      <c r="Q30" s="1941"/>
      <c r="R30" s="1941"/>
      <c r="S30" s="1941"/>
      <c r="T30" s="1941"/>
      <c r="U30" s="1941"/>
      <c r="V30" s="1941"/>
      <c r="W30" s="1941"/>
      <c r="X30" s="1941"/>
      <c r="Y30" s="1941"/>
      <c r="Z30" s="1941"/>
      <c r="AA30" s="1941"/>
      <c r="AB30" s="1941"/>
      <c r="AC30" s="1941"/>
      <c r="AD30" s="1941"/>
      <c r="AE30" s="1941"/>
      <c r="AF30" s="1941"/>
      <c r="AG30" s="1941"/>
      <c r="AH30" s="1941"/>
      <c r="AI30" s="1941"/>
      <c r="AJ30" s="1942"/>
      <c r="AK30" s="574"/>
      <c r="AL30" s="574"/>
      <c r="AM30" s="574"/>
      <c r="AN30" s="569"/>
      <c r="AO30" s="584"/>
    </row>
    <row r="31" spans="1:42" s="570" customFormat="1" ht="12.75" customHeight="1">
      <c r="A31" s="574"/>
      <c r="B31" s="574"/>
      <c r="C31" s="574"/>
      <c r="E31" s="1943"/>
      <c r="F31" s="1944"/>
      <c r="G31" s="1944"/>
      <c r="H31" s="1944"/>
      <c r="I31" s="1944"/>
      <c r="J31" s="1944"/>
      <c r="K31" s="1944"/>
      <c r="L31" s="1944"/>
      <c r="M31" s="1944"/>
      <c r="N31" s="1944"/>
      <c r="O31" s="1944"/>
      <c r="P31" s="1944"/>
      <c r="Q31" s="1944"/>
      <c r="R31" s="1944"/>
      <c r="S31" s="1944"/>
      <c r="T31" s="1944"/>
      <c r="U31" s="1944"/>
      <c r="V31" s="1944"/>
      <c r="W31" s="1944"/>
      <c r="X31" s="1944"/>
      <c r="Y31" s="1944"/>
      <c r="Z31" s="1944"/>
      <c r="AA31" s="1944"/>
      <c r="AB31" s="1944"/>
      <c r="AC31" s="1944"/>
      <c r="AD31" s="1944"/>
      <c r="AE31" s="1944"/>
      <c r="AF31" s="1944"/>
      <c r="AG31" s="1944"/>
      <c r="AH31" s="1944"/>
      <c r="AI31" s="1944"/>
      <c r="AJ31" s="1945"/>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1907" t="s">
        <v>598</v>
      </c>
      <c r="C33" s="1907"/>
      <c r="D33" s="581"/>
      <c r="E33" s="1908" t="s">
        <v>2319</v>
      </c>
      <c r="F33" s="1909"/>
      <c r="G33" s="1909"/>
      <c r="H33" s="1909"/>
      <c r="I33" s="1909"/>
      <c r="J33" s="1909"/>
      <c r="K33" s="1909"/>
      <c r="L33" s="1909"/>
      <c r="M33" s="1909"/>
      <c r="N33" s="1909"/>
      <c r="O33" s="1909"/>
      <c r="P33" s="1909"/>
      <c r="Q33" s="1909"/>
      <c r="R33" s="1909"/>
      <c r="S33" s="1909"/>
      <c r="T33" s="1909"/>
      <c r="U33" s="1909"/>
      <c r="V33" s="1909"/>
      <c r="W33" s="1909"/>
      <c r="X33" s="1909"/>
      <c r="Y33" s="1909"/>
      <c r="Z33" s="1909"/>
      <c r="AA33" s="1909"/>
      <c r="AB33" s="1909"/>
      <c r="AC33" s="1909"/>
      <c r="AD33" s="1909"/>
      <c r="AE33" s="1909"/>
      <c r="AF33" s="1909"/>
      <c r="AG33" s="1909"/>
      <c r="AH33" s="1909"/>
      <c r="AI33" s="1909"/>
      <c r="AJ33" s="1910"/>
      <c r="AK33" s="574"/>
      <c r="AL33" s="574"/>
      <c r="AM33" s="574"/>
      <c r="AN33" s="569"/>
    </row>
    <row r="34" spans="1:41" s="570" customFormat="1" ht="12.75" customHeight="1">
      <c r="A34" s="574"/>
      <c r="B34" s="574"/>
      <c r="C34" s="574"/>
      <c r="E34" s="1914"/>
      <c r="F34" s="1915"/>
      <c r="G34" s="1915"/>
      <c r="H34" s="1915"/>
      <c r="I34" s="1915"/>
      <c r="J34" s="1915"/>
      <c r="K34" s="1915"/>
      <c r="L34" s="1915"/>
      <c r="M34" s="1915"/>
      <c r="N34" s="1915"/>
      <c r="O34" s="1915"/>
      <c r="P34" s="1915"/>
      <c r="Q34" s="1915"/>
      <c r="R34" s="1915"/>
      <c r="S34" s="1915"/>
      <c r="T34" s="1915"/>
      <c r="U34" s="1915"/>
      <c r="V34" s="1915"/>
      <c r="W34" s="1915"/>
      <c r="X34" s="1915"/>
      <c r="Y34" s="1915"/>
      <c r="Z34" s="1915"/>
      <c r="AA34" s="1915"/>
      <c r="AB34" s="1915"/>
      <c r="AC34" s="1915"/>
      <c r="AD34" s="1915"/>
      <c r="AE34" s="1915"/>
      <c r="AF34" s="1915"/>
      <c r="AG34" s="1915"/>
      <c r="AH34" s="1915"/>
      <c r="AI34" s="1915"/>
      <c r="AJ34" s="1916"/>
      <c r="AK34" s="574"/>
      <c r="AL34" s="574"/>
      <c r="AM34" s="574"/>
      <c r="AN34" s="569"/>
    </row>
    <row r="35" spans="1:41" s="570" customFormat="1" ht="12.75" customHeight="1">
      <c r="A35" s="574"/>
      <c r="B35" s="574"/>
      <c r="C35" s="574"/>
      <c r="E35" s="1911"/>
      <c r="F35" s="1912"/>
      <c r="G35" s="1912"/>
      <c r="H35" s="1912"/>
      <c r="I35" s="1912"/>
      <c r="J35" s="1912"/>
      <c r="K35" s="1912"/>
      <c r="L35" s="1912"/>
      <c r="M35" s="1912"/>
      <c r="N35" s="1912"/>
      <c r="O35" s="1912"/>
      <c r="P35" s="1912"/>
      <c r="Q35" s="1912"/>
      <c r="R35" s="1912"/>
      <c r="S35" s="1912"/>
      <c r="T35" s="1912"/>
      <c r="U35" s="1912"/>
      <c r="V35" s="1912"/>
      <c r="W35" s="1912"/>
      <c r="X35" s="1912"/>
      <c r="Y35" s="1912"/>
      <c r="Z35" s="1912"/>
      <c r="AA35" s="1912"/>
      <c r="AB35" s="1912"/>
      <c r="AC35" s="1912"/>
      <c r="AD35" s="1912"/>
      <c r="AE35" s="1912"/>
      <c r="AF35" s="1912"/>
      <c r="AG35" s="1912"/>
      <c r="AH35" s="1912"/>
      <c r="AI35" s="1912"/>
      <c r="AJ35" s="1913"/>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2321</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1907" t="s">
        <v>598</v>
      </c>
      <c r="C39" s="1907"/>
      <c r="D39" s="1186"/>
      <c r="E39" s="1908" t="s">
        <v>2320</v>
      </c>
      <c r="F39" s="1909"/>
      <c r="G39" s="1909"/>
      <c r="H39" s="1909"/>
      <c r="I39" s="1909"/>
      <c r="J39" s="1909"/>
      <c r="K39" s="1909"/>
      <c r="L39" s="1909"/>
      <c r="M39" s="1909"/>
      <c r="N39" s="1909"/>
      <c r="O39" s="1909"/>
      <c r="P39" s="1909"/>
      <c r="Q39" s="1909"/>
      <c r="R39" s="1909"/>
      <c r="S39" s="1909"/>
      <c r="T39" s="1909"/>
      <c r="U39" s="1909"/>
      <c r="V39" s="1909"/>
      <c r="W39" s="1909"/>
      <c r="X39" s="1909"/>
      <c r="Y39" s="1909"/>
      <c r="Z39" s="1909"/>
      <c r="AA39" s="1909"/>
      <c r="AB39" s="1909"/>
      <c r="AC39" s="1909"/>
      <c r="AD39" s="1909"/>
      <c r="AE39" s="1909"/>
      <c r="AF39" s="1909"/>
      <c r="AG39" s="1909"/>
      <c r="AH39" s="1909"/>
      <c r="AI39" s="1909"/>
      <c r="AJ39" s="1910"/>
      <c r="AK39" s="1186"/>
      <c r="AL39" s="574"/>
      <c r="AM39" s="574"/>
      <c r="AN39" s="569"/>
    </row>
    <row r="40" spans="1:41" s="570" customFormat="1" ht="12.75" customHeight="1">
      <c r="A40" s="574"/>
      <c r="B40" s="574"/>
      <c r="C40" s="574"/>
      <c r="E40" s="1914"/>
      <c r="F40" s="1915"/>
      <c r="G40" s="1915"/>
      <c r="H40" s="1915"/>
      <c r="I40" s="1915"/>
      <c r="J40" s="1915"/>
      <c r="K40" s="1915"/>
      <c r="L40" s="1915"/>
      <c r="M40" s="1915"/>
      <c r="N40" s="1915"/>
      <c r="O40" s="1915"/>
      <c r="P40" s="1915"/>
      <c r="Q40" s="1915"/>
      <c r="R40" s="1915"/>
      <c r="S40" s="1915"/>
      <c r="T40" s="1915"/>
      <c r="U40" s="1915"/>
      <c r="V40" s="1915"/>
      <c r="W40" s="1915"/>
      <c r="X40" s="1915"/>
      <c r="Y40" s="1915"/>
      <c r="Z40" s="1915"/>
      <c r="AA40" s="1915"/>
      <c r="AB40" s="1915"/>
      <c r="AC40" s="1915"/>
      <c r="AD40" s="1915"/>
      <c r="AE40" s="1915"/>
      <c r="AF40" s="1915"/>
      <c r="AG40" s="1915"/>
      <c r="AH40" s="1915"/>
      <c r="AI40" s="1915"/>
      <c r="AJ40" s="1916"/>
      <c r="AK40" s="574"/>
      <c r="AL40" s="574"/>
      <c r="AM40" s="574"/>
      <c r="AN40" s="569"/>
    </row>
    <row r="41" spans="1:41" s="570" customFormat="1" ht="12.75" customHeight="1">
      <c r="A41" s="574"/>
      <c r="D41" s="581"/>
      <c r="E41" s="1911"/>
      <c r="F41" s="1912"/>
      <c r="G41" s="1912"/>
      <c r="H41" s="1912"/>
      <c r="I41" s="1912"/>
      <c r="J41" s="1912"/>
      <c r="K41" s="1912"/>
      <c r="L41" s="1912"/>
      <c r="M41" s="1912"/>
      <c r="N41" s="1912"/>
      <c r="O41" s="1912"/>
      <c r="P41" s="1912"/>
      <c r="Q41" s="1912"/>
      <c r="R41" s="1912"/>
      <c r="S41" s="1912"/>
      <c r="T41" s="1912"/>
      <c r="U41" s="1912"/>
      <c r="V41" s="1912"/>
      <c r="W41" s="1912"/>
      <c r="X41" s="1912"/>
      <c r="Y41" s="1912"/>
      <c r="Z41" s="1912"/>
      <c r="AA41" s="1912"/>
      <c r="AB41" s="1912"/>
      <c r="AC41" s="1912"/>
      <c r="AD41" s="1912"/>
      <c r="AE41" s="1912"/>
      <c r="AF41" s="1912"/>
      <c r="AG41" s="1912"/>
      <c r="AH41" s="1912"/>
      <c r="AI41" s="1912"/>
      <c r="AJ41" s="1913"/>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2323</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2324</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1907" t="s">
        <v>598</v>
      </c>
      <c r="C46" s="1907"/>
      <c r="D46" s="574"/>
      <c r="E46" s="1908" t="s">
        <v>2325</v>
      </c>
      <c r="F46" s="1909"/>
      <c r="G46" s="1909"/>
      <c r="H46" s="1909"/>
      <c r="I46" s="1909"/>
      <c r="J46" s="1909"/>
      <c r="K46" s="1909"/>
      <c r="L46" s="1909"/>
      <c r="M46" s="1909"/>
      <c r="N46" s="1909"/>
      <c r="O46" s="1909"/>
      <c r="P46" s="1909"/>
      <c r="Q46" s="1909"/>
      <c r="R46" s="1909"/>
      <c r="S46" s="1909"/>
      <c r="T46" s="1909"/>
      <c r="U46" s="1909"/>
      <c r="V46" s="1909"/>
      <c r="W46" s="1909"/>
      <c r="X46" s="1909"/>
      <c r="Y46" s="1909"/>
      <c r="Z46" s="1909"/>
      <c r="AA46" s="1909"/>
      <c r="AB46" s="1909"/>
      <c r="AC46" s="1909"/>
      <c r="AD46" s="1909"/>
      <c r="AE46" s="1909"/>
      <c r="AF46" s="1909"/>
      <c r="AG46" s="1909"/>
      <c r="AH46" s="1909"/>
      <c r="AI46" s="1909"/>
      <c r="AJ46" s="1910"/>
      <c r="AK46" s="574"/>
      <c r="AL46" s="574"/>
      <c r="AM46" s="574"/>
      <c r="AN46" s="569"/>
      <c r="AO46" s="593"/>
    </row>
    <row r="47" spans="1:41" s="570" customFormat="1" ht="12.75" customHeight="1">
      <c r="A47" s="574"/>
      <c r="D47" s="581"/>
      <c r="E47" s="1914"/>
      <c r="F47" s="1915"/>
      <c r="G47" s="1915"/>
      <c r="H47" s="1915"/>
      <c r="I47" s="1915"/>
      <c r="J47" s="1915"/>
      <c r="K47" s="1915"/>
      <c r="L47" s="1915"/>
      <c r="M47" s="1915"/>
      <c r="N47" s="1915"/>
      <c r="O47" s="1915"/>
      <c r="P47" s="1915"/>
      <c r="Q47" s="1915"/>
      <c r="R47" s="1915"/>
      <c r="S47" s="1915"/>
      <c r="T47" s="1915"/>
      <c r="U47" s="1915"/>
      <c r="V47" s="1915"/>
      <c r="W47" s="1915"/>
      <c r="X47" s="1915"/>
      <c r="Y47" s="1915"/>
      <c r="Z47" s="1915"/>
      <c r="AA47" s="1915"/>
      <c r="AB47" s="1915"/>
      <c r="AC47" s="1915"/>
      <c r="AD47" s="1915"/>
      <c r="AE47" s="1915"/>
      <c r="AF47" s="1915"/>
      <c r="AG47" s="1915"/>
      <c r="AH47" s="1915"/>
      <c r="AI47" s="1915"/>
      <c r="AJ47" s="1916"/>
      <c r="AK47" s="574"/>
      <c r="AL47" s="574"/>
      <c r="AM47" s="574"/>
      <c r="AN47" s="569"/>
      <c r="AO47" s="593"/>
    </row>
    <row r="48" spans="1:41" s="570" customFormat="1" ht="12.75" customHeight="1">
      <c r="A48" s="574"/>
      <c r="D48" s="574"/>
      <c r="E48" s="1911"/>
      <c r="F48" s="1912"/>
      <c r="G48" s="1912"/>
      <c r="H48" s="1912"/>
      <c r="I48" s="1912"/>
      <c r="J48" s="1912"/>
      <c r="K48" s="1912"/>
      <c r="L48" s="1912"/>
      <c r="M48" s="1912"/>
      <c r="N48" s="1912"/>
      <c r="O48" s="1912"/>
      <c r="P48" s="1912"/>
      <c r="Q48" s="1912"/>
      <c r="R48" s="1912"/>
      <c r="S48" s="1912"/>
      <c r="T48" s="1912"/>
      <c r="U48" s="1912"/>
      <c r="V48" s="1912"/>
      <c r="W48" s="1912"/>
      <c r="X48" s="1912"/>
      <c r="Y48" s="1912"/>
      <c r="Z48" s="1912"/>
      <c r="AA48" s="1912"/>
      <c r="AB48" s="1912"/>
      <c r="AC48" s="1912"/>
      <c r="AD48" s="1912"/>
      <c r="AE48" s="1912"/>
      <c r="AF48" s="1912"/>
      <c r="AG48" s="1912"/>
      <c r="AH48" s="1912"/>
      <c r="AI48" s="1912"/>
      <c r="AJ48" s="1913"/>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1907" t="s">
        <v>598</v>
      </c>
      <c r="C50" s="1907"/>
      <c r="D50" s="574"/>
      <c r="E50" s="1928" t="s">
        <v>2326</v>
      </c>
      <c r="F50" s="1929"/>
      <c r="G50" s="1929"/>
      <c r="H50" s="1929"/>
      <c r="I50" s="1929"/>
      <c r="J50" s="1929"/>
      <c r="K50" s="1929"/>
      <c r="L50" s="1929"/>
      <c r="M50" s="1929"/>
      <c r="N50" s="1929"/>
      <c r="O50" s="1929"/>
      <c r="P50" s="1929"/>
      <c r="Q50" s="1929"/>
      <c r="R50" s="1929"/>
      <c r="S50" s="1929"/>
      <c r="T50" s="1929"/>
      <c r="U50" s="1929"/>
      <c r="V50" s="1929"/>
      <c r="W50" s="1929"/>
      <c r="X50" s="1929"/>
      <c r="Y50" s="1929"/>
      <c r="Z50" s="1929"/>
      <c r="AA50" s="1929"/>
      <c r="AB50" s="1929"/>
      <c r="AC50" s="1929"/>
      <c r="AD50" s="1929"/>
      <c r="AE50" s="1929"/>
      <c r="AF50" s="1929"/>
      <c r="AG50" s="1929"/>
      <c r="AH50" s="1929"/>
      <c r="AI50" s="1929"/>
      <c r="AJ50" s="1930"/>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1907" t="s">
        <v>598</v>
      </c>
      <c r="C52" s="1907"/>
      <c r="D52" s="574"/>
      <c r="E52" s="1908" t="s">
        <v>2327</v>
      </c>
      <c r="F52" s="1909"/>
      <c r="G52" s="1909"/>
      <c r="H52" s="1909"/>
      <c r="I52" s="1909"/>
      <c r="J52" s="1909"/>
      <c r="K52" s="1909"/>
      <c r="L52" s="1909"/>
      <c r="M52" s="1909"/>
      <c r="N52" s="1909"/>
      <c r="O52" s="1909"/>
      <c r="P52" s="1909"/>
      <c r="Q52" s="1909"/>
      <c r="R52" s="1909"/>
      <c r="S52" s="1909"/>
      <c r="T52" s="1909"/>
      <c r="U52" s="1909"/>
      <c r="V52" s="1909"/>
      <c r="W52" s="1909"/>
      <c r="X52" s="1909"/>
      <c r="Y52" s="1909"/>
      <c r="Z52" s="1909"/>
      <c r="AA52" s="1909"/>
      <c r="AB52" s="1909"/>
      <c r="AC52" s="1909"/>
      <c r="AD52" s="1909"/>
      <c r="AE52" s="1909"/>
      <c r="AF52" s="1909"/>
      <c r="AG52" s="1909"/>
      <c r="AH52" s="1909"/>
      <c r="AI52" s="1909"/>
      <c r="AJ52" s="1910"/>
      <c r="AK52" s="574"/>
      <c r="AL52" s="574"/>
      <c r="AM52" s="574"/>
      <c r="AN52" s="569"/>
    </row>
    <row r="53" spans="1:50" s="570" customFormat="1" ht="12.75" customHeight="1">
      <c r="A53" s="574"/>
      <c r="B53" s="581"/>
      <c r="C53" s="581"/>
      <c r="D53" s="581"/>
      <c r="E53" s="1911"/>
      <c r="F53" s="1912"/>
      <c r="G53" s="1912"/>
      <c r="H53" s="1912"/>
      <c r="I53" s="1912"/>
      <c r="J53" s="1912"/>
      <c r="K53" s="1912"/>
      <c r="L53" s="1912"/>
      <c r="M53" s="1912"/>
      <c r="N53" s="1912"/>
      <c r="O53" s="1912"/>
      <c r="P53" s="1912"/>
      <c r="Q53" s="1912"/>
      <c r="R53" s="1912"/>
      <c r="S53" s="1912"/>
      <c r="T53" s="1912"/>
      <c r="U53" s="1912"/>
      <c r="V53" s="1912"/>
      <c r="W53" s="1912"/>
      <c r="X53" s="1912"/>
      <c r="Y53" s="1912"/>
      <c r="Z53" s="1912"/>
      <c r="AA53" s="1912"/>
      <c r="AB53" s="1912"/>
      <c r="AC53" s="1912"/>
      <c r="AD53" s="1912"/>
      <c r="AE53" s="1912"/>
      <c r="AF53" s="1912"/>
      <c r="AG53" s="1912"/>
      <c r="AH53" s="1912"/>
      <c r="AI53" s="1912"/>
      <c r="AJ53" s="1913"/>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1420</v>
      </c>
      <c r="AK56" s="1937">
        <f>AO36</f>
        <v>0</v>
      </c>
      <c r="AL56" s="1938"/>
      <c r="AM56" s="1939"/>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1421</v>
      </c>
      <c r="B59" s="573" t="s">
        <v>1422</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17" t="s">
        <v>1423</v>
      </c>
      <c r="AF59" s="1917"/>
      <c r="AG59" s="1917"/>
      <c r="AH59" s="1917"/>
      <c r="AI59" s="1917"/>
      <c r="AJ59" s="1917"/>
      <c r="AK59" s="1917"/>
      <c r="AL59" s="574"/>
      <c r="AM59" s="574"/>
      <c r="AN59" s="569"/>
    </row>
    <row r="60" spans="1:50" s="570" customFormat="1" ht="12.75" customHeight="1">
      <c r="A60" s="572"/>
      <c r="B60" s="573" t="s">
        <v>1916</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1907" t="s">
        <v>552</v>
      </c>
      <c r="C62" s="1907"/>
      <c r="D62" s="581" t="s">
        <v>1424</v>
      </c>
      <c r="E62" s="1918" t="s">
        <v>2328</v>
      </c>
      <c r="F62" s="1919"/>
      <c r="G62" s="1919"/>
      <c r="H62" s="1919"/>
      <c r="I62" s="1919"/>
      <c r="J62" s="1919"/>
      <c r="K62" s="1919"/>
      <c r="L62" s="1919"/>
      <c r="M62" s="1919"/>
      <c r="N62" s="1919"/>
      <c r="O62" s="1919"/>
      <c r="P62" s="1919"/>
      <c r="Q62" s="1919"/>
      <c r="R62" s="1919"/>
      <c r="S62" s="1919"/>
      <c r="T62" s="1919"/>
      <c r="U62" s="1919"/>
      <c r="V62" s="1919"/>
      <c r="W62" s="1919"/>
      <c r="X62" s="1919"/>
      <c r="Y62" s="1919"/>
      <c r="Z62" s="1919"/>
      <c r="AA62" s="1919"/>
      <c r="AB62" s="1919"/>
      <c r="AC62" s="1919"/>
      <c r="AD62" s="1919"/>
      <c r="AE62" s="1919"/>
      <c r="AF62" s="1919"/>
      <c r="AG62" s="1919"/>
      <c r="AH62" s="1919"/>
      <c r="AI62" s="1919"/>
      <c r="AJ62" s="1920"/>
      <c r="AK62" s="577"/>
      <c r="AL62" s="574"/>
      <c r="AM62" s="574"/>
      <c r="AN62" s="569"/>
      <c r="AO62" s="584">
        <f>IF($B62="yes",10,0)</f>
        <v>10</v>
      </c>
    </row>
    <row r="63" spans="1:50" s="570" customFormat="1" ht="12.75" customHeight="1">
      <c r="A63" s="572"/>
      <c r="B63" s="574"/>
      <c r="C63" s="574"/>
      <c r="D63" s="585"/>
      <c r="E63" s="1921"/>
      <c r="F63" s="1922"/>
      <c r="G63" s="1922"/>
      <c r="H63" s="1922"/>
      <c r="I63" s="1922"/>
      <c r="J63" s="1922"/>
      <c r="K63" s="1922"/>
      <c r="L63" s="1922"/>
      <c r="M63" s="1922"/>
      <c r="N63" s="1922"/>
      <c r="O63" s="1922"/>
      <c r="P63" s="1922"/>
      <c r="Q63" s="1922"/>
      <c r="R63" s="1922"/>
      <c r="S63" s="1922"/>
      <c r="T63" s="1922"/>
      <c r="U63" s="1922"/>
      <c r="V63" s="1922"/>
      <c r="W63" s="1922"/>
      <c r="X63" s="1922"/>
      <c r="Y63" s="1922"/>
      <c r="Z63" s="1922"/>
      <c r="AA63" s="1922"/>
      <c r="AB63" s="1922"/>
      <c r="AC63" s="1922"/>
      <c r="AD63" s="1922"/>
      <c r="AE63" s="1922"/>
      <c r="AF63" s="1922"/>
      <c r="AG63" s="1922"/>
      <c r="AH63" s="1922"/>
      <c r="AI63" s="1922"/>
      <c r="AJ63" s="1923"/>
      <c r="AK63" s="577"/>
      <c r="AL63" s="574"/>
      <c r="AM63" s="574"/>
      <c r="AN63" s="569"/>
      <c r="AO63" s="584">
        <f>IF($B68="yes",10,0)</f>
        <v>0</v>
      </c>
    </row>
    <row r="64" spans="1:50" s="570" customFormat="1" ht="12.75" customHeight="1">
      <c r="A64" s="572"/>
      <c r="B64" s="574"/>
      <c r="C64" s="574"/>
      <c r="D64" s="585"/>
      <c r="E64" s="1921"/>
      <c r="F64" s="1922"/>
      <c r="G64" s="1922"/>
      <c r="H64" s="1922"/>
      <c r="I64" s="1922"/>
      <c r="J64" s="1922"/>
      <c r="K64" s="1922"/>
      <c r="L64" s="1922"/>
      <c r="M64" s="1922"/>
      <c r="N64" s="1922"/>
      <c r="O64" s="1922"/>
      <c r="P64" s="1922"/>
      <c r="Q64" s="1922"/>
      <c r="R64" s="1922"/>
      <c r="S64" s="1922"/>
      <c r="T64" s="1922"/>
      <c r="U64" s="1922"/>
      <c r="V64" s="1922"/>
      <c r="W64" s="1922"/>
      <c r="X64" s="1922"/>
      <c r="Y64" s="1922"/>
      <c r="Z64" s="1922"/>
      <c r="AA64" s="1922"/>
      <c r="AB64" s="1922"/>
      <c r="AC64" s="1922"/>
      <c r="AD64" s="1922"/>
      <c r="AE64" s="1922"/>
      <c r="AF64" s="1922"/>
      <c r="AG64" s="1922"/>
      <c r="AH64" s="1922"/>
      <c r="AI64" s="1922"/>
      <c r="AJ64" s="1923"/>
      <c r="AK64" s="577"/>
      <c r="AL64" s="574"/>
      <c r="AM64" s="574"/>
      <c r="AN64" s="569"/>
      <c r="AO64" s="584">
        <f>IF($B75="yes",10,0)</f>
        <v>0</v>
      </c>
    </row>
    <row r="65" spans="1:42" s="570" customFormat="1" ht="12.75" customHeight="1">
      <c r="A65" s="572"/>
      <c r="B65" s="574"/>
      <c r="C65" s="574"/>
      <c r="D65" s="585"/>
      <c r="E65" s="1921"/>
      <c r="F65" s="1922"/>
      <c r="G65" s="1922"/>
      <c r="H65" s="1922"/>
      <c r="I65" s="1922"/>
      <c r="J65" s="1922"/>
      <c r="K65" s="1922"/>
      <c r="L65" s="1922"/>
      <c r="M65" s="1922"/>
      <c r="N65" s="1922"/>
      <c r="O65" s="1922"/>
      <c r="P65" s="1922"/>
      <c r="Q65" s="1922"/>
      <c r="R65" s="1922"/>
      <c r="S65" s="1922"/>
      <c r="T65" s="1922"/>
      <c r="U65" s="1922"/>
      <c r="V65" s="1922"/>
      <c r="W65" s="1922"/>
      <c r="X65" s="1922"/>
      <c r="Y65" s="1922"/>
      <c r="Z65" s="1922"/>
      <c r="AA65" s="1922"/>
      <c r="AB65" s="1922"/>
      <c r="AC65" s="1922"/>
      <c r="AD65" s="1922"/>
      <c r="AE65" s="1922"/>
      <c r="AF65" s="1922"/>
      <c r="AG65" s="1922"/>
      <c r="AH65" s="1922"/>
      <c r="AI65" s="1922"/>
      <c r="AJ65" s="1923"/>
      <c r="AK65" s="577"/>
      <c r="AL65" s="574"/>
      <c r="AM65" s="574"/>
      <c r="AN65" s="569"/>
      <c r="AO65" s="570">
        <f>IF(SUM(AO62:AO64)&gt;10,10,(SUM(AO62:AO64)))</f>
        <v>10</v>
      </c>
      <c r="AP65" s="608" t="s">
        <v>1425</v>
      </c>
    </row>
    <row r="66" spans="1:42" s="570" customFormat="1" ht="12.75" customHeight="1">
      <c r="A66" s="572"/>
      <c r="B66" s="574"/>
      <c r="C66" s="574"/>
      <c r="D66" s="585"/>
      <c r="E66" s="1924"/>
      <c r="F66" s="1925"/>
      <c r="G66" s="1925"/>
      <c r="H66" s="1925"/>
      <c r="I66" s="1925"/>
      <c r="J66" s="1925"/>
      <c r="K66" s="1925"/>
      <c r="L66" s="1925"/>
      <c r="M66" s="1925"/>
      <c r="N66" s="1925"/>
      <c r="O66" s="1925"/>
      <c r="P66" s="1925"/>
      <c r="Q66" s="1925"/>
      <c r="R66" s="1925"/>
      <c r="S66" s="1925"/>
      <c r="T66" s="1925"/>
      <c r="U66" s="1925"/>
      <c r="V66" s="1925"/>
      <c r="W66" s="1925"/>
      <c r="X66" s="1925"/>
      <c r="Y66" s="1925"/>
      <c r="Z66" s="1925"/>
      <c r="AA66" s="1925"/>
      <c r="AB66" s="1925"/>
      <c r="AC66" s="1925"/>
      <c r="AD66" s="1925"/>
      <c r="AE66" s="1925"/>
      <c r="AF66" s="1925"/>
      <c r="AG66" s="1925"/>
      <c r="AH66" s="1925"/>
      <c r="AI66" s="1925"/>
      <c r="AJ66" s="1926"/>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1907" t="s">
        <v>598</v>
      </c>
      <c r="C68" s="1907"/>
      <c r="D68" s="581" t="s">
        <v>1426</v>
      </c>
      <c r="E68" s="1006" t="s">
        <v>1912</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1927" t="s">
        <v>598</v>
      </c>
      <c r="F69" s="1907"/>
      <c r="G69" s="609"/>
      <c r="H69" s="592" t="s">
        <v>1427</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1905" t="s">
        <v>598</v>
      </c>
      <c r="F70" s="1906"/>
      <c r="G70" s="609"/>
      <c r="H70" s="592" t="s">
        <v>1428</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1905" t="s">
        <v>598</v>
      </c>
      <c r="F71" s="1906"/>
      <c r="G71" s="609"/>
      <c r="H71" s="592" t="s">
        <v>1927</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1927" t="s">
        <v>598</v>
      </c>
      <c r="F73" s="1907"/>
      <c r="G73" s="941"/>
      <c r="H73" s="1011" t="s">
        <v>1926</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1907" t="s">
        <v>598</v>
      </c>
      <c r="C75" s="1907"/>
      <c r="D75" s="581" t="s">
        <v>1429</v>
      </c>
      <c r="E75" s="1908" t="s">
        <v>1928</v>
      </c>
      <c r="F75" s="1909"/>
      <c r="G75" s="1909"/>
      <c r="H75" s="1909"/>
      <c r="I75" s="1909"/>
      <c r="J75" s="1909"/>
      <c r="K75" s="1909"/>
      <c r="L75" s="1909"/>
      <c r="M75" s="1909"/>
      <c r="N75" s="1909"/>
      <c r="O75" s="1909"/>
      <c r="P75" s="1909"/>
      <c r="Q75" s="1909"/>
      <c r="R75" s="1909"/>
      <c r="S75" s="1909"/>
      <c r="T75" s="1909"/>
      <c r="U75" s="1909"/>
      <c r="V75" s="1909"/>
      <c r="W75" s="1909"/>
      <c r="X75" s="1909"/>
      <c r="Y75" s="1909"/>
      <c r="Z75" s="1909"/>
      <c r="AA75" s="1909"/>
      <c r="AB75" s="1909"/>
      <c r="AC75" s="1909"/>
      <c r="AD75" s="1909"/>
      <c r="AE75" s="1909"/>
      <c r="AF75" s="1909"/>
      <c r="AG75" s="1909"/>
      <c r="AH75" s="1909"/>
      <c r="AI75" s="1909"/>
      <c r="AJ75" s="1910"/>
      <c r="AK75" s="577"/>
      <c r="AL75" s="574"/>
      <c r="AM75" s="574"/>
      <c r="AN75" s="569"/>
    </row>
    <row r="76" spans="1:42" s="570" customFormat="1" ht="12.75" customHeight="1">
      <c r="A76" s="572"/>
      <c r="B76" s="574"/>
      <c r="C76" s="574"/>
      <c r="D76" s="584"/>
      <c r="E76" s="1911"/>
      <c r="F76" s="1912"/>
      <c r="G76" s="1912"/>
      <c r="H76" s="1912"/>
      <c r="I76" s="1912"/>
      <c r="J76" s="1912"/>
      <c r="K76" s="1912"/>
      <c r="L76" s="1912"/>
      <c r="M76" s="1912"/>
      <c r="N76" s="1912"/>
      <c r="O76" s="1912"/>
      <c r="P76" s="1912"/>
      <c r="Q76" s="1912"/>
      <c r="R76" s="1912"/>
      <c r="S76" s="1912"/>
      <c r="T76" s="1912"/>
      <c r="U76" s="1912"/>
      <c r="V76" s="1912"/>
      <c r="W76" s="1912"/>
      <c r="X76" s="1912"/>
      <c r="Y76" s="1912"/>
      <c r="Z76" s="1912"/>
      <c r="AA76" s="1912"/>
      <c r="AB76" s="1912"/>
      <c r="AC76" s="1912"/>
      <c r="AD76" s="1912"/>
      <c r="AE76" s="1912"/>
      <c r="AF76" s="1912"/>
      <c r="AG76" s="1912"/>
      <c r="AH76" s="1912"/>
      <c r="AI76" s="1912"/>
      <c r="AJ76" s="1913"/>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1430</v>
      </c>
      <c r="AK78" s="1937">
        <f>IF(AK56&gt;0,0,AO65)</f>
        <v>10</v>
      </c>
      <c r="AL78" s="1938"/>
      <c r="AM78" s="1939"/>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1431</v>
      </c>
      <c r="B81" s="573" t="s">
        <v>1432</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17" t="s">
        <v>1414</v>
      </c>
      <c r="AF81" s="1917"/>
      <c r="AG81" s="1917"/>
      <c r="AH81" s="1917"/>
      <c r="AI81" s="1917"/>
      <c r="AJ81" s="1917"/>
      <c r="AK81" s="1917"/>
      <c r="AL81" s="574"/>
      <c r="AM81" s="574"/>
      <c r="AN81" s="569"/>
    </row>
    <row r="82" spans="1:43" s="570" customFormat="1" ht="12.75" customHeight="1">
      <c r="A82" s="572"/>
      <c r="B82" s="573" t="s">
        <v>1433</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1907" t="s">
        <v>598</v>
      </c>
      <c r="C84" s="1907"/>
      <c r="D84" s="581" t="s">
        <v>1424</v>
      </c>
      <c r="E84" s="1918" t="s">
        <v>1434</v>
      </c>
      <c r="F84" s="1919"/>
      <c r="G84" s="1919"/>
      <c r="H84" s="1919"/>
      <c r="I84" s="1919"/>
      <c r="J84" s="1919"/>
      <c r="K84" s="1919"/>
      <c r="L84" s="1919"/>
      <c r="M84" s="1919"/>
      <c r="N84" s="1919"/>
      <c r="O84" s="1919"/>
      <c r="P84" s="1919"/>
      <c r="Q84" s="1919"/>
      <c r="R84" s="1919"/>
      <c r="S84" s="1919"/>
      <c r="T84" s="1919"/>
      <c r="U84" s="1919"/>
      <c r="V84" s="1919"/>
      <c r="W84" s="1919"/>
      <c r="X84" s="1919"/>
      <c r="Y84" s="1919"/>
      <c r="Z84" s="1919"/>
      <c r="AA84" s="1919"/>
      <c r="AB84" s="1919"/>
      <c r="AC84" s="1919"/>
      <c r="AD84" s="1919"/>
      <c r="AE84" s="1919"/>
      <c r="AF84" s="1919"/>
      <c r="AG84" s="1919"/>
      <c r="AH84" s="1919"/>
      <c r="AI84" s="1919"/>
      <c r="AJ84" s="1920"/>
      <c r="AK84" s="577"/>
      <c r="AL84" s="574"/>
      <c r="AM84" s="574"/>
      <c r="AN84" s="569"/>
    </row>
    <row r="85" spans="1:43" s="570" customFormat="1" ht="12.75" customHeight="1">
      <c r="A85" s="572"/>
      <c r="B85" s="573"/>
      <c r="C85" s="573"/>
      <c r="D85" s="573"/>
      <c r="E85" s="1921"/>
      <c r="F85" s="1922"/>
      <c r="G85" s="1922"/>
      <c r="H85" s="1922"/>
      <c r="I85" s="1922"/>
      <c r="J85" s="1922"/>
      <c r="K85" s="1922"/>
      <c r="L85" s="1922"/>
      <c r="M85" s="1922"/>
      <c r="N85" s="1922"/>
      <c r="O85" s="1922"/>
      <c r="P85" s="1922"/>
      <c r="Q85" s="1922"/>
      <c r="R85" s="1922"/>
      <c r="S85" s="1922"/>
      <c r="T85" s="1922"/>
      <c r="U85" s="1922"/>
      <c r="V85" s="1922"/>
      <c r="W85" s="1922"/>
      <c r="X85" s="1922"/>
      <c r="Y85" s="1922"/>
      <c r="Z85" s="1922"/>
      <c r="AA85" s="1922"/>
      <c r="AB85" s="1922"/>
      <c r="AC85" s="1922"/>
      <c r="AD85" s="1922"/>
      <c r="AE85" s="1922"/>
      <c r="AF85" s="1922"/>
      <c r="AG85" s="1922"/>
      <c r="AH85" s="1922"/>
      <c r="AI85" s="1922"/>
      <c r="AJ85" s="1923"/>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1901">
        <f>Application!AC753</f>
        <v>0.49024390243902444</v>
      </c>
      <c r="F87" s="1902"/>
      <c r="G87" s="1902"/>
      <c r="H87" s="1902"/>
      <c r="I87" s="611"/>
      <c r="J87" s="614" t="s">
        <v>1435</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1903">
        <f>0.6-ROUNDUP(E87,2)</f>
        <v>9.9999999999999978E-2</v>
      </c>
      <c r="F88" s="1904"/>
      <c r="G88" s="1904"/>
      <c r="H88" s="1904"/>
      <c r="I88" s="611"/>
      <c r="J88" s="614" t="s">
        <v>1436</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1931">
        <f>IF(E88*200&gt;20,20,E88*200)</f>
        <v>19.999999999999996</v>
      </c>
      <c r="F89" s="1932"/>
      <c r="G89" s="1932"/>
      <c r="H89" s="1932"/>
      <c r="I89" s="611"/>
      <c r="J89" s="614" t="s">
        <v>1437</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1417</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1907" t="s">
        <v>552</v>
      </c>
      <c r="C92" s="1907"/>
      <c r="D92" s="581" t="s">
        <v>1426</v>
      </c>
      <c r="E92" s="1918" t="s">
        <v>1913</v>
      </c>
      <c r="F92" s="1919"/>
      <c r="G92" s="1919"/>
      <c r="H92" s="1919"/>
      <c r="I92" s="1919"/>
      <c r="J92" s="1919"/>
      <c r="K92" s="1919"/>
      <c r="L92" s="1919"/>
      <c r="M92" s="1919"/>
      <c r="N92" s="1919"/>
      <c r="O92" s="1919"/>
      <c r="P92" s="1919"/>
      <c r="Q92" s="1919"/>
      <c r="R92" s="1919"/>
      <c r="S92" s="1919"/>
      <c r="T92" s="1919"/>
      <c r="U92" s="1919"/>
      <c r="V92" s="1919"/>
      <c r="W92" s="1919"/>
      <c r="X92" s="1919"/>
      <c r="Y92" s="1919"/>
      <c r="Z92" s="1919"/>
      <c r="AA92" s="1919"/>
      <c r="AB92" s="1919"/>
      <c r="AC92" s="1919"/>
      <c r="AD92" s="1919"/>
      <c r="AE92" s="1919"/>
      <c r="AF92" s="1919"/>
      <c r="AG92" s="1919"/>
      <c r="AH92" s="1919"/>
      <c r="AI92" s="1919"/>
      <c r="AJ92" s="1920"/>
      <c r="AK92" s="577"/>
      <c r="AL92" s="574"/>
      <c r="AM92" s="574"/>
      <c r="AN92" s="569"/>
    </row>
    <row r="93" spans="1:43" s="570" customFormat="1" ht="12.75" customHeight="1">
      <c r="A93" s="572"/>
      <c r="B93" s="573"/>
      <c r="C93" s="573"/>
      <c r="D93" s="573"/>
      <c r="E93" s="1921"/>
      <c r="F93" s="1922"/>
      <c r="G93" s="1922"/>
      <c r="H93" s="1922"/>
      <c r="I93" s="1922"/>
      <c r="J93" s="1922"/>
      <c r="K93" s="1922"/>
      <c r="L93" s="1922"/>
      <c r="M93" s="1922"/>
      <c r="N93" s="1922"/>
      <c r="O93" s="1922"/>
      <c r="P93" s="1922"/>
      <c r="Q93" s="1922"/>
      <c r="R93" s="1922"/>
      <c r="S93" s="1922"/>
      <c r="T93" s="1922"/>
      <c r="U93" s="1922"/>
      <c r="V93" s="1922"/>
      <c r="W93" s="1922"/>
      <c r="X93" s="1922"/>
      <c r="Y93" s="1922"/>
      <c r="Z93" s="1922"/>
      <c r="AA93" s="1922"/>
      <c r="AB93" s="1922"/>
      <c r="AC93" s="1922"/>
      <c r="AD93" s="1922"/>
      <c r="AE93" s="1922"/>
      <c r="AF93" s="1922"/>
      <c r="AG93" s="1922"/>
      <c r="AH93" s="1922"/>
      <c r="AI93" s="1922"/>
      <c r="AJ93" s="1923"/>
      <c r="AK93" s="577"/>
      <c r="AL93" s="574"/>
      <c r="AM93" s="574"/>
      <c r="AN93" s="569"/>
    </row>
    <row r="94" spans="1:43" s="570" customFormat="1" ht="12.75" customHeight="1">
      <c r="A94" s="572"/>
      <c r="B94" s="573"/>
      <c r="C94" s="573"/>
      <c r="D94" s="573"/>
      <c r="E94" s="1921"/>
      <c r="F94" s="1922"/>
      <c r="G94" s="1922"/>
      <c r="H94" s="1922"/>
      <c r="I94" s="1922"/>
      <c r="J94" s="1922"/>
      <c r="K94" s="1922"/>
      <c r="L94" s="1922"/>
      <c r="M94" s="1922"/>
      <c r="N94" s="1922"/>
      <c r="O94" s="1922"/>
      <c r="P94" s="1922"/>
      <c r="Q94" s="1922"/>
      <c r="R94" s="1922"/>
      <c r="S94" s="1922"/>
      <c r="T94" s="1922"/>
      <c r="U94" s="1922"/>
      <c r="V94" s="1922"/>
      <c r="W94" s="1922"/>
      <c r="X94" s="1922"/>
      <c r="Y94" s="1922"/>
      <c r="Z94" s="1922"/>
      <c r="AA94" s="1922"/>
      <c r="AB94" s="1922"/>
      <c r="AC94" s="1922"/>
      <c r="AD94" s="1922"/>
      <c r="AE94" s="1922"/>
      <c r="AF94" s="1922"/>
      <c r="AG94" s="1922"/>
      <c r="AH94" s="1922"/>
      <c r="AI94" s="1922"/>
      <c r="AJ94" s="1923"/>
      <c r="AK94" s="577"/>
      <c r="AL94" s="574"/>
      <c r="AM94" s="574"/>
      <c r="AN94" s="569"/>
    </row>
    <row r="95" spans="1:43" s="570" customFormat="1" ht="12.75" customHeight="1">
      <c r="A95" s="572"/>
      <c r="B95" s="573"/>
      <c r="C95" s="573"/>
      <c r="D95" s="573"/>
      <c r="E95" s="1921"/>
      <c r="F95" s="1922"/>
      <c r="G95" s="1922"/>
      <c r="H95" s="1922"/>
      <c r="I95" s="1922"/>
      <c r="J95" s="1922"/>
      <c r="K95" s="1922"/>
      <c r="L95" s="1922"/>
      <c r="M95" s="1922"/>
      <c r="N95" s="1922"/>
      <c r="O95" s="1922"/>
      <c r="P95" s="1922"/>
      <c r="Q95" s="1922"/>
      <c r="R95" s="1922"/>
      <c r="S95" s="1922"/>
      <c r="T95" s="1922"/>
      <c r="U95" s="1922"/>
      <c r="V95" s="1922"/>
      <c r="W95" s="1922"/>
      <c r="X95" s="1922"/>
      <c r="Y95" s="1922"/>
      <c r="Z95" s="1922"/>
      <c r="AA95" s="1922"/>
      <c r="AB95" s="1922"/>
      <c r="AC95" s="1922"/>
      <c r="AD95" s="1922"/>
      <c r="AE95" s="1922"/>
      <c r="AF95" s="1922"/>
      <c r="AG95" s="1922"/>
      <c r="AH95" s="1922"/>
      <c r="AI95" s="1922"/>
      <c r="AJ95" s="1923"/>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1901">
        <f>Application!AC753</f>
        <v>0.49024390243902444</v>
      </c>
      <c r="F97" s="1902"/>
      <c r="G97" s="1902"/>
      <c r="H97" s="1902"/>
      <c r="I97" s="611"/>
      <c r="J97" s="614" t="s">
        <v>1435</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1901">
        <f ca="1">SUMIF(Application!AC718:AG752,0.2,Application!G718:J752)/Application!G753+SUMIF(Application!AC718:AG752,0.25,Application!G718:J752)/Application!G753+SUMIF(Application!AC718:AG752,0.3,Application!G718:J752)/Application!G753</f>
        <v>0.15447154471544716</v>
      </c>
      <c r="F98" s="1902"/>
      <c r="G98" s="1902"/>
      <c r="H98" s="1902"/>
      <c r="I98" s="611"/>
      <c r="J98" s="614" t="s">
        <v>1438</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1901">
        <f ca="1">SUMIF(Application!AC718:AG752,0.35,Application!G718:J752)/Application!G753+SUMIF(Application!AC718:AG752,0.4,Application!G718:J752)/Application!G753+SUMIF(Application!AC718:AG752,0.45,Application!G718:J752)/Application!G753+SUMIF(Application!AC718:AG752,0.5,Application!G718:J752)/Application!G753</f>
        <v>0.47967479674796748</v>
      </c>
      <c r="F99" s="1902"/>
      <c r="G99" s="1902"/>
      <c r="H99" s="1902"/>
      <c r="I99" s="611"/>
      <c r="J99" s="614" t="s">
        <v>1439</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1956">
        <f ca="1">IF(AND(E97&lt;=0.6,E98&gt;=0.1,OR(E99&gt;=0.1,E98&gt;=0.2)),20,0)</f>
        <v>20</v>
      </c>
      <c r="F100" s="1957"/>
      <c r="G100" s="1957"/>
      <c r="H100" s="1957"/>
      <c r="I100" s="587"/>
      <c r="J100" s="621" t="s">
        <v>1437</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1417</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1440</v>
      </c>
      <c r="AK103" s="1937">
        <f ca="1">MAX(AP89,AP100)</f>
        <v>20</v>
      </c>
      <c r="AL103" s="1938"/>
      <c r="AM103" s="1939"/>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1441</v>
      </c>
      <c r="B106" s="573" t="s">
        <v>1442</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17" t="s">
        <v>1423</v>
      </c>
      <c r="AF106" s="1917"/>
      <c r="AG106" s="1917"/>
      <c r="AH106" s="1917"/>
      <c r="AI106" s="1917"/>
      <c r="AJ106" s="1917"/>
      <c r="AK106" s="1917"/>
      <c r="AL106" s="574"/>
      <c r="AM106" s="574"/>
      <c r="AN106" s="569"/>
      <c r="AO106" s="570" t="str">
        <f>Application!B718</f>
        <v>SRO/Studio</v>
      </c>
      <c r="AQ106" s="570">
        <f>Application!O718</f>
        <v>780</v>
      </c>
    </row>
    <row r="107" spans="1:49" s="570" customFormat="1" ht="12.75" customHeight="1">
      <c r="A107" s="574"/>
      <c r="B107" s="573" t="s">
        <v>1433</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SRO/Studio</v>
      </c>
      <c r="AQ107" s="570">
        <f>Application!O719</f>
        <v>1069</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SRO/Studio</v>
      </c>
      <c r="AQ108" s="570">
        <f>Application!O720</f>
        <v>1357</v>
      </c>
    </row>
    <row r="109" spans="1:49" s="570" customFormat="1" ht="12.75" customHeight="1">
      <c r="A109" s="574"/>
      <c r="B109" s="1907" t="s">
        <v>552</v>
      </c>
      <c r="C109" s="1907"/>
      <c r="D109" s="581" t="s">
        <v>1424</v>
      </c>
      <c r="E109" s="1918" t="s">
        <v>2047</v>
      </c>
      <c r="F109" s="1919"/>
      <c r="G109" s="1919"/>
      <c r="H109" s="1919"/>
      <c r="I109" s="1919"/>
      <c r="J109" s="1919"/>
      <c r="K109" s="1919"/>
      <c r="L109" s="1919"/>
      <c r="M109" s="1919"/>
      <c r="N109" s="1919"/>
      <c r="O109" s="1919"/>
      <c r="P109" s="1919"/>
      <c r="Q109" s="1919"/>
      <c r="R109" s="1919"/>
      <c r="S109" s="1919"/>
      <c r="T109" s="1919"/>
      <c r="U109" s="1919"/>
      <c r="V109" s="1919"/>
      <c r="W109" s="1919"/>
      <c r="X109" s="1919"/>
      <c r="Y109" s="1919"/>
      <c r="Z109" s="1919"/>
      <c r="AA109" s="1919"/>
      <c r="AB109" s="1919"/>
      <c r="AC109" s="1919"/>
      <c r="AD109" s="1919"/>
      <c r="AE109" s="1919"/>
      <c r="AF109" s="1919"/>
      <c r="AG109" s="1919"/>
      <c r="AH109" s="1919"/>
      <c r="AI109" s="1919"/>
      <c r="AJ109" s="1920"/>
      <c r="AK109" s="574"/>
      <c r="AL109" s="574"/>
      <c r="AM109" s="574"/>
      <c r="AN109" s="569"/>
      <c r="AO109" s="570" t="str">
        <f>Application!B721</f>
        <v>SRO/Studio</v>
      </c>
      <c r="AQ109" s="570">
        <f>Application!O721</f>
        <v>1645</v>
      </c>
      <c r="AU109" s="570" t="s">
        <v>2029</v>
      </c>
      <c r="AV109" s="629" t="s">
        <v>2030</v>
      </c>
      <c r="AW109" s="570" t="s">
        <v>2031</v>
      </c>
    </row>
    <row r="110" spans="1:49" s="570" customFormat="1" ht="12.75" customHeight="1">
      <c r="A110" s="574"/>
      <c r="B110" s="573"/>
      <c r="C110" s="573"/>
      <c r="D110" s="573"/>
      <c r="E110" s="1921"/>
      <c r="F110" s="1922"/>
      <c r="G110" s="1922"/>
      <c r="H110" s="1922"/>
      <c r="I110" s="1922"/>
      <c r="J110" s="1922"/>
      <c r="K110" s="1922"/>
      <c r="L110" s="1922"/>
      <c r="M110" s="1922"/>
      <c r="N110" s="1922"/>
      <c r="O110" s="1922"/>
      <c r="P110" s="1922"/>
      <c r="Q110" s="1922"/>
      <c r="R110" s="1922"/>
      <c r="S110" s="1922"/>
      <c r="T110" s="1922"/>
      <c r="U110" s="1922"/>
      <c r="V110" s="1922"/>
      <c r="W110" s="1922"/>
      <c r="X110" s="1922"/>
      <c r="Y110" s="1922"/>
      <c r="Z110" s="1922"/>
      <c r="AA110" s="1922"/>
      <c r="AB110" s="1922"/>
      <c r="AC110" s="1922"/>
      <c r="AD110" s="1922"/>
      <c r="AE110" s="1922"/>
      <c r="AF110" s="1922"/>
      <c r="AG110" s="1922"/>
      <c r="AH110" s="1922"/>
      <c r="AI110" s="1922"/>
      <c r="AJ110" s="1923"/>
      <c r="AK110" s="574"/>
      <c r="AL110" s="574"/>
      <c r="AM110" s="574"/>
      <c r="AN110" s="569"/>
      <c r="AO110" s="570" t="str">
        <f>Application!B722</f>
        <v>1 Bedroom</v>
      </c>
      <c r="AQ110" s="570">
        <f>Application!O722</f>
        <v>826</v>
      </c>
      <c r="AU110" s="890" t="str">
        <f>E118</f>
        <v>Studio/SRO</v>
      </c>
      <c r="AV110" s="570">
        <f t="array" ref="AV110">SUM(IF(Application!B718:F752="SRO/Studio",Application!G718:J752))</f>
        <v>11</v>
      </c>
      <c r="AW110" s="1046">
        <f>AV110/AV116</f>
        <v>8.943089430894309E-2</v>
      </c>
    </row>
    <row r="111" spans="1:49" s="570" customFormat="1" ht="12.75" customHeight="1">
      <c r="A111" s="574"/>
      <c r="B111" s="573"/>
      <c r="C111" s="573"/>
      <c r="D111" s="573"/>
      <c r="E111" s="1921"/>
      <c r="F111" s="1922"/>
      <c r="G111" s="1922"/>
      <c r="H111" s="1922"/>
      <c r="I111" s="1922"/>
      <c r="J111" s="1922"/>
      <c r="K111" s="1922"/>
      <c r="L111" s="1922"/>
      <c r="M111" s="1922"/>
      <c r="N111" s="1922"/>
      <c r="O111" s="1922"/>
      <c r="P111" s="1922"/>
      <c r="Q111" s="1922"/>
      <c r="R111" s="1922"/>
      <c r="S111" s="1922"/>
      <c r="T111" s="1922"/>
      <c r="U111" s="1922"/>
      <c r="V111" s="1922"/>
      <c r="W111" s="1922"/>
      <c r="X111" s="1922"/>
      <c r="Y111" s="1922"/>
      <c r="Z111" s="1922"/>
      <c r="AA111" s="1922"/>
      <c r="AB111" s="1922"/>
      <c r="AC111" s="1922"/>
      <c r="AD111" s="1922"/>
      <c r="AE111" s="1922"/>
      <c r="AF111" s="1922"/>
      <c r="AG111" s="1922"/>
      <c r="AH111" s="1922"/>
      <c r="AI111" s="1922"/>
      <c r="AJ111" s="1923"/>
      <c r="AK111" s="574"/>
      <c r="AL111" s="574"/>
      <c r="AM111" s="574"/>
      <c r="AN111" s="569"/>
      <c r="AO111" s="570" t="str">
        <f>Application!B723</f>
        <v>1 Bedroom</v>
      </c>
      <c r="AQ111" s="570">
        <f>Application!O723</f>
        <v>1135</v>
      </c>
      <c r="AU111" s="890" t="str">
        <f>J118</f>
        <v>1-bedroom</v>
      </c>
      <c r="AV111" s="570">
        <f t="array" ref="AV111">SUM(IF(Application!B718:F752="1 Bedroom",Application!G718:J752))</f>
        <v>50</v>
      </c>
      <c r="AW111" s="1046">
        <f>AV111/AV116</f>
        <v>0.4065040650406504</v>
      </c>
    </row>
    <row r="112" spans="1:49" s="570" customFormat="1" ht="12.75" customHeight="1">
      <c r="A112" s="574"/>
      <c r="B112" s="573"/>
      <c r="C112" s="573"/>
      <c r="D112" s="573"/>
      <c r="E112" s="1921"/>
      <c r="F112" s="1922"/>
      <c r="G112" s="1922"/>
      <c r="H112" s="1922"/>
      <c r="I112" s="1922"/>
      <c r="J112" s="1922"/>
      <c r="K112" s="1922"/>
      <c r="L112" s="1922"/>
      <c r="M112" s="1922"/>
      <c r="N112" s="1922"/>
      <c r="O112" s="1922"/>
      <c r="P112" s="1922"/>
      <c r="Q112" s="1922"/>
      <c r="R112" s="1922"/>
      <c r="S112" s="1922"/>
      <c r="T112" s="1922"/>
      <c r="U112" s="1922"/>
      <c r="V112" s="1922"/>
      <c r="W112" s="1922"/>
      <c r="X112" s="1922"/>
      <c r="Y112" s="1922"/>
      <c r="Z112" s="1922"/>
      <c r="AA112" s="1922"/>
      <c r="AB112" s="1922"/>
      <c r="AC112" s="1922"/>
      <c r="AD112" s="1922"/>
      <c r="AE112" s="1922"/>
      <c r="AF112" s="1922"/>
      <c r="AG112" s="1922"/>
      <c r="AH112" s="1922"/>
      <c r="AI112" s="1922"/>
      <c r="AJ112" s="1923"/>
      <c r="AK112" s="574"/>
      <c r="AL112" s="574"/>
      <c r="AM112" s="574"/>
      <c r="AN112" s="569"/>
      <c r="AO112" s="570" t="str">
        <f>Application!B724</f>
        <v>1 Bedroom</v>
      </c>
      <c r="AQ112" s="570">
        <f>Application!O724</f>
        <v>1135</v>
      </c>
      <c r="AU112" s="890" t="str">
        <f>O118</f>
        <v>2-bedroom</v>
      </c>
      <c r="AV112" s="570">
        <f t="array" ref="AV112">SUM(IF(Application!B718:F752="2 Bedrooms",Application!G718:J752))</f>
        <v>31</v>
      </c>
      <c r="AW112" s="1046">
        <f>AV112/AV116</f>
        <v>0.25203252032520324</v>
      </c>
    </row>
    <row r="113" spans="1:52" s="570" customFormat="1" ht="12.75" customHeight="1">
      <c r="A113" s="574"/>
      <c r="B113" s="573"/>
      <c r="C113" s="573"/>
      <c r="D113" s="573"/>
      <c r="E113" s="1921"/>
      <c r="F113" s="1922"/>
      <c r="G113" s="1922"/>
      <c r="H113" s="1922"/>
      <c r="I113" s="1922"/>
      <c r="J113" s="1922"/>
      <c r="K113" s="1922"/>
      <c r="L113" s="1922"/>
      <c r="M113" s="1922"/>
      <c r="N113" s="1922"/>
      <c r="O113" s="1922"/>
      <c r="P113" s="1922"/>
      <c r="Q113" s="1922"/>
      <c r="R113" s="1922"/>
      <c r="S113" s="1922"/>
      <c r="T113" s="1922"/>
      <c r="U113" s="1922"/>
      <c r="V113" s="1922"/>
      <c r="W113" s="1922"/>
      <c r="X113" s="1922"/>
      <c r="Y113" s="1922"/>
      <c r="Z113" s="1922"/>
      <c r="AA113" s="1922"/>
      <c r="AB113" s="1922"/>
      <c r="AC113" s="1922"/>
      <c r="AD113" s="1922"/>
      <c r="AE113" s="1922"/>
      <c r="AF113" s="1922"/>
      <c r="AG113" s="1922"/>
      <c r="AH113" s="1922"/>
      <c r="AI113" s="1922"/>
      <c r="AJ113" s="1923"/>
      <c r="AK113" s="574"/>
      <c r="AL113" s="574"/>
      <c r="AM113" s="574"/>
      <c r="AN113" s="569"/>
      <c r="AO113" s="570" t="str">
        <f>Application!B725</f>
        <v>1 Bedroom</v>
      </c>
      <c r="AQ113" s="570">
        <f>Application!O725</f>
        <v>1444</v>
      </c>
      <c r="AU113" s="890" t="str">
        <f>T118</f>
        <v>3-bedroom</v>
      </c>
      <c r="AV113" s="570">
        <f t="array" ref="AV113">SUM(IF(Application!B718:F752="3 Bedrooms",Application!G718:J752))</f>
        <v>31</v>
      </c>
      <c r="AW113" s="1046">
        <f>AV113/AV116</f>
        <v>0.25203252032520324</v>
      </c>
    </row>
    <row r="114" spans="1:52" s="570" customFormat="1" ht="12.75" customHeight="1">
      <c r="A114" s="574"/>
      <c r="B114" s="573"/>
      <c r="C114" s="573"/>
      <c r="D114" s="573"/>
      <c r="E114" s="1921"/>
      <c r="F114" s="1922"/>
      <c r="G114" s="1922"/>
      <c r="H114" s="1922"/>
      <c r="I114" s="1922"/>
      <c r="J114" s="1922"/>
      <c r="K114" s="1922"/>
      <c r="L114" s="1922"/>
      <c r="M114" s="1922"/>
      <c r="N114" s="1922"/>
      <c r="O114" s="1922"/>
      <c r="P114" s="1922"/>
      <c r="Q114" s="1922"/>
      <c r="R114" s="1922"/>
      <c r="S114" s="1922"/>
      <c r="T114" s="1922"/>
      <c r="U114" s="1922"/>
      <c r="V114" s="1922"/>
      <c r="W114" s="1922"/>
      <c r="X114" s="1922"/>
      <c r="Y114" s="1922"/>
      <c r="Z114" s="1922"/>
      <c r="AA114" s="1922"/>
      <c r="AB114" s="1922"/>
      <c r="AC114" s="1922"/>
      <c r="AD114" s="1922"/>
      <c r="AE114" s="1922"/>
      <c r="AF114" s="1922"/>
      <c r="AG114" s="1922"/>
      <c r="AH114" s="1922"/>
      <c r="AI114" s="1922"/>
      <c r="AJ114" s="1923"/>
      <c r="AK114" s="574"/>
      <c r="AL114" s="574"/>
      <c r="AM114" s="574"/>
      <c r="AN114" s="569"/>
      <c r="AO114" s="570" t="str">
        <f>Application!B726</f>
        <v>1 Bedroom</v>
      </c>
      <c r="AQ114" s="570">
        <f>Application!O726</f>
        <v>1753</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1921"/>
      <c r="F115" s="1922"/>
      <c r="G115" s="1922"/>
      <c r="H115" s="1922"/>
      <c r="I115" s="1922"/>
      <c r="J115" s="1922"/>
      <c r="K115" s="1922"/>
      <c r="L115" s="1922"/>
      <c r="M115" s="1922"/>
      <c r="N115" s="1922"/>
      <c r="O115" s="1922"/>
      <c r="P115" s="1922"/>
      <c r="Q115" s="1922"/>
      <c r="R115" s="1922"/>
      <c r="S115" s="1922"/>
      <c r="T115" s="1922"/>
      <c r="U115" s="1922"/>
      <c r="V115" s="1922"/>
      <c r="W115" s="1922"/>
      <c r="X115" s="1922"/>
      <c r="Y115" s="1922"/>
      <c r="Z115" s="1922"/>
      <c r="AA115" s="1922"/>
      <c r="AB115" s="1922"/>
      <c r="AC115" s="1922"/>
      <c r="AD115" s="1922"/>
      <c r="AE115" s="1922"/>
      <c r="AF115" s="1922"/>
      <c r="AG115" s="1922"/>
      <c r="AH115" s="1922"/>
      <c r="AI115" s="1922"/>
      <c r="AJ115" s="1923"/>
      <c r="AK115" s="574"/>
      <c r="AL115" s="574"/>
      <c r="AM115" s="574"/>
      <c r="AN115" s="569"/>
      <c r="AO115" s="570" t="str">
        <f>Application!B727</f>
        <v>2 Bedrooms</v>
      </c>
      <c r="AQ115" s="570">
        <f>Application!O727</f>
        <v>975</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1921"/>
      <c r="F116" s="1922"/>
      <c r="G116" s="1922"/>
      <c r="H116" s="1922"/>
      <c r="I116" s="1922"/>
      <c r="J116" s="1922"/>
      <c r="K116" s="1922"/>
      <c r="L116" s="1922"/>
      <c r="M116" s="1922"/>
      <c r="N116" s="1922"/>
      <c r="O116" s="1922"/>
      <c r="P116" s="1922"/>
      <c r="Q116" s="1922"/>
      <c r="R116" s="1922"/>
      <c r="S116" s="1922"/>
      <c r="T116" s="1922"/>
      <c r="U116" s="1922"/>
      <c r="V116" s="1922"/>
      <c r="W116" s="1922"/>
      <c r="X116" s="1922"/>
      <c r="Y116" s="1922"/>
      <c r="Z116" s="1922"/>
      <c r="AA116" s="1922"/>
      <c r="AB116" s="1922"/>
      <c r="AC116" s="1922"/>
      <c r="AD116" s="1922"/>
      <c r="AE116" s="1922"/>
      <c r="AF116" s="1922"/>
      <c r="AG116" s="1922"/>
      <c r="AH116" s="1922"/>
      <c r="AI116" s="1922"/>
      <c r="AJ116" s="1923"/>
      <c r="AK116" s="574"/>
      <c r="AL116" s="574"/>
      <c r="AM116" s="574"/>
      <c r="AN116" s="569"/>
      <c r="AO116" s="570" t="str">
        <f>Application!B728</f>
        <v>2 Bedrooms</v>
      </c>
      <c r="AQ116" s="570">
        <f>Application!O728</f>
        <v>1346</v>
      </c>
      <c r="AV116" s="570">
        <f>SUM(AV110:AV115)</f>
        <v>123</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t="str">
        <f>Application!B729</f>
        <v>2 Bedrooms</v>
      </c>
      <c r="AQ117" s="570">
        <f>Application!O729</f>
        <v>1346</v>
      </c>
    </row>
    <row r="118" spans="1:52" s="570" customFormat="1" ht="12.75" customHeight="1">
      <c r="A118" s="574"/>
      <c r="B118" s="573"/>
      <c r="C118" s="574"/>
      <c r="D118" s="574"/>
      <c r="E118" s="1901" t="s">
        <v>1698</v>
      </c>
      <c r="F118" s="1902"/>
      <c r="G118" s="1902"/>
      <c r="H118" s="1902"/>
      <c r="I118" s="611"/>
      <c r="J118" s="1902" t="s">
        <v>1742</v>
      </c>
      <c r="K118" s="1902"/>
      <c r="L118" s="1902"/>
      <c r="M118" s="1902"/>
      <c r="N118" s="611"/>
      <c r="O118" s="1902" t="s">
        <v>1743</v>
      </c>
      <c r="P118" s="1902"/>
      <c r="Q118" s="1902"/>
      <c r="R118" s="1902"/>
      <c r="S118" s="611"/>
      <c r="T118" s="1902" t="s">
        <v>1443</v>
      </c>
      <c r="U118" s="1902"/>
      <c r="V118" s="1902"/>
      <c r="W118" s="1902"/>
      <c r="X118" s="611"/>
      <c r="Y118" s="1902" t="s">
        <v>1744</v>
      </c>
      <c r="Z118" s="1902"/>
      <c r="AA118" s="1902"/>
      <c r="AB118" s="1902"/>
      <c r="AC118" s="611"/>
      <c r="AD118" s="1902" t="s">
        <v>1745</v>
      </c>
      <c r="AE118" s="1902"/>
      <c r="AF118" s="1902"/>
      <c r="AG118" s="1902"/>
      <c r="AH118" s="611"/>
      <c r="AI118" s="611"/>
      <c r="AJ118" s="613"/>
      <c r="AK118" s="574"/>
      <c r="AL118" s="574"/>
      <c r="AM118" s="574"/>
      <c r="AN118" s="569"/>
      <c r="AO118" s="570" t="str">
        <f>Application!B730</f>
        <v>2 Bedrooms</v>
      </c>
      <c r="AQ118" s="570">
        <f>Application!O730</f>
        <v>1716</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t="str">
        <f>Application!B731</f>
        <v>2 Bedrooms</v>
      </c>
      <c r="AQ119" s="570">
        <f>Application!O731</f>
        <v>2087</v>
      </c>
    </row>
    <row r="120" spans="1:52" s="570" customFormat="1" ht="12.75" customHeight="1">
      <c r="A120" s="574"/>
      <c r="B120" s="573"/>
      <c r="C120" s="574"/>
      <c r="D120" s="574"/>
      <c r="E120" s="900" t="s">
        <v>1746</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t="str">
        <f>Application!B732</f>
        <v>3 Bedrooms</v>
      </c>
      <c r="AQ120" s="570">
        <f>Application!O732</f>
        <v>1107</v>
      </c>
    </row>
    <row r="121" spans="1:52" s="570" customFormat="1" ht="12.75" customHeight="1">
      <c r="A121" s="574"/>
      <c r="B121" s="573"/>
      <c r="C121" s="574"/>
      <c r="D121" s="574"/>
      <c r="E121" s="1958">
        <v>3117</v>
      </c>
      <c r="F121" s="1959"/>
      <c r="G121" s="1959"/>
      <c r="H121" s="1959"/>
      <c r="I121" s="898"/>
      <c r="J121" s="1959">
        <v>3223</v>
      </c>
      <c r="K121" s="1959"/>
      <c r="L121" s="1959"/>
      <c r="M121" s="1959"/>
      <c r="N121" s="898"/>
      <c r="O121" s="1959">
        <v>4098</v>
      </c>
      <c r="P121" s="1959"/>
      <c r="Q121" s="1959"/>
      <c r="R121" s="1959"/>
      <c r="S121" s="898"/>
      <c r="T121" s="1959">
        <v>4906</v>
      </c>
      <c r="U121" s="1959"/>
      <c r="V121" s="1959"/>
      <c r="W121" s="1959"/>
      <c r="X121" s="898"/>
      <c r="Y121" s="1959"/>
      <c r="Z121" s="1959"/>
      <c r="AA121" s="1959"/>
      <c r="AB121" s="1959"/>
      <c r="AC121" s="898"/>
      <c r="AD121" s="1959"/>
      <c r="AE121" s="1959"/>
      <c r="AF121" s="1959"/>
      <c r="AG121" s="1959"/>
      <c r="AH121" s="611"/>
      <c r="AI121" s="611"/>
      <c r="AJ121" s="613"/>
      <c r="AK121" s="574"/>
      <c r="AL121" s="574"/>
      <c r="AM121" s="574"/>
      <c r="AN121" s="569"/>
      <c r="AO121" s="570" t="str">
        <f>Application!B733</f>
        <v>3 Bedrooms</v>
      </c>
      <c r="AQ121" s="570">
        <f>Application!O733</f>
        <v>1536</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t="str">
        <f>Application!B734</f>
        <v>3 Bedrooms</v>
      </c>
      <c r="AQ122" s="570">
        <f>Application!O734</f>
        <v>1536</v>
      </c>
      <c r="AU122" s="1044"/>
      <c r="AV122" s="1044"/>
      <c r="AW122" s="1044"/>
      <c r="AX122" s="1044"/>
      <c r="AY122" s="1044"/>
      <c r="AZ122" s="1044"/>
    </row>
    <row r="123" spans="1:52" s="570" customFormat="1" ht="12.75" customHeight="1">
      <c r="A123" s="574"/>
      <c r="B123" s="573"/>
      <c r="C123" s="574"/>
      <c r="D123" s="574"/>
      <c r="E123" s="900" t="s">
        <v>2033</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t="str">
        <f>Application!B735</f>
        <v>3 Bedrooms</v>
      </c>
      <c r="AQ123" s="570">
        <f>Application!O735</f>
        <v>1964</v>
      </c>
      <c r="AU123" s="1044"/>
      <c r="AV123" s="1044"/>
      <c r="AW123" s="1044"/>
      <c r="AX123" s="1044"/>
      <c r="AY123" s="1044"/>
      <c r="AZ123" s="1044"/>
    </row>
    <row r="124" spans="1:52" s="570" customFormat="1" ht="12.75" customHeight="1">
      <c r="A124" s="574"/>
      <c r="B124" s="573"/>
      <c r="C124" s="574"/>
      <c r="D124" s="574"/>
      <c r="E124" s="1951">
        <f>Application!DX670</f>
        <v>1409.2727272727275</v>
      </c>
      <c r="F124" s="1952"/>
      <c r="G124" s="1952"/>
      <c r="H124" s="1952"/>
      <c r="I124" s="898"/>
      <c r="J124" s="1952">
        <f>Application!EC670</f>
        <v>1382.2</v>
      </c>
      <c r="K124" s="1952"/>
      <c r="L124" s="1952"/>
      <c r="M124" s="1952"/>
      <c r="N124" s="898"/>
      <c r="O124" s="1952">
        <f>Application!EH670</f>
        <v>1692.3548387096776</v>
      </c>
      <c r="P124" s="1952"/>
      <c r="Q124" s="1952"/>
      <c r="R124" s="1952"/>
      <c r="S124" s="902"/>
      <c r="T124" s="1952">
        <f>Application!EM670</f>
        <v>1936.2258064516127</v>
      </c>
      <c r="U124" s="1952"/>
      <c r="V124" s="1952"/>
      <c r="W124" s="1952"/>
      <c r="X124" s="902"/>
      <c r="Y124" s="1952">
        <f>Application!ER670</f>
        <v>0</v>
      </c>
      <c r="Z124" s="1952"/>
      <c r="AA124" s="1952"/>
      <c r="AB124" s="1952"/>
      <c r="AC124" s="902"/>
      <c r="AD124" s="1952">
        <f>Application!EW670</f>
        <v>0</v>
      </c>
      <c r="AE124" s="1952"/>
      <c r="AF124" s="1952"/>
      <c r="AG124" s="1952"/>
      <c r="AH124" s="611"/>
      <c r="AI124" s="611"/>
      <c r="AJ124" s="613"/>
      <c r="AK124" s="574"/>
      <c r="AL124" s="574"/>
      <c r="AM124" s="574"/>
      <c r="AN124" s="569"/>
      <c r="AO124" s="570" t="str">
        <f>Application!B736</f>
        <v>3 Bedrooms</v>
      </c>
      <c r="AQ124" s="570">
        <f>Application!O736</f>
        <v>2392</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2034</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2148">
        <f>(E121-E124)/E121</f>
        <v>0.54787528801003293</v>
      </c>
      <c r="F127" s="1904"/>
      <c r="G127" s="1904"/>
      <c r="H127" s="2149"/>
      <c r="I127" s="611"/>
      <c r="J127" s="2148">
        <f>(J121-J124)/J121</f>
        <v>0.57114489605957186</v>
      </c>
      <c r="K127" s="1904"/>
      <c r="L127" s="1904"/>
      <c r="M127" s="2149"/>
      <c r="N127" s="611"/>
      <c r="O127" s="2148">
        <f>(O121-O124)/O121</f>
        <v>0.58702907791369507</v>
      </c>
      <c r="P127" s="1904"/>
      <c r="Q127" s="1904"/>
      <c r="R127" s="2149"/>
      <c r="S127" s="611"/>
      <c r="T127" s="2148">
        <f>(T121-T124)/T121</f>
        <v>0.60533513932906391</v>
      </c>
      <c r="U127" s="1904"/>
      <c r="V127" s="1904"/>
      <c r="W127" s="2149"/>
      <c r="X127" s="611"/>
      <c r="Y127" s="2148" t="e">
        <f>(Y121-Y124)/Y121</f>
        <v>#DIV/0!</v>
      </c>
      <c r="Z127" s="1904"/>
      <c r="AA127" s="1904"/>
      <c r="AB127" s="2149"/>
      <c r="AC127" s="611"/>
      <c r="AD127" s="2148" t="e">
        <f>(AD121-AD124)/AD121</f>
        <v>#DIV/0!</v>
      </c>
      <c r="AE127" s="1904"/>
      <c r="AF127" s="1904"/>
      <c r="AG127" s="2149"/>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2035</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1953">
        <f>IF(((E127-0.1)*AW110)&gt;0,((E127-0.1)*AW110),0)</f>
        <v>4.0053887545612704E-2</v>
      </c>
      <c r="F130" s="1954"/>
      <c r="G130" s="1954"/>
      <c r="H130" s="1955"/>
      <c r="I130" s="611"/>
      <c r="J130" s="1953">
        <f>IF(((J127-0.1)*AW111)&gt;0,((J127-0.1)*AW111),0)</f>
        <v>0.19152231547137069</v>
      </c>
      <c r="K130" s="1954"/>
      <c r="L130" s="1954"/>
      <c r="M130" s="1955"/>
      <c r="N130" s="611"/>
      <c r="O130" s="1953">
        <f>IF(((O127-0.1)*AW112)&gt;0,((O127-0.1)*AW112),0)</f>
        <v>0.12274716597824835</v>
      </c>
      <c r="P130" s="1954"/>
      <c r="Q130" s="1954"/>
      <c r="R130" s="1955"/>
      <c r="S130" s="611"/>
      <c r="T130" s="1953">
        <f>IF(((T127-0.1)*AW113)&gt;0,((T127-0.1)*AW113),0)</f>
        <v>0.12736088877399171</v>
      </c>
      <c r="U130" s="1954"/>
      <c r="V130" s="1954"/>
      <c r="W130" s="1955"/>
      <c r="X130" s="611"/>
      <c r="Y130" s="1953" t="e">
        <f>IF(((Y127-0.1)*AW114)&gt;0,((Y127-0.1)*AW114),0)</f>
        <v>#DIV/0!</v>
      </c>
      <c r="Z130" s="1954"/>
      <c r="AA130" s="1954"/>
      <c r="AB130" s="1955"/>
      <c r="AC130" s="611"/>
      <c r="AD130" s="1953" t="e">
        <f>IF(((AD127-0.1)*AW115)&gt;0,((AD127-0.1)*AW115),0)</f>
        <v>#DIV/0!</v>
      </c>
      <c r="AE130" s="1954"/>
      <c r="AF130" s="1954"/>
      <c r="AG130" s="1955"/>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2148">
        <f>ROUNDDOWN(SUMIF(E130:AG130,"&gt;0"),2)</f>
        <v>0.48</v>
      </c>
      <c r="F132" s="1904"/>
      <c r="G132" s="1904"/>
      <c r="H132" s="2149"/>
      <c r="I132" s="611"/>
      <c r="J132" s="614" t="s">
        <v>2036</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1937">
        <f>IF((E132*100)&gt;10,10,E132*100)</f>
        <v>10</v>
      </c>
      <c r="F133" s="1938"/>
      <c r="G133" s="1938"/>
      <c r="H133" s="1939"/>
      <c r="I133" s="611"/>
      <c r="J133" s="614" t="s">
        <v>1437</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1444</v>
      </c>
      <c r="AK137" s="1937">
        <f>E133</f>
        <v>10</v>
      </c>
      <c r="AL137" s="1938"/>
      <c r="AM137" s="1939"/>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1445</v>
      </c>
      <c r="AE140" s="1917" t="s">
        <v>1423</v>
      </c>
      <c r="AF140" s="1917"/>
      <c r="AG140" s="1917"/>
      <c r="AH140" s="1917"/>
      <c r="AI140" s="1917"/>
      <c r="AJ140" s="1917"/>
      <c r="AK140" s="1917"/>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1446</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49" t="s">
        <v>1447</v>
      </c>
      <c r="AG142" s="1949"/>
      <c r="AH142" s="1949"/>
      <c r="AI142" s="1949"/>
      <c r="AJ142" s="1949"/>
      <c r="AK142" s="1949"/>
      <c r="AL142" s="1949"/>
      <c r="AM142" s="573"/>
      <c r="AN142" s="569"/>
    </row>
    <row r="143" spans="1:52" s="570" customFormat="1" ht="12.75" customHeight="1">
      <c r="A143" s="572"/>
      <c r="B143" s="572" t="s">
        <v>539</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1950" t="s">
        <v>2764</v>
      </c>
      <c r="C144" s="1950"/>
      <c r="D144" s="1950"/>
      <c r="E144" s="1950"/>
      <c r="F144" s="1950"/>
      <c r="G144" s="1950"/>
      <c r="H144" s="1950"/>
      <c r="I144" s="1950"/>
      <c r="J144" s="1950"/>
      <c r="K144" s="1950"/>
      <c r="L144" s="1950"/>
      <c r="M144" s="1950"/>
      <c r="N144" s="1950"/>
      <c r="O144" s="1950"/>
      <c r="P144" s="1950"/>
      <c r="Q144" s="1950"/>
      <c r="R144" s="1950"/>
      <c r="S144" s="1950"/>
      <c r="T144" s="1950"/>
      <c r="U144" s="1950"/>
      <c r="V144" s="1950"/>
      <c r="W144" s="1950"/>
      <c r="X144" s="1950"/>
      <c r="Y144" s="1950"/>
      <c r="Z144" s="1950"/>
      <c r="AA144" s="1950"/>
      <c r="AB144" s="1950"/>
      <c r="AC144" s="1950"/>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307</v>
      </c>
      <c r="AP145" s="579"/>
    </row>
    <row r="146" spans="1:42" s="570" customFormat="1" ht="12.75" customHeight="1">
      <c r="A146" s="572"/>
      <c r="B146" s="573" t="s">
        <v>1448</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1449</v>
      </c>
      <c r="AP146" s="523">
        <v>5</v>
      </c>
    </row>
    <row r="147" spans="1:42" s="570" customFormat="1" ht="12.75" customHeight="1">
      <c r="A147" s="572"/>
      <c r="B147" s="1975" t="s">
        <v>1450</v>
      </c>
      <c r="C147" s="1975"/>
      <c r="D147" s="1975"/>
      <c r="E147" s="1975"/>
      <c r="F147" s="1975"/>
      <c r="G147" s="1975"/>
      <c r="H147" s="1975"/>
      <c r="I147" s="1975"/>
      <c r="J147" s="1975"/>
      <c r="K147" s="1975"/>
      <c r="L147" s="1975"/>
      <c r="M147" s="1975"/>
      <c r="N147" s="1975"/>
      <c r="O147" s="1975"/>
      <c r="P147" s="1975"/>
      <c r="Q147" s="1975"/>
      <c r="R147" s="1975"/>
      <c r="S147" s="1975"/>
      <c r="T147" s="1975"/>
      <c r="U147" s="1975"/>
      <c r="V147" s="1975"/>
      <c r="W147" s="1975"/>
      <c r="X147" s="1975"/>
      <c r="Y147" s="1975"/>
      <c r="Z147" s="1975"/>
      <c r="AA147" s="1975"/>
      <c r="AB147" s="1975"/>
      <c r="AC147" s="1975"/>
      <c r="AD147" s="1975"/>
      <c r="AE147" s="1975"/>
      <c r="AF147" s="1975"/>
      <c r="AG147" s="1975"/>
      <c r="AH147" s="1975"/>
      <c r="AI147" s="1975"/>
      <c r="AM147" s="573"/>
      <c r="AN147" s="569"/>
      <c r="AO147" s="510" t="s">
        <v>1450</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2329</v>
      </c>
      <c r="AP148" s="523">
        <v>7</v>
      </c>
    </row>
    <row r="149" spans="1:42" s="570" customFormat="1" ht="12.75" customHeight="1">
      <c r="A149" s="572"/>
      <c r="B149" s="573" t="s">
        <v>1451</v>
      </c>
      <c r="AB149" s="1976" t="s">
        <v>598</v>
      </c>
      <c r="AC149" s="1976"/>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1452</v>
      </c>
      <c r="AP150" s="523"/>
    </row>
    <row r="151" spans="1:42" s="570" customFormat="1" ht="12.75" customHeight="1">
      <c r="A151" s="572"/>
      <c r="B151" s="572" t="s">
        <v>1453</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1454</v>
      </c>
      <c r="AP151" s="523">
        <v>5</v>
      </c>
    </row>
    <row r="152" spans="1:42" s="570" customFormat="1" ht="12.75" customHeight="1">
      <c r="A152" s="572"/>
      <c r="B152" s="1975" t="s">
        <v>1452</v>
      </c>
      <c r="C152" s="1975"/>
      <c r="D152" s="1975"/>
      <c r="E152" s="1975"/>
      <c r="F152" s="1975"/>
      <c r="G152" s="1975"/>
      <c r="H152" s="1975"/>
      <c r="I152" s="1975"/>
      <c r="J152" s="1975"/>
      <c r="K152" s="1975"/>
      <c r="L152" s="1975"/>
      <c r="M152" s="1975"/>
      <c r="N152" s="1975"/>
      <c r="O152" s="1975"/>
      <c r="P152" s="1975"/>
      <c r="Q152" s="1975"/>
      <c r="R152" s="1975"/>
      <c r="S152" s="1975"/>
      <c r="T152" s="1975"/>
      <c r="U152" s="1975"/>
      <c r="V152" s="1975"/>
      <c r="W152" s="1975"/>
      <c r="X152" s="1975"/>
      <c r="Y152" s="1975"/>
      <c r="Z152" s="1975"/>
      <c r="AA152" s="1975"/>
      <c r="AB152" s="1975"/>
      <c r="AC152" s="1975"/>
      <c r="AD152" s="1975"/>
      <c r="AE152" s="1975"/>
      <c r="AF152" s="1975"/>
      <c r="AG152" s="1975"/>
      <c r="AH152" s="1975"/>
      <c r="AI152" s="1975"/>
      <c r="AJ152" s="1975"/>
      <c r="AN152" s="569"/>
      <c r="AO152" s="510" t="s">
        <v>1455</v>
      </c>
      <c r="AP152" s="523">
        <v>7</v>
      </c>
    </row>
    <row r="153" spans="1:42" s="570" customFormat="1" ht="12.75" customHeight="1">
      <c r="B153" s="573" t="s">
        <v>1456</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1458</v>
      </c>
      <c r="AJ155" s="1978">
        <f>IF($AB$149="N/A",VLOOKUP($B$147,$AO$145:$AP$148,2,FALSE),VLOOKUP($B$152,$AO$150:$AP$152,2,FALSE))</f>
        <v>7</v>
      </c>
      <c r="AK155" s="1978"/>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1460</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49" t="s">
        <v>1461</v>
      </c>
      <c r="AG157" s="1949"/>
      <c r="AH157" s="1949"/>
      <c r="AI157" s="1949"/>
      <c r="AJ157" s="1949"/>
      <c r="AK157" s="1949"/>
      <c r="AL157" s="1949"/>
      <c r="AM157" s="637"/>
      <c r="AN157" s="632"/>
    </row>
    <row r="158" spans="1:42" s="584" customFormat="1" ht="12.75" customHeight="1">
      <c r="A158" s="570"/>
      <c r="B158" s="573" t="s">
        <v>1462</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1975" t="s">
        <v>1459</v>
      </c>
      <c r="D159" s="1975"/>
      <c r="E159" s="1975"/>
      <c r="F159" s="1975"/>
      <c r="G159" s="1975"/>
      <c r="H159" s="1975"/>
      <c r="I159" s="1975"/>
      <c r="J159" s="1975"/>
      <c r="K159" s="1975"/>
      <c r="L159" s="1975"/>
      <c r="M159" s="1975"/>
      <c r="N159" s="1975"/>
      <c r="O159" s="1975"/>
      <c r="P159" s="1975"/>
      <c r="Q159" s="1975"/>
      <c r="R159" s="1975"/>
      <c r="S159" s="1975"/>
      <c r="T159" s="1975"/>
      <c r="U159" s="1975"/>
      <c r="V159" s="1975"/>
      <c r="W159" s="1975"/>
      <c r="X159" s="1975"/>
      <c r="Y159" s="1975"/>
      <c r="Z159" s="1975"/>
      <c r="AA159" s="1975"/>
      <c r="AB159" s="1975"/>
      <c r="AC159" s="1975"/>
      <c r="AD159" s="1975"/>
      <c r="AE159" s="1975"/>
      <c r="AF159" s="1975"/>
      <c r="AG159" s="1975"/>
      <c r="AH159" s="1975"/>
      <c r="AI159" s="1975"/>
      <c r="AJ159" s="570"/>
      <c r="AK159" s="570"/>
      <c r="AL159" s="570"/>
      <c r="AM159" s="637"/>
      <c r="AN159" s="631"/>
      <c r="AO159" s="510" t="s">
        <v>307</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1457</v>
      </c>
      <c r="AP160" s="633">
        <v>2</v>
      </c>
    </row>
    <row r="161" spans="1:73" s="584" customFormat="1" ht="12.75" customHeight="1">
      <c r="A161" s="570"/>
      <c r="B161" s="570"/>
      <c r="C161" s="573" t="s">
        <v>1464</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1976" t="s">
        <v>598</v>
      </c>
      <c r="AG161" s="1976"/>
      <c r="AH161" s="570"/>
      <c r="AI161" s="570"/>
      <c r="AJ161" s="570"/>
      <c r="AK161" s="570"/>
      <c r="AL161" s="570"/>
      <c r="AM161" s="637"/>
      <c r="AN161" s="631"/>
      <c r="AO161" s="510" t="s">
        <v>1459</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2531</v>
      </c>
      <c r="AP162" s="633">
        <v>3</v>
      </c>
    </row>
    <row r="163" spans="1:73" s="584" customFormat="1" ht="12.75" customHeight="1">
      <c r="A163" s="570"/>
      <c r="B163" s="570"/>
      <c r="C163" s="1975" t="s">
        <v>1452</v>
      </c>
      <c r="D163" s="1975"/>
      <c r="E163" s="1975"/>
      <c r="F163" s="1975"/>
      <c r="G163" s="1975"/>
      <c r="H163" s="1975"/>
      <c r="I163" s="1975"/>
      <c r="J163" s="1975"/>
      <c r="K163" s="1975"/>
      <c r="L163" s="1975"/>
      <c r="M163" s="1975"/>
      <c r="N163" s="1975"/>
      <c r="O163" s="1975"/>
      <c r="P163" s="1975"/>
      <c r="Q163" s="1975"/>
      <c r="R163" s="1975"/>
      <c r="S163" s="1975"/>
      <c r="T163" s="1975"/>
      <c r="U163" s="1975"/>
      <c r="V163" s="1975"/>
      <c r="W163" s="1975"/>
      <c r="X163" s="1975"/>
      <c r="Y163" s="1975"/>
      <c r="Z163" s="1975"/>
      <c r="AA163" s="1975"/>
      <c r="AB163" s="1975"/>
      <c r="AC163" s="1975"/>
      <c r="AD163" s="1975"/>
      <c r="AE163" s="570"/>
      <c r="AF163" s="570"/>
      <c r="AG163" s="570"/>
      <c r="AH163" s="570"/>
      <c r="AI163" s="570"/>
      <c r="AJ163" s="570"/>
      <c r="AK163" s="570"/>
      <c r="AL163" s="570"/>
      <c r="AM163" s="637"/>
      <c r="AN163" s="631"/>
      <c r="AO163" s="636"/>
      <c r="AP163" s="633"/>
    </row>
    <row r="164" spans="1:73" s="584" customFormat="1" ht="12.75" customHeight="1">
      <c r="A164" s="570"/>
      <c r="B164" s="570"/>
      <c r="C164" s="573" t="s">
        <v>1456</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1466</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1452</v>
      </c>
      <c r="AP166" s="510"/>
    </row>
    <row r="167" spans="1:73" s="584" customFormat="1" ht="12.75" customHeight="1">
      <c r="A167" s="570"/>
      <c r="B167" s="570"/>
      <c r="C167" s="1950" t="s">
        <v>2671</v>
      </c>
      <c r="D167" s="1950"/>
      <c r="E167" s="1950"/>
      <c r="F167" s="1950"/>
      <c r="G167" s="1950"/>
      <c r="H167" s="1950"/>
      <c r="I167" s="1950"/>
      <c r="J167" s="1950"/>
      <c r="K167" s="1950"/>
      <c r="L167" s="1950"/>
      <c r="M167" s="1950"/>
      <c r="N167" s="1950"/>
      <c r="O167" s="1950"/>
      <c r="P167" s="1950"/>
      <c r="Q167" s="1950"/>
      <c r="R167" s="1950"/>
      <c r="S167" s="1950"/>
      <c r="T167" s="1950"/>
      <c r="U167" s="1950"/>
      <c r="V167" s="1950"/>
      <c r="W167" s="1950"/>
      <c r="X167" s="1950"/>
      <c r="Y167" s="1950"/>
      <c r="Z167" s="1950"/>
      <c r="AA167" s="1950"/>
      <c r="AB167" s="1950"/>
      <c r="AC167" s="1950"/>
      <c r="AD167" s="1950"/>
      <c r="AE167" s="570"/>
      <c r="AF167" s="570"/>
      <c r="AG167" s="570"/>
      <c r="AH167" s="570"/>
      <c r="AI167" s="570"/>
      <c r="AJ167" s="570"/>
      <c r="AK167" s="570"/>
      <c r="AL167" s="570"/>
      <c r="AM167" s="637"/>
      <c r="AN167" s="631"/>
      <c r="AO167" s="510" t="s">
        <v>1463</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1465</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1467</v>
      </c>
      <c r="AJ169" s="1977">
        <f>IF($AF$161="N/A",VLOOKUP($C$159,$AO$159:$AP$162,2,FALSE),VLOOKUP($C$163,$AO$166:$AP$168,2,FALSE))</f>
        <v>3</v>
      </c>
      <c r="AK169" s="1977"/>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1468</v>
      </c>
      <c r="AK172" s="1937">
        <f>$AJ$155+$AJ$169</f>
        <v>10</v>
      </c>
      <c r="AL172" s="1938"/>
      <c r="AM172" s="1939"/>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1469</v>
      </c>
      <c r="AQ174" s="646">
        <v>0</v>
      </c>
    </row>
    <row r="175" spans="1:73" s="584" customFormat="1" ht="12.75" customHeight="1">
      <c r="A175" s="572" t="s">
        <v>1470</v>
      </c>
      <c r="B175" s="572" t="s">
        <v>1915</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17" t="s">
        <v>1423</v>
      </c>
      <c r="AF175" s="1917"/>
      <c r="AG175" s="1917"/>
      <c r="AH175" s="1917"/>
      <c r="AI175" s="1917"/>
      <c r="AJ175" s="1917"/>
      <c r="AK175" s="1917"/>
      <c r="AL175" s="625"/>
      <c r="AN175" s="631"/>
      <c r="AP175" s="584" t="s">
        <v>1063</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1471</v>
      </c>
      <c r="AQ176" s="584">
        <v>10</v>
      </c>
    </row>
    <row r="177" spans="1:45" s="584" customFormat="1" ht="12.75" customHeight="1">
      <c r="A177" s="570"/>
      <c r="B177" s="1973" t="s">
        <v>1063</v>
      </c>
      <c r="C177" s="1973"/>
      <c r="D177" s="1973"/>
      <c r="E177" s="1973"/>
      <c r="F177" s="1973"/>
      <c r="G177" s="1973"/>
      <c r="H177" s="1973"/>
      <c r="I177" s="1973"/>
      <c r="J177" s="1973"/>
      <c r="K177" s="1973"/>
      <c r="L177" s="1973"/>
      <c r="M177" s="1973"/>
      <c r="N177" s="1973"/>
      <c r="O177" s="1973"/>
      <c r="P177" s="1973"/>
      <c r="Q177" s="1973"/>
      <c r="R177" s="1973"/>
      <c r="S177" s="1973"/>
      <c r="T177" s="1973"/>
      <c r="U177" s="1973"/>
      <c r="V177" s="1973"/>
      <c r="W177" s="1973"/>
      <c r="X177" s="1973"/>
      <c r="Y177" s="1973"/>
      <c r="Z177" s="1973"/>
      <c r="AA177" s="1973"/>
      <c r="AB177" s="1973"/>
      <c r="AC177" s="1973"/>
      <c r="AD177" s="570"/>
      <c r="AE177" s="570"/>
      <c r="AF177" s="1949" t="s">
        <v>1472</v>
      </c>
      <c r="AG177" s="1949"/>
      <c r="AH177" s="1949"/>
      <c r="AI177" s="1949"/>
      <c r="AJ177" s="1949"/>
      <c r="AK177" s="1949"/>
      <c r="AL177" s="1949"/>
      <c r="AN177" s="631"/>
      <c r="AP177" s="584" t="s">
        <v>1065</v>
      </c>
      <c r="AQ177" s="584">
        <v>10</v>
      </c>
    </row>
    <row r="178" spans="1:45" s="584" customFormat="1" ht="12.75" customHeight="1">
      <c r="A178" s="570"/>
      <c r="B178" s="1974" t="s">
        <v>1914</v>
      </c>
      <c r="C178" s="1974"/>
      <c r="D178" s="1974"/>
      <c r="E178" s="1974"/>
      <c r="F178" s="1974"/>
      <c r="G178" s="1974"/>
      <c r="H178" s="1974"/>
      <c r="I178" s="1974"/>
      <c r="J178" s="1974"/>
      <c r="K178" s="1974"/>
      <c r="L178" s="1974"/>
      <c r="M178" s="1974"/>
      <c r="N178" s="1974"/>
      <c r="O178" s="1974"/>
      <c r="P178" s="1974"/>
      <c r="Q178" s="1974"/>
      <c r="R178" s="1974"/>
      <c r="S178" s="1974"/>
      <c r="T178" s="1950" t="s">
        <v>598</v>
      </c>
      <c r="U178" s="1950"/>
      <c r="V178" s="1950"/>
      <c r="W178" s="1950"/>
      <c r="X178" s="1950"/>
      <c r="Y178" s="1950"/>
      <c r="Z178" s="1950"/>
      <c r="AA178" s="1950"/>
      <c r="AB178" s="1950"/>
      <c r="AC178" s="1950"/>
      <c r="AD178" s="570"/>
      <c r="AE178" s="570"/>
      <c r="AF178" s="570"/>
      <c r="AG178" s="570"/>
      <c r="AH178" s="570"/>
      <c r="AI178" s="570"/>
      <c r="AJ178" s="577"/>
      <c r="AK178" s="629"/>
      <c r="AL178" s="629"/>
      <c r="AM178" s="629"/>
      <c r="AN178" s="631"/>
      <c r="AP178" s="584" t="s">
        <v>1473</v>
      </c>
      <c r="AQ178" s="584">
        <v>10</v>
      </c>
      <c r="AS178" s="584" t="s">
        <v>598</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1476</v>
      </c>
      <c r="AQ179" s="584">
        <v>10</v>
      </c>
      <c r="AS179" s="584" t="s">
        <v>1474</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1475</v>
      </c>
      <c r="AK180" s="1982">
        <f>IF(AK78&gt;0,VLOOKUP($B$177,AP174:AQ180,2,FALSE),0)</f>
        <v>10</v>
      </c>
      <c r="AL180" s="1983"/>
      <c r="AM180" s="1984"/>
      <c r="AN180" s="569"/>
      <c r="AP180" s="584" t="s">
        <v>1478</v>
      </c>
      <c r="AQ180" s="584">
        <v>10</v>
      </c>
      <c r="AS180" s="584" t="s">
        <v>1477</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1479</v>
      </c>
      <c r="B183" s="572" t="s">
        <v>1480</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17" t="s">
        <v>1481</v>
      </c>
      <c r="AF183" s="1917"/>
      <c r="AG183" s="1917"/>
      <c r="AH183" s="1917"/>
      <c r="AI183" s="1917"/>
      <c r="AJ183" s="1917"/>
      <c r="AK183" s="1917"/>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1699</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1735</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1961" t="s">
        <v>2746</v>
      </c>
      <c r="C188" s="1961"/>
      <c r="D188" s="1961"/>
      <c r="E188" s="1961"/>
      <c r="F188" s="1961"/>
      <c r="G188" s="1961"/>
      <c r="H188" s="1961"/>
      <c r="I188" s="1961"/>
      <c r="J188" s="1961"/>
      <c r="K188" s="1961"/>
      <c r="L188" s="1961"/>
      <c r="M188" s="1961"/>
      <c r="N188" s="1961"/>
      <c r="O188" s="1961"/>
      <c r="P188" s="1961"/>
      <c r="Q188" s="1961"/>
      <c r="R188" s="1961"/>
      <c r="S188" s="1961"/>
      <c r="T188" s="1961"/>
      <c r="U188" s="1961"/>
      <c r="V188" s="1961"/>
      <c r="W188" s="1961"/>
      <c r="X188" s="1961"/>
      <c r="Y188" s="1961"/>
      <c r="Z188" s="1961"/>
      <c r="AA188" s="1961"/>
      <c r="AB188" s="1961"/>
      <c r="AC188" s="880"/>
      <c r="AD188" s="1962">
        <v>22500000</v>
      </c>
      <c r="AE188" s="1962"/>
      <c r="AF188" s="1962"/>
      <c r="AG188" s="1962"/>
      <c r="AH188" s="1962"/>
      <c r="AI188" s="1962"/>
      <c r="AJ188" s="1962"/>
      <c r="AK188" s="644"/>
    </row>
    <row r="189" spans="1:45">
      <c r="A189" s="639"/>
      <c r="B189" s="1961" t="s">
        <v>2712</v>
      </c>
      <c r="C189" s="1961"/>
      <c r="D189" s="1961"/>
      <c r="E189" s="1961"/>
      <c r="F189" s="1961"/>
      <c r="G189" s="1961"/>
      <c r="H189" s="1961"/>
      <c r="I189" s="1961"/>
      <c r="J189" s="1961"/>
      <c r="K189" s="1961"/>
      <c r="L189" s="1961"/>
      <c r="M189" s="1961"/>
      <c r="N189" s="1961"/>
      <c r="O189" s="1961"/>
      <c r="P189" s="1961"/>
      <c r="Q189" s="1961"/>
      <c r="R189" s="1961"/>
      <c r="S189" s="1961"/>
      <c r="T189" s="1961"/>
      <c r="U189" s="1961"/>
      <c r="V189" s="1961"/>
      <c r="W189" s="1961"/>
      <c r="X189" s="1961"/>
      <c r="Y189" s="1961"/>
      <c r="Z189" s="1961"/>
      <c r="AA189" s="1961"/>
      <c r="AB189" s="1961"/>
      <c r="AC189" s="880"/>
      <c r="AD189" s="1962">
        <v>1750000</v>
      </c>
      <c r="AE189" s="1962"/>
      <c r="AF189" s="1962"/>
      <c r="AG189" s="1962"/>
      <c r="AH189" s="1962"/>
      <c r="AI189" s="1962"/>
      <c r="AJ189" s="1962"/>
      <c r="AK189" s="644"/>
    </row>
    <row r="190" spans="1:45">
      <c r="A190" s="639"/>
      <c r="B190" s="1961" t="s">
        <v>2713</v>
      </c>
      <c r="C190" s="1961"/>
      <c r="D190" s="1961"/>
      <c r="E190" s="1961"/>
      <c r="F190" s="1961"/>
      <c r="G190" s="1961"/>
      <c r="H190" s="1961"/>
      <c r="I190" s="1961"/>
      <c r="J190" s="1961"/>
      <c r="K190" s="1961"/>
      <c r="L190" s="1961"/>
      <c r="M190" s="1961"/>
      <c r="N190" s="1961"/>
      <c r="O190" s="1961"/>
      <c r="P190" s="1961"/>
      <c r="Q190" s="1961"/>
      <c r="R190" s="1961"/>
      <c r="S190" s="1961"/>
      <c r="T190" s="1961"/>
      <c r="U190" s="1961"/>
      <c r="V190" s="1961"/>
      <c r="W190" s="1961"/>
      <c r="X190" s="1961"/>
      <c r="Y190" s="1961"/>
      <c r="Z190" s="1961"/>
      <c r="AA190" s="1961"/>
      <c r="AB190" s="1961"/>
      <c r="AC190" s="880"/>
      <c r="AD190" s="1962">
        <v>3805000</v>
      </c>
      <c r="AE190" s="1962"/>
      <c r="AF190" s="1962"/>
      <c r="AG190" s="1962"/>
      <c r="AH190" s="1962"/>
      <c r="AI190" s="1962"/>
      <c r="AJ190" s="1962"/>
      <c r="AK190" s="644"/>
    </row>
    <row r="191" spans="1:45">
      <c r="A191" s="639"/>
      <c r="B191" s="1961" t="s">
        <v>2775</v>
      </c>
      <c r="C191" s="1961"/>
      <c r="D191" s="1961"/>
      <c r="E191" s="1961"/>
      <c r="F191" s="1961"/>
      <c r="G191" s="1961"/>
      <c r="H191" s="1961"/>
      <c r="I191" s="1961"/>
      <c r="J191" s="1961"/>
      <c r="K191" s="1961"/>
      <c r="L191" s="1961"/>
      <c r="M191" s="1961"/>
      <c r="N191" s="1961"/>
      <c r="O191" s="1961"/>
      <c r="P191" s="1961"/>
      <c r="Q191" s="1961"/>
      <c r="R191" s="1961"/>
      <c r="S191" s="1961"/>
      <c r="T191" s="1961"/>
      <c r="U191" s="1961"/>
      <c r="V191" s="1961"/>
      <c r="W191" s="1961"/>
      <c r="X191" s="1961"/>
      <c r="Y191" s="1961"/>
      <c r="Z191" s="1961"/>
      <c r="AA191" s="1961"/>
      <c r="AB191" s="1961"/>
      <c r="AC191" s="880"/>
      <c r="AD191" s="1962">
        <v>240000</v>
      </c>
      <c r="AE191" s="1962"/>
      <c r="AF191" s="1962"/>
      <c r="AG191" s="1962"/>
      <c r="AH191" s="1962"/>
      <c r="AI191" s="1962"/>
      <c r="AJ191" s="1962"/>
      <c r="AK191" s="644"/>
    </row>
    <row r="192" spans="1:45">
      <c r="A192" s="639"/>
      <c r="B192" s="1961"/>
      <c r="C192" s="1961"/>
      <c r="D192" s="1961"/>
      <c r="E192" s="1961"/>
      <c r="F192" s="1961"/>
      <c r="G192" s="1961"/>
      <c r="H192" s="1961"/>
      <c r="I192" s="1961"/>
      <c r="J192" s="1961"/>
      <c r="K192" s="1961"/>
      <c r="L192" s="1961"/>
      <c r="M192" s="1961"/>
      <c r="N192" s="1961"/>
      <c r="O192" s="1961"/>
      <c r="P192" s="1961"/>
      <c r="Q192" s="1961"/>
      <c r="R192" s="1961"/>
      <c r="S192" s="1961"/>
      <c r="T192" s="1961"/>
      <c r="U192" s="1961"/>
      <c r="V192" s="1961"/>
      <c r="W192" s="1961"/>
      <c r="X192" s="1961"/>
      <c r="Y192" s="1961"/>
      <c r="Z192" s="1961"/>
      <c r="AA192" s="1961"/>
      <c r="AB192" s="1961"/>
      <c r="AC192" s="880"/>
      <c r="AD192" s="1962"/>
      <c r="AE192" s="1962"/>
      <c r="AF192" s="1962"/>
      <c r="AG192" s="1962"/>
      <c r="AH192" s="1962"/>
      <c r="AI192" s="1962"/>
      <c r="AJ192" s="1962"/>
      <c r="AK192" s="644"/>
    </row>
    <row r="193" spans="1:37">
      <c r="A193" s="639"/>
      <c r="B193" s="1961"/>
      <c r="C193" s="1961"/>
      <c r="D193" s="1961"/>
      <c r="E193" s="1961"/>
      <c r="F193" s="1961"/>
      <c r="G193" s="1961"/>
      <c r="H193" s="1961"/>
      <c r="I193" s="1961"/>
      <c r="J193" s="1961"/>
      <c r="K193" s="1961"/>
      <c r="L193" s="1961"/>
      <c r="M193" s="1961"/>
      <c r="N193" s="1961"/>
      <c r="O193" s="1961"/>
      <c r="P193" s="1961"/>
      <c r="Q193" s="1961"/>
      <c r="R193" s="1961"/>
      <c r="S193" s="1961"/>
      <c r="T193" s="1961"/>
      <c r="U193" s="1961"/>
      <c r="V193" s="1961"/>
      <c r="W193" s="1961"/>
      <c r="X193" s="1961"/>
      <c r="Y193" s="1961"/>
      <c r="Z193" s="1961"/>
      <c r="AA193" s="1961"/>
      <c r="AB193" s="1961"/>
      <c r="AC193" s="880"/>
      <c r="AD193" s="1962"/>
      <c r="AE193" s="1962"/>
      <c r="AF193" s="1962"/>
      <c r="AG193" s="1962"/>
      <c r="AH193" s="1962"/>
      <c r="AI193" s="1962"/>
      <c r="AJ193" s="1962"/>
      <c r="AK193" s="644"/>
    </row>
    <row r="194" spans="1:37">
      <c r="A194" s="639"/>
      <c r="B194" s="1961"/>
      <c r="C194" s="1961"/>
      <c r="D194" s="1961"/>
      <c r="E194" s="1961"/>
      <c r="F194" s="1961"/>
      <c r="G194" s="1961"/>
      <c r="H194" s="1961"/>
      <c r="I194" s="1961"/>
      <c r="J194" s="1961"/>
      <c r="K194" s="1961"/>
      <c r="L194" s="1961"/>
      <c r="M194" s="1961"/>
      <c r="N194" s="1961"/>
      <c r="O194" s="1961"/>
      <c r="P194" s="1961"/>
      <c r="Q194" s="1961"/>
      <c r="R194" s="1961"/>
      <c r="S194" s="1961"/>
      <c r="T194" s="1961"/>
      <c r="U194" s="1961"/>
      <c r="V194" s="1961"/>
      <c r="W194" s="1961"/>
      <c r="X194" s="1961"/>
      <c r="Y194" s="1961"/>
      <c r="Z194" s="1961"/>
      <c r="AA194" s="1961"/>
      <c r="AB194" s="1961"/>
      <c r="AC194" s="880"/>
      <c r="AD194" s="1962"/>
      <c r="AE194" s="1962"/>
      <c r="AF194" s="1962"/>
      <c r="AG194" s="1962"/>
      <c r="AH194" s="1962"/>
      <c r="AI194" s="1962"/>
      <c r="AJ194" s="1962"/>
      <c r="AK194" s="644"/>
    </row>
    <row r="195" spans="1:37">
      <c r="A195" s="639"/>
      <c r="B195" s="1961"/>
      <c r="C195" s="1961"/>
      <c r="D195" s="1961"/>
      <c r="E195" s="1961"/>
      <c r="F195" s="1961"/>
      <c r="G195" s="1961"/>
      <c r="H195" s="1961"/>
      <c r="I195" s="1961"/>
      <c r="J195" s="1961"/>
      <c r="K195" s="1961"/>
      <c r="L195" s="1961"/>
      <c r="M195" s="1961"/>
      <c r="N195" s="1961"/>
      <c r="O195" s="1961"/>
      <c r="P195" s="1961"/>
      <c r="Q195" s="1961"/>
      <c r="R195" s="1961"/>
      <c r="S195" s="1961"/>
      <c r="T195" s="1961"/>
      <c r="U195" s="1961"/>
      <c r="V195" s="1961"/>
      <c r="W195" s="1961"/>
      <c r="X195" s="1961"/>
      <c r="Y195" s="1961"/>
      <c r="Z195" s="1961"/>
      <c r="AA195" s="1961"/>
      <c r="AB195" s="1961"/>
      <c r="AC195" s="880"/>
      <c r="AD195" s="1962"/>
      <c r="AE195" s="1962"/>
      <c r="AF195" s="1962"/>
      <c r="AG195" s="1962"/>
      <c r="AH195" s="1962"/>
      <c r="AI195" s="1962"/>
      <c r="AJ195" s="1962"/>
      <c r="AK195" s="644"/>
    </row>
    <row r="196" spans="1:37">
      <c r="A196" s="639"/>
      <c r="B196" s="1961"/>
      <c r="C196" s="1961"/>
      <c r="D196" s="1961"/>
      <c r="E196" s="1961"/>
      <c r="F196" s="1961"/>
      <c r="G196" s="1961"/>
      <c r="H196" s="1961"/>
      <c r="I196" s="1961"/>
      <c r="J196" s="1961"/>
      <c r="K196" s="1961"/>
      <c r="L196" s="1961"/>
      <c r="M196" s="1961"/>
      <c r="N196" s="1961"/>
      <c r="O196" s="1961"/>
      <c r="P196" s="1961"/>
      <c r="Q196" s="1961"/>
      <c r="R196" s="1961"/>
      <c r="S196" s="1961"/>
      <c r="T196" s="1961"/>
      <c r="U196" s="1961"/>
      <c r="V196" s="1961"/>
      <c r="W196" s="1961"/>
      <c r="X196" s="1961"/>
      <c r="Y196" s="1961"/>
      <c r="Z196" s="1961"/>
      <c r="AA196" s="1961"/>
      <c r="AB196" s="1961"/>
      <c r="AC196" s="880"/>
      <c r="AD196" s="1962"/>
      <c r="AE196" s="1962"/>
      <c r="AF196" s="1962"/>
      <c r="AG196" s="1962"/>
      <c r="AH196" s="1962"/>
      <c r="AI196" s="1962"/>
      <c r="AJ196" s="1962"/>
      <c r="AK196" s="644"/>
    </row>
    <row r="197" spans="1:37">
      <c r="A197" s="639"/>
      <c r="B197" s="1961"/>
      <c r="C197" s="1961"/>
      <c r="D197" s="1961"/>
      <c r="E197" s="1961"/>
      <c r="F197" s="1961"/>
      <c r="G197" s="1961"/>
      <c r="H197" s="1961"/>
      <c r="I197" s="1961"/>
      <c r="J197" s="1961"/>
      <c r="K197" s="1961"/>
      <c r="L197" s="1961"/>
      <c r="M197" s="1961"/>
      <c r="N197" s="1961"/>
      <c r="O197" s="1961"/>
      <c r="P197" s="1961"/>
      <c r="Q197" s="1961"/>
      <c r="R197" s="1961"/>
      <c r="S197" s="1961"/>
      <c r="T197" s="1961"/>
      <c r="U197" s="1961"/>
      <c r="V197" s="1961"/>
      <c r="W197" s="1961"/>
      <c r="X197" s="1961"/>
      <c r="Y197" s="1961"/>
      <c r="Z197" s="1961"/>
      <c r="AA197" s="1961"/>
      <c r="AB197" s="1961"/>
      <c r="AC197" s="880"/>
      <c r="AD197" s="1962"/>
      <c r="AE197" s="1962"/>
      <c r="AF197" s="1962"/>
      <c r="AG197" s="1962"/>
      <c r="AH197" s="1962"/>
      <c r="AI197" s="1962"/>
      <c r="AJ197" s="1962"/>
      <c r="AK197" s="644"/>
    </row>
    <row r="198" spans="1:37">
      <c r="A198" s="639"/>
      <c r="B198" s="2125" t="s">
        <v>1737</v>
      </c>
      <c r="C198" s="2125"/>
      <c r="D198" s="2125"/>
      <c r="E198" s="2125"/>
      <c r="F198" s="2125"/>
      <c r="G198" s="2125"/>
      <c r="H198" s="2125"/>
      <c r="I198" s="2125"/>
      <c r="J198" s="2125"/>
      <c r="K198" s="2125"/>
      <c r="L198" s="2125"/>
      <c r="M198" s="2125"/>
      <c r="N198" s="2125"/>
      <c r="O198" s="2125"/>
      <c r="P198" s="2125"/>
      <c r="Q198" s="2125"/>
      <c r="R198" s="2125"/>
      <c r="S198" s="2125"/>
      <c r="T198" s="2125"/>
      <c r="U198" s="2125"/>
      <c r="V198" s="2125"/>
      <c r="W198" s="2125"/>
      <c r="X198" s="2125"/>
      <c r="Y198" s="2125"/>
      <c r="Z198" s="2125"/>
      <c r="AA198" s="2125"/>
      <c r="AB198" s="2125"/>
      <c r="AC198" s="570"/>
      <c r="AD198" s="1989">
        <f>AB249</f>
        <v>7818638.0684117479</v>
      </c>
      <c r="AE198" s="1989"/>
      <c r="AF198" s="1989"/>
      <c r="AG198" s="1989"/>
      <c r="AH198" s="1989"/>
      <c r="AI198" s="1989"/>
      <c r="AJ198" s="1989"/>
      <c r="AK198" s="644"/>
    </row>
    <row r="199" spans="1:37">
      <c r="A199" s="639"/>
      <c r="B199" s="2123" t="s">
        <v>1700</v>
      </c>
      <c r="C199" s="2123"/>
      <c r="D199" s="2123"/>
      <c r="E199" s="2123"/>
      <c r="F199" s="2123"/>
      <c r="G199" s="2123"/>
      <c r="H199" s="2123"/>
      <c r="I199" s="2123"/>
      <c r="J199" s="2123"/>
      <c r="K199" s="2123"/>
      <c r="L199" s="2123"/>
      <c r="M199" s="2123"/>
      <c r="N199" s="2123"/>
      <c r="O199" s="2123"/>
      <c r="P199" s="2123"/>
      <c r="Q199" s="2123"/>
      <c r="R199" s="2123"/>
      <c r="S199" s="2123"/>
      <c r="T199" s="2123"/>
      <c r="U199" s="2123"/>
      <c r="V199" s="2123"/>
      <c r="W199" s="2123"/>
      <c r="X199" s="2123"/>
      <c r="Y199" s="2123"/>
      <c r="Z199" s="2123"/>
      <c r="AA199" s="2123"/>
      <c r="AB199" s="2123"/>
      <c r="AC199" s="880"/>
      <c r="AD199" s="1990">
        <f>'Sources and Uses Budget'!B15</f>
        <v>0</v>
      </c>
      <c r="AE199" s="1990"/>
      <c r="AF199" s="1990"/>
      <c r="AG199" s="1990"/>
      <c r="AH199" s="1990"/>
      <c r="AI199" s="1990"/>
      <c r="AJ199" s="1990"/>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913</v>
      </c>
      <c r="AC200" s="570"/>
      <c r="AD200" s="1994">
        <f>SUM(AD188:AJ198)-AD199</f>
        <v>36113638.068411745</v>
      </c>
      <c r="AE200" s="1994"/>
      <c r="AF200" s="1994"/>
      <c r="AG200" s="1994"/>
      <c r="AH200" s="1994"/>
      <c r="AI200" s="1994"/>
      <c r="AJ200" s="1994"/>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1705</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1736</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1707</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1708</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2336</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1709</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1710</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1747</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1965" t="s">
        <v>1717</v>
      </c>
      <c r="J211" s="1965"/>
      <c r="K211" s="1965"/>
      <c r="L211" s="570"/>
      <c r="M211" s="570"/>
      <c r="N211" s="570"/>
      <c r="O211" s="570"/>
      <c r="P211" s="570"/>
      <c r="Q211" s="570"/>
      <c r="R211" s="570"/>
      <c r="S211" s="570"/>
      <c r="T211" s="2151" t="s">
        <v>1711</v>
      </c>
      <c r="U211" s="2151"/>
      <c r="V211" s="2151"/>
      <c r="W211" s="2151"/>
      <c r="X211" s="2151"/>
      <c r="Y211" s="2151"/>
      <c r="Z211" s="883"/>
      <c r="AA211" s="523"/>
      <c r="AB211" s="1960" t="s">
        <v>1712</v>
      </c>
      <c r="AC211" s="1960"/>
      <c r="AD211" s="1960"/>
      <c r="AE211" s="1960"/>
      <c r="AF211" s="1960"/>
      <c r="AG211" s="1960"/>
      <c r="AH211" s="861"/>
      <c r="AI211" s="861"/>
      <c r="AJ211" s="861"/>
      <c r="AK211" s="644"/>
    </row>
    <row r="212" spans="1:37">
      <c r="A212" s="639"/>
      <c r="B212" s="1963" t="s">
        <v>1697</v>
      </c>
      <c r="C212" s="1963"/>
      <c r="D212" s="1963"/>
      <c r="E212" s="1963"/>
      <c r="F212" s="1963"/>
      <c r="G212" s="1963"/>
      <c r="I212" s="1964" t="s">
        <v>1718</v>
      </c>
      <c r="J212" s="1964"/>
      <c r="K212" s="1964"/>
      <c r="L212" s="1043"/>
      <c r="N212" s="1970" t="s">
        <v>1713</v>
      </c>
      <c r="O212" s="1970"/>
      <c r="P212" s="1970"/>
      <c r="Q212" s="1970"/>
      <c r="R212" s="1970"/>
      <c r="T212" s="1970" t="s">
        <v>1714</v>
      </c>
      <c r="U212" s="1970"/>
      <c r="V212" s="1970"/>
      <c r="W212" s="1970"/>
      <c r="X212" s="1970"/>
      <c r="Y212" s="1970"/>
      <c r="Z212" s="884"/>
      <c r="AA212" s="523"/>
      <c r="AB212" s="2126" t="s">
        <v>1715</v>
      </c>
      <c r="AC212" s="2126"/>
      <c r="AD212" s="2126"/>
      <c r="AE212" s="2126"/>
      <c r="AF212" s="2126"/>
      <c r="AG212" s="2126"/>
      <c r="AH212" s="861"/>
      <c r="AI212" s="861"/>
      <c r="AJ212" s="861"/>
      <c r="AK212" s="644"/>
    </row>
    <row r="213" spans="1:37">
      <c r="A213" s="639"/>
      <c r="B213" s="1967" t="s">
        <v>2747</v>
      </c>
      <c r="C213" s="1967"/>
      <c r="D213" s="1967"/>
      <c r="E213" s="1967"/>
      <c r="F213" s="1967"/>
      <c r="G213" s="1967"/>
      <c r="H213" s="886"/>
      <c r="I213" s="1966">
        <v>15</v>
      </c>
      <c r="J213" s="1966"/>
      <c r="K213" s="1966"/>
      <c r="L213" s="1043"/>
      <c r="N213" s="1971">
        <v>1135</v>
      </c>
      <c r="O213" s="1971"/>
      <c r="P213" s="1971"/>
      <c r="Q213" s="1971"/>
      <c r="R213" s="1971"/>
      <c r="T213" s="2124">
        <v>2878</v>
      </c>
      <c r="U213" s="2124"/>
      <c r="V213" s="2124"/>
      <c r="W213" s="2124"/>
      <c r="X213" s="2124"/>
      <c r="Y213" s="2124"/>
      <c r="Z213" s="885"/>
      <c r="AA213" s="885"/>
      <c r="AB213" s="1968">
        <f t="shared" ref="AB213:AB222" si="0">MAX(($T213-$N213)*$I213*12,0)</f>
        <v>313740</v>
      </c>
      <c r="AC213" s="1968"/>
      <c r="AD213" s="1968"/>
      <c r="AE213" s="1968"/>
      <c r="AF213" s="1968"/>
      <c r="AG213" s="1968"/>
      <c r="AH213" s="861"/>
      <c r="AI213" s="861"/>
      <c r="AJ213" s="861"/>
      <c r="AK213" s="644"/>
    </row>
    <row r="214" spans="1:37">
      <c r="A214" s="639"/>
      <c r="B214" s="1967" t="s">
        <v>2748</v>
      </c>
      <c r="C214" s="1967"/>
      <c r="D214" s="1967"/>
      <c r="E214" s="1967"/>
      <c r="F214" s="1967"/>
      <c r="G214" s="1967"/>
      <c r="I214" s="1966">
        <v>8</v>
      </c>
      <c r="J214" s="1966"/>
      <c r="K214" s="1966"/>
      <c r="L214" s="1043"/>
      <c r="N214" s="1971">
        <v>1346</v>
      </c>
      <c r="O214" s="1971"/>
      <c r="P214" s="1971"/>
      <c r="Q214" s="1971"/>
      <c r="R214" s="1971"/>
      <c r="T214" s="2124">
        <v>3730</v>
      </c>
      <c r="U214" s="2124"/>
      <c r="V214" s="2124"/>
      <c r="W214" s="2124"/>
      <c r="X214" s="2124"/>
      <c r="Y214" s="2124"/>
      <c r="Z214" s="885"/>
      <c r="AA214" s="885"/>
      <c r="AB214" s="1968">
        <f t="shared" si="0"/>
        <v>228864</v>
      </c>
      <c r="AC214" s="1968"/>
      <c r="AD214" s="1968"/>
      <c r="AE214" s="1968"/>
      <c r="AF214" s="1968"/>
      <c r="AG214" s="1968"/>
      <c r="AH214" s="861"/>
      <c r="AI214" s="861"/>
      <c r="AJ214" s="861"/>
      <c r="AK214" s="644"/>
    </row>
    <row r="215" spans="1:37">
      <c r="A215" s="639"/>
      <c r="B215" s="1967" t="s">
        <v>2749</v>
      </c>
      <c r="C215" s="1967"/>
      <c r="D215" s="1967"/>
      <c r="E215" s="1967"/>
      <c r="F215" s="1967"/>
      <c r="G215" s="1967"/>
      <c r="I215" s="1966">
        <v>8</v>
      </c>
      <c r="J215" s="1966"/>
      <c r="K215" s="1966"/>
      <c r="L215" s="1043"/>
      <c r="N215" s="1971">
        <v>1536</v>
      </c>
      <c r="O215" s="1971"/>
      <c r="P215" s="1971"/>
      <c r="Q215" s="1971"/>
      <c r="R215" s="1971"/>
      <c r="T215" s="2124">
        <v>4635</v>
      </c>
      <c r="U215" s="2124"/>
      <c r="V215" s="2124"/>
      <c r="W215" s="2124"/>
      <c r="X215" s="2124"/>
      <c r="Y215" s="2124"/>
      <c r="Z215" s="885"/>
      <c r="AA215" s="885"/>
      <c r="AB215" s="1968">
        <f t="shared" si="0"/>
        <v>297504</v>
      </c>
      <c r="AC215" s="1968"/>
      <c r="AD215" s="1968"/>
      <c r="AE215" s="1968"/>
      <c r="AF215" s="1968"/>
      <c r="AG215" s="1968"/>
      <c r="AH215" s="861"/>
      <c r="AI215" s="861"/>
      <c r="AJ215" s="861"/>
      <c r="AK215" s="644"/>
    </row>
    <row r="216" spans="1:37">
      <c r="A216" s="639"/>
      <c r="B216" s="1967" t="s">
        <v>1288</v>
      </c>
      <c r="C216" s="1967"/>
      <c r="D216" s="1967"/>
      <c r="E216" s="1967"/>
      <c r="F216" s="1967"/>
      <c r="G216" s="1967"/>
      <c r="I216" s="1966"/>
      <c r="J216" s="1966"/>
      <c r="K216" s="1966"/>
      <c r="L216" s="1043"/>
      <c r="N216" s="1971"/>
      <c r="O216" s="1971"/>
      <c r="P216" s="1971"/>
      <c r="Q216" s="1971"/>
      <c r="R216" s="1971"/>
      <c r="T216" s="2124"/>
      <c r="U216" s="2124"/>
      <c r="V216" s="2124"/>
      <c r="W216" s="2124"/>
      <c r="X216" s="2124"/>
      <c r="Y216" s="2124"/>
      <c r="Z216" s="885"/>
      <c r="AA216" s="885"/>
      <c r="AB216" s="1968">
        <f t="shared" si="0"/>
        <v>0</v>
      </c>
      <c r="AC216" s="1968"/>
      <c r="AD216" s="1968"/>
      <c r="AE216" s="1968"/>
      <c r="AF216" s="1968"/>
      <c r="AG216" s="1968"/>
      <c r="AH216" s="861"/>
      <c r="AI216" s="861"/>
      <c r="AJ216" s="861"/>
      <c r="AK216" s="644"/>
    </row>
    <row r="217" spans="1:37">
      <c r="A217" s="639"/>
      <c r="B217" s="1967" t="s">
        <v>1288</v>
      </c>
      <c r="C217" s="1967"/>
      <c r="D217" s="1967"/>
      <c r="E217" s="1967"/>
      <c r="F217" s="1967"/>
      <c r="G217" s="1967"/>
      <c r="I217" s="1966"/>
      <c r="J217" s="1966"/>
      <c r="K217" s="1966"/>
      <c r="L217" s="1050"/>
      <c r="N217" s="1971"/>
      <c r="O217" s="1971"/>
      <c r="P217" s="1971"/>
      <c r="Q217" s="1971"/>
      <c r="R217" s="1971"/>
      <c r="T217" s="2124"/>
      <c r="U217" s="2124"/>
      <c r="V217" s="2124"/>
      <c r="W217" s="2124"/>
      <c r="X217" s="2124"/>
      <c r="Y217" s="2124"/>
      <c r="Z217" s="885"/>
      <c r="AA217" s="885"/>
      <c r="AB217" s="1968">
        <f t="shared" si="0"/>
        <v>0</v>
      </c>
      <c r="AC217" s="1968"/>
      <c r="AD217" s="1968"/>
      <c r="AE217" s="1968"/>
      <c r="AF217" s="1968"/>
      <c r="AG217" s="1968"/>
      <c r="AH217" s="861"/>
      <c r="AI217" s="861"/>
      <c r="AJ217" s="861"/>
      <c r="AK217" s="644"/>
    </row>
    <row r="218" spans="1:37">
      <c r="A218" s="639"/>
      <c r="B218" s="1967" t="s">
        <v>1288</v>
      </c>
      <c r="C218" s="1967"/>
      <c r="D218" s="1967"/>
      <c r="E218" s="1967"/>
      <c r="F218" s="1967"/>
      <c r="G218" s="1967"/>
      <c r="I218" s="1966"/>
      <c r="J218" s="1966"/>
      <c r="K218" s="1966"/>
      <c r="L218" s="1050"/>
      <c r="N218" s="1971"/>
      <c r="O218" s="1971"/>
      <c r="P218" s="1971"/>
      <c r="Q218" s="1971"/>
      <c r="R218" s="1971"/>
      <c r="T218" s="2124"/>
      <c r="U218" s="2124"/>
      <c r="V218" s="2124"/>
      <c r="W218" s="2124"/>
      <c r="X218" s="2124"/>
      <c r="Y218" s="2124"/>
      <c r="Z218" s="885"/>
      <c r="AA218" s="885"/>
      <c r="AB218" s="1968">
        <f t="shared" si="0"/>
        <v>0</v>
      </c>
      <c r="AC218" s="1968"/>
      <c r="AD218" s="1968"/>
      <c r="AE218" s="1968"/>
      <c r="AF218" s="1968"/>
      <c r="AG218" s="1968"/>
      <c r="AH218" s="861"/>
      <c r="AI218" s="861"/>
      <c r="AJ218" s="861"/>
      <c r="AK218" s="644"/>
    </row>
    <row r="219" spans="1:37">
      <c r="A219" s="639"/>
      <c r="B219" s="1967" t="s">
        <v>1288</v>
      </c>
      <c r="C219" s="1967"/>
      <c r="D219" s="1967"/>
      <c r="E219" s="1967"/>
      <c r="F219" s="1967"/>
      <c r="G219" s="1967"/>
      <c r="I219" s="1966"/>
      <c r="J219" s="1966"/>
      <c r="K219" s="1966"/>
      <c r="L219" s="1050"/>
      <c r="N219" s="1971"/>
      <c r="O219" s="1971"/>
      <c r="P219" s="1971"/>
      <c r="Q219" s="1971"/>
      <c r="R219" s="1971"/>
      <c r="T219" s="2124"/>
      <c r="U219" s="2124"/>
      <c r="V219" s="2124"/>
      <c r="W219" s="2124"/>
      <c r="X219" s="2124"/>
      <c r="Y219" s="2124"/>
      <c r="Z219" s="885"/>
      <c r="AA219" s="885"/>
      <c r="AB219" s="1968">
        <f t="shared" si="0"/>
        <v>0</v>
      </c>
      <c r="AC219" s="1968"/>
      <c r="AD219" s="1968"/>
      <c r="AE219" s="1968"/>
      <c r="AF219" s="1968"/>
      <c r="AG219" s="1968"/>
      <c r="AH219" s="861"/>
      <c r="AI219" s="861"/>
      <c r="AJ219" s="861"/>
      <c r="AK219" s="644"/>
    </row>
    <row r="220" spans="1:37">
      <c r="A220" s="639"/>
      <c r="B220" s="1967" t="s">
        <v>1288</v>
      </c>
      <c r="C220" s="1967"/>
      <c r="D220" s="1967"/>
      <c r="E220" s="1967"/>
      <c r="F220" s="1967"/>
      <c r="G220" s="1967"/>
      <c r="I220" s="1966"/>
      <c r="J220" s="1966"/>
      <c r="K220" s="1966"/>
      <c r="L220" s="1050"/>
      <c r="N220" s="1971"/>
      <c r="O220" s="1971"/>
      <c r="P220" s="1971"/>
      <c r="Q220" s="1971"/>
      <c r="R220" s="1971"/>
      <c r="T220" s="2124"/>
      <c r="U220" s="2124"/>
      <c r="V220" s="2124"/>
      <c r="W220" s="2124"/>
      <c r="X220" s="2124"/>
      <c r="Y220" s="2124"/>
      <c r="Z220" s="885"/>
      <c r="AA220" s="885"/>
      <c r="AB220" s="1968">
        <f t="shared" si="0"/>
        <v>0</v>
      </c>
      <c r="AC220" s="1968"/>
      <c r="AD220" s="1968"/>
      <c r="AE220" s="1968"/>
      <c r="AF220" s="1968"/>
      <c r="AG220" s="1968"/>
      <c r="AH220" s="861"/>
      <c r="AI220" s="861"/>
      <c r="AJ220" s="861"/>
      <c r="AK220" s="644"/>
    </row>
    <row r="221" spans="1:37">
      <c r="A221" s="639"/>
      <c r="B221" s="1967" t="s">
        <v>1288</v>
      </c>
      <c r="C221" s="1967"/>
      <c r="D221" s="1967"/>
      <c r="E221" s="1967"/>
      <c r="F221" s="1967"/>
      <c r="G221" s="1967"/>
      <c r="I221" s="1966"/>
      <c r="J221" s="1966"/>
      <c r="K221" s="1966"/>
      <c r="L221" s="1050"/>
      <c r="N221" s="1971"/>
      <c r="O221" s="1971"/>
      <c r="P221" s="1971"/>
      <c r="Q221" s="1971"/>
      <c r="R221" s="1971"/>
      <c r="T221" s="2124"/>
      <c r="U221" s="2124"/>
      <c r="V221" s="2124"/>
      <c r="W221" s="2124"/>
      <c r="X221" s="2124"/>
      <c r="Y221" s="2124"/>
      <c r="Z221" s="885"/>
      <c r="AA221" s="885"/>
      <c r="AB221" s="1968">
        <f t="shared" si="0"/>
        <v>0</v>
      </c>
      <c r="AC221" s="1968"/>
      <c r="AD221" s="1968"/>
      <c r="AE221" s="1968"/>
      <c r="AF221" s="1968"/>
      <c r="AG221" s="1968"/>
      <c r="AH221" s="861"/>
      <c r="AI221" s="861"/>
      <c r="AJ221" s="861"/>
      <c r="AK221" s="644"/>
    </row>
    <row r="222" spans="1:37">
      <c r="A222" s="639"/>
      <c r="B222" s="1967" t="s">
        <v>1288</v>
      </c>
      <c r="C222" s="1967"/>
      <c r="D222" s="1967"/>
      <c r="E222" s="1967"/>
      <c r="F222" s="1967"/>
      <c r="G222" s="1967"/>
      <c r="I222" s="1969"/>
      <c r="J222" s="1969"/>
      <c r="K222" s="1969"/>
      <c r="L222" s="1050"/>
      <c r="N222" s="1971"/>
      <c r="O222" s="1971"/>
      <c r="P222" s="1971"/>
      <c r="Q222" s="1971"/>
      <c r="R222" s="1971"/>
      <c r="T222" s="2124"/>
      <c r="U222" s="2124"/>
      <c r="V222" s="2124"/>
      <c r="W222" s="2124"/>
      <c r="X222" s="2124"/>
      <c r="Y222" s="2124"/>
      <c r="Z222" s="885"/>
      <c r="AA222" s="885"/>
      <c r="AB222" s="2122">
        <f t="shared" si="0"/>
        <v>0</v>
      </c>
      <c r="AC222" s="2122"/>
      <c r="AD222" s="2122"/>
      <c r="AE222" s="2122"/>
      <c r="AF222" s="2122"/>
      <c r="AG222" s="2122"/>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1716</v>
      </c>
      <c r="AA223" s="887"/>
      <c r="AB223" s="1968">
        <f>SUM(AB213:AB222)</f>
        <v>840108</v>
      </c>
      <c r="AC223" s="1968"/>
      <c r="AD223" s="1968"/>
      <c r="AE223" s="1968"/>
      <c r="AF223" s="1968"/>
      <c r="AG223" s="1968"/>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1706</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1734</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1732</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1726</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2127"/>
      <c r="AC229" s="2127"/>
      <c r="AD229" s="2127"/>
      <c r="AE229" s="2127"/>
      <c r="AF229" s="2127"/>
      <c r="AG229" s="2127"/>
      <c r="AH229" s="644"/>
      <c r="AI229" s="644"/>
      <c r="AJ229" s="644"/>
      <c r="AK229" s="644"/>
    </row>
    <row r="230" spans="1:37">
      <c r="A230" s="639"/>
      <c r="B230" s="871" t="s">
        <v>1731</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1733</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1727</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2127"/>
      <c r="AC232" s="2127"/>
      <c r="AD232" s="2127"/>
      <c r="AE232" s="2127"/>
      <c r="AF232" s="2127"/>
      <c r="AG232" s="2127"/>
      <c r="AH232" s="644"/>
      <c r="AI232" s="644"/>
      <c r="AJ232" s="644"/>
      <c r="AK232" s="644"/>
    </row>
    <row r="233" spans="1:37">
      <c r="A233" s="639"/>
      <c r="B233" s="872" t="s">
        <v>1728</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2150"/>
      <c r="AC233" s="2150"/>
      <c r="AD233" s="2150"/>
      <c r="AE233" s="2150"/>
      <c r="AF233" s="2150"/>
      <c r="AG233" s="2150"/>
      <c r="AH233" s="644"/>
      <c r="AI233" s="644"/>
      <c r="AJ233" s="644"/>
      <c r="AK233" s="644"/>
    </row>
    <row r="234" spans="1:37">
      <c r="A234" s="639"/>
      <c r="B234" s="872" t="s">
        <v>1729</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2133">
        <f>IFERROR(AB232/AB233,0)</f>
        <v>0</v>
      </c>
      <c r="AC234" s="2133"/>
      <c r="AD234" s="2133"/>
      <c r="AE234" s="2133"/>
      <c r="AF234" s="2133"/>
      <c r="AG234" s="2133"/>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1730</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2122">
        <f>MAX(AB229,AB234)</f>
        <v>0</v>
      </c>
      <c r="AC236" s="2122"/>
      <c r="AD236" s="2122"/>
      <c r="AE236" s="2122"/>
      <c r="AF236" s="2122"/>
      <c r="AG236" s="2122"/>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1719</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68">
        <f>AB223+AB236</f>
        <v>840108</v>
      </c>
      <c r="AC239" s="1968"/>
      <c r="AD239" s="1968"/>
      <c r="AE239" s="1968"/>
      <c r="AF239" s="1968"/>
      <c r="AG239" s="1968"/>
      <c r="AH239" s="644"/>
      <c r="AI239" s="644"/>
      <c r="AJ239" s="644"/>
      <c r="AK239" s="644"/>
    </row>
    <row r="240" spans="1:37">
      <c r="A240" s="639"/>
      <c r="B240" s="510" t="s">
        <v>848</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1998">
        <v>0.05</v>
      </c>
      <c r="AC240" s="1998"/>
      <c r="AD240" s="1998"/>
      <c r="AE240" s="1998"/>
      <c r="AF240" s="1998"/>
      <c r="AG240" s="1998"/>
      <c r="AH240" s="644"/>
      <c r="AI240" s="644"/>
      <c r="AJ240" s="644"/>
      <c r="AK240" s="644"/>
    </row>
    <row r="241" spans="1:37">
      <c r="A241" s="639"/>
      <c r="B241" s="510" t="s">
        <v>1720</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1999">
        <f>AB239-(AB239*AB240)</f>
        <v>798102.6</v>
      </c>
      <c r="AC241" s="1999"/>
      <c r="AD241" s="1999"/>
      <c r="AE241" s="1999"/>
      <c r="AF241" s="1999"/>
      <c r="AG241" s="1999"/>
      <c r="AH241" s="644"/>
      <c r="AI241" s="644"/>
      <c r="AJ241" s="644"/>
      <c r="AK241" s="644"/>
    </row>
    <row r="242" spans="1:37">
      <c r="A242" s="639"/>
      <c r="B242" s="510" t="s">
        <v>1721</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1722</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68">
        <f>AB241/AB247</f>
        <v>694002.2608695653</v>
      </c>
      <c r="AC243" s="1968"/>
      <c r="AD243" s="1968"/>
      <c r="AE243" s="1968"/>
      <c r="AF243" s="1968"/>
      <c r="AG243" s="1968"/>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1723</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1960">
        <v>15</v>
      </c>
      <c r="AC245" s="1960"/>
      <c r="AD245" s="1960"/>
      <c r="AE245" s="1960"/>
      <c r="AF245" s="1960"/>
      <c r="AG245" s="1960"/>
      <c r="AH245" s="644"/>
      <c r="AI245" s="644"/>
      <c r="AJ245" s="644"/>
      <c r="AK245" s="644"/>
    </row>
    <row r="246" spans="1:37">
      <c r="A246" s="639"/>
      <c r="B246" s="510" t="s">
        <v>1724</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00">
        <v>0.04</v>
      </c>
      <c r="AC246" s="2000"/>
      <c r="AD246" s="2000"/>
      <c r="AE246" s="2000"/>
      <c r="AF246" s="2000"/>
      <c r="AG246" s="2000"/>
      <c r="AH246" s="644"/>
      <c r="AI246" s="644"/>
      <c r="AJ246" s="644"/>
      <c r="AK246" s="644"/>
    </row>
    <row r="247" spans="1:37">
      <c r="A247" s="639"/>
      <c r="B247" s="510" t="s">
        <v>860</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1972">
        <v>1.1499999999999999</v>
      </c>
      <c r="AC247" s="1972"/>
      <c r="AD247" s="1972"/>
      <c r="AE247" s="1972"/>
      <c r="AF247" s="1972"/>
      <c r="AG247" s="1972"/>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1725</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1991">
        <f>PV(AB246/12,AB245*12,-AB243/12, ,0)</f>
        <v>7818638.0684117479</v>
      </c>
      <c r="AC249" s="1992"/>
      <c r="AD249" s="1992"/>
      <c r="AE249" s="1992"/>
      <c r="AF249" s="1992"/>
      <c r="AG249" s="1993"/>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1701</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1704</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1703</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1702</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1995">
        <f>IFERROR(('Sources and Uses Budget'!D105/'Sources and Uses Budget'!B105),0)</f>
        <v>0</v>
      </c>
      <c r="AC255" s="1996"/>
      <c r="AD255" s="1996"/>
      <c r="AE255" s="1996"/>
      <c r="AF255" s="1996"/>
      <c r="AG255" s="1997"/>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1482</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85">
        <f>AD200*(1-AB255)</f>
        <v>36113638.068411745</v>
      </c>
      <c r="AH257" s="1985"/>
      <c r="AI257" s="1985"/>
      <c r="AJ257" s="1985"/>
      <c r="AK257" s="1985"/>
    </row>
    <row r="258" spans="1:52">
      <c r="A258" s="656"/>
      <c r="B258" s="659" t="s">
        <v>1483</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85">
        <f>'Sources and Uses Budget'!C105</f>
        <v>110111142</v>
      </c>
      <c r="AH258" s="1985"/>
      <c r="AI258" s="1985"/>
      <c r="AJ258" s="1985"/>
      <c r="AK258" s="1985"/>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1986">
        <f>ROUNDDOWN(IF(AND(C281="Yes",AK78=10),((AG257*2)/AG258),AG257/AG258),2)</f>
        <v>0.65</v>
      </c>
      <c r="AH259" s="1986"/>
      <c r="AI259" s="1986"/>
      <c r="AJ259" s="1986"/>
      <c r="AK259" s="1986"/>
    </row>
    <row r="260" spans="1:52">
      <c r="A260" s="656"/>
      <c r="B260" s="1013" t="s">
        <v>1929</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1484</v>
      </c>
      <c r="AK262" s="1987">
        <f>IFERROR(IF(AG259=0,0,IF((AG259*100)&gt;8,8,(AG259*100))),0)</f>
        <v>8</v>
      </c>
      <c r="AL262" s="1987"/>
      <c r="AM262" s="1988"/>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1485</v>
      </c>
      <c r="B265" s="572" t="s">
        <v>1486</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1423</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79" t="s">
        <v>552</v>
      </c>
      <c r="D267" s="1979"/>
      <c r="E267" s="581"/>
      <c r="F267" s="2136" t="s">
        <v>2337</v>
      </c>
      <c r="G267" s="2137"/>
      <c r="H267" s="2137"/>
      <c r="I267" s="2137"/>
      <c r="J267" s="2137"/>
      <c r="K267" s="2137"/>
      <c r="L267" s="2137"/>
      <c r="M267" s="2137"/>
      <c r="N267" s="2137"/>
      <c r="O267" s="2137"/>
      <c r="P267" s="2137"/>
      <c r="Q267" s="2137"/>
      <c r="R267" s="2137"/>
      <c r="S267" s="2137"/>
      <c r="T267" s="2137"/>
      <c r="U267" s="2137"/>
      <c r="V267" s="2137"/>
      <c r="W267" s="2137"/>
      <c r="X267" s="2137"/>
      <c r="Y267" s="2137"/>
      <c r="Z267" s="2137"/>
      <c r="AA267" s="2137"/>
      <c r="AB267" s="2137"/>
      <c r="AC267" s="2137"/>
      <c r="AD267" s="2138"/>
      <c r="AE267" s="584"/>
      <c r="AF267" s="669"/>
      <c r="AG267" s="1980" t="s">
        <v>1472</v>
      </c>
      <c r="AH267" s="1980"/>
      <c r="AI267" s="1980"/>
      <c r="AJ267" s="1980"/>
      <c r="AK267" s="584"/>
      <c r="AL267" s="584"/>
      <c r="AM267" s="584"/>
      <c r="AO267" s="584"/>
    </row>
    <row r="268" spans="1:52" ht="13.7" customHeight="1">
      <c r="A268" s="584"/>
      <c r="B268" s="630"/>
      <c r="C268" s="670"/>
      <c r="D268" s="584"/>
      <c r="E268" s="581"/>
      <c r="F268" s="2139"/>
      <c r="G268" s="2140"/>
      <c r="H268" s="2140"/>
      <c r="I268" s="2140"/>
      <c r="J268" s="2140"/>
      <c r="K268" s="2140"/>
      <c r="L268" s="2140"/>
      <c r="M268" s="2140"/>
      <c r="N268" s="2140"/>
      <c r="O268" s="2140"/>
      <c r="P268" s="2140"/>
      <c r="Q268" s="2140"/>
      <c r="R268" s="2140"/>
      <c r="S268" s="2140"/>
      <c r="T268" s="2140"/>
      <c r="U268" s="2140"/>
      <c r="V268" s="2140"/>
      <c r="W268" s="2140"/>
      <c r="X268" s="2140"/>
      <c r="Y268" s="2140"/>
      <c r="Z268" s="2140"/>
      <c r="AA268" s="2140"/>
      <c r="AB268" s="2140"/>
      <c r="AC268" s="2140"/>
      <c r="AD268" s="2141"/>
      <c r="AE268" s="584"/>
      <c r="AF268" s="669"/>
      <c r="AG268" s="669"/>
      <c r="AH268" s="669"/>
      <c r="AI268" s="669"/>
      <c r="AJ268" s="584"/>
      <c r="AK268" s="584"/>
      <c r="AL268" s="584"/>
      <c r="AM268" s="584"/>
      <c r="AO268" s="584"/>
    </row>
    <row r="269" spans="1:52">
      <c r="A269" s="584"/>
      <c r="B269" s="630"/>
      <c r="C269" s="670"/>
      <c r="D269" s="584"/>
      <c r="E269" s="581"/>
      <c r="F269" s="2139"/>
      <c r="G269" s="2140"/>
      <c r="H269" s="2140"/>
      <c r="I269" s="2140"/>
      <c r="J269" s="2140"/>
      <c r="K269" s="2140"/>
      <c r="L269" s="2140"/>
      <c r="M269" s="2140"/>
      <c r="N269" s="2140"/>
      <c r="O269" s="2140"/>
      <c r="P269" s="2140"/>
      <c r="Q269" s="2140"/>
      <c r="R269" s="2140"/>
      <c r="S269" s="2140"/>
      <c r="T269" s="2140"/>
      <c r="U269" s="2140"/>
      <c r="V269" s="2140"/>
      <c r="W269" s="2140"/>
      <c r="X269" s="2140"/>
      <c r="Y269" s="2140"/>
      <c r="Z269" s="2140"/>
      <c r="AA269" s="2140"/>
      <c r="AB269" s="2140"/>
      <c r="AC269" s="2140"/>
      <c r="AD269" s="2141"/>
      <c r="AE269" s="584"/>
      <c r="AF269" s="669"/>
      <c r="AG269" s="669"/>
      <c r="AH269" s="669"/>
      <c r="AI269" s="669"/>
      <c r="AJ269" s="584"/>
      <c r="AK269" s="584"/>
      <c r="AL269" s="584"/>
      <c r="AM269" s="584"/>
      <c r="AO269" s="584"/>
      <c r="AP269" s="671"/>
    </row>
    <row r="270" spans="1:52">
      <c r="A270" s="584"/>
      <c r="B270" s="630"/>
      <c r="C270" s="670"/>
      <c r="D270" s="584"/>
      <c r="E270" s="581"/>
      <c r="F270" s="2139"/>
      <c r="G270" s="2140"/>
      <c r="H270" s="2140"/>
      <c r="I270" s="2140"/>
      <c r="J270" s="2140"/>
      <c r="K270" s="2140"/>
      <c r="L270" s="2140"/>
      <c r="M270" s="2140"/>
      <c r="N270" s="2140"/>
      <c r="O270" s="2140"/>
      <c r="P270" s="2140"/>
      <c r="Q270" s="2140"/>
      <c r="R270" s="2140"/>
      <c r="S270" s="2140"/>
      <c r="T270" s="2140"/>
      <c r="U270" s="2140"/>
      <c r="V270" s="2140"/>
      <c r="W270" s="2140"/>
      <c r="X270" s="2140"/>
      <c r="Y270" s="2140"/>
      <c r="Z270" s="2140"/>
      <c r="AA270" s="2140"/>
      <c r="AB270" s="2140"/>
      <c r="AC270" s="2140"/>
      <c r="AD270" s="2141"/>
      <c r="AE270" s="584"/>
      <c r="AF270" s="669"/>
      <c r="AG270" s="669"/>
      <c r="AH270" s="669"/>
      <c r="AI270" s="669"/>
      <c r="AJ270" s="584"/>
      <c r="AK270" s="584"/>
      <c r="AL270" s="584"/>
      <c r="AM270" s="584"/>
      <c r="AO270" s="584"/>
      <c r="AP270" s="671"/>
    </row>
    <row r="271" spans="1:52" ht="13.7" customHeight="1">
      <c r="A271" s="584"/>
      <c r="B271" s="630"/>
      <c r="C271" s="1981"/>
      <c r="D271" s="1981"/>
      <c r="E271" s="581"/>
      <c r="F271" s="2142"/>
      <c r="G271" s="2143"/>
      <c r="H271" s="2143"/>
      <c r="I271" s="2143"/>
      <c r="J271" s="2143"/>
      <c r="K271" s="2143"/>
      <c r="L271" s="2143"/>
      <c r="M271" s="2143"/>
      <c r="N271" s="2143"/>
      <c r="O271" s="2143"/>
      <c r="P271" s="2143"/>
      <c r="Q271" s="2143"/>
      <c r="R271" s="2143"/>
      <c r="S271" s="2143"/>
      <c r="T271" s="2143"/>
      <c r="U271" s="2143"/>
      <c r="V271" s="2143"/>
      <c r="W271" s="2143"/>
      <c r="X271" s="2143"/>
      <c r="Y271" s="2143"/>
      <c r="Z271" s="2143"/>
      <c r="AA271" s="2143"/>
      <c r="AB271" s="2143"/>
      <c r="AC271" s="2143"/>
      <c r="AD271" s="2144"/>
      <c r="AE271" s="584"/>
      <c r="AF271" s="669"/>
      <c r="AG271" s="1980"/>
      <c r="AH271" s="1980"/>
      <c r="AI271" s="1980"/>
      <c r="AJ271" s="1980"/>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1488</v>
      </c>
      <c r="AK274" s="1987">
        <f>IF($C$267="yes",10,0)</f>
        <v>10</v>
      </c>
      <c r="AL274" s="1987"/>
      <c r="AM274" s="1988"/>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1489</v>
      </c>
      <c r="B277" s="572" t="s">
        <v>2043</v>
      </c>
      <c r="AH277" s="625" t="s">
        <v>1423</v>
      </c>
    </row>
    <row r="278" spans="1:49" ht="15" customHeight="1">
      <c r="B278" s="573"/>
    </row>
    <row r="279" spans="1:49" ht="15" customHeight="1">
      <c r="B279" s="573" t="s">
        <v>1916</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56" t="s">
        <v>1491</v>
      </c>
      <c r="B281" s="1656"/>
      <c r="C281" s="1976" t="s">
        <v>552</v>
      </c>
      <c r="D281" s="1979"/>
      <c r="E281" s="581"/>
      <c r="F281" s="2007" t="s">
        <v>1492</v>
      </c>
      <c r="G281" s="2008"/>
      <c r="H281" s="2008"/>
      <c r="I281" s="2008"/>
      <c r="J281" s="2008"/>
      <c r="K281" s="2008"/>
      <c r="L281" s="2008"/>
      <c r="M281" s="2008"/>
      <c r="N281" s="2008"/>
      <c r="O281" s="2008"/>
      <c r="P281" s="2008"/>
      <c r="Q281" s="2008"/>
      <c r="R281" s="2008"/>
      <c r="S281" s="2008"/>
      <c r="T281" s="2008"/>
      <c r="U281" s="2008"/>
      <c r="V281" s="2008"/>
      <c r="W281" s="2008"/>
      <c r="X281" s="2008"/>
      <c r="Y281" s="2008"/>
      <c r="Z281" s="2008"/>
      <c r="AA281" s="2008"/>
      <c r="AB281" s="2008"/>
      <c r="AC281" s="2008"/>
      <c r="AD281" s="2009"/>
      <c r="AE281" s="676"/>
      <c r="AF281" s="584"/>
      <c r="AG281" s="2010" t="s">
        <v>2330</v>
      </c>
      <c r="AH281" s="2010"/>
      <c r="AI281" s="2010"/>
      <c r="AJ281" s="2010"/>
      <c r="AK281" s="2010"/>
      <c r="AL281" s="584"/>
      <c r="AM281" s="584"/>
      <c r="AN281" s="73"/>
      <c r="AO281" s="14"/>
      <c r="AP281" s="30"/>
      <c r="AS281" s="604"/>
      <c r="AT281" s="604"/>
      <c r="AU281" s="604"/>
      <c r="AV281" s="32"/>
      <c r="AW281" s="32"/>
    </row>
    <row r="282" spans="1:49">
      <c r="A282" s="674"/>
      <c r="B282" s="630"/>
      <c r="F282" s="2001"/>
      <c r="G282" s="2002"/>
      <c r="H282" s="2002"/>
      <c r="I282" s="2002"/>
      <c r="J282" s="2002"/>
      <c r="K282" s="2002"/>
      <c r="L282" s="2002"/>
      <c r="M282" s="2002"/>
      <c r="N282" s="2002"/>
      <c r="O282" s="2002"/>
      <c r="P282" s="2002"/>
      <c r="Q282" s="2002"/>
      <c r="R282" s="2002"/>
      <c r="S282" s="2002"/>
      <c r="T282" s="2002"/>
      <c r="U282" s="2002"/>
      <c r="V282" s="2002"/>
      <c r="W282" s="2002"/>
      <c r="X282" s="2002"/>
      <c r="Y282" s="2002"/>
      <c r="Z282" s="2002"/>
      <c r="AA282" s="2002"/>
      <c r="AB282" s="2002"/>
      <c r="AC282" s="2002"/>
      <c r="AD282" s="2003"/>
      <c r="AE282" s="676"/>
      <c r="AF282" s="585"/>
      <c r="AH282" s="585"/>
      <c r="AI282" s="585"/>
      <c r="AJ282" s="584"/>
      <c r="AK282" s="584"/>
      <c r="AL282" s="584"/>
      <c r="AM282" s="584"/>
      <c r="AN282" s="73"/>
      <c r="AO282" s="14"/>
      <c r="AP282" s="584">
        <f>IF($C$281="yes",10,IF(C281="50% Met",9,0))</f>
        <v>10</v>
      </c>
      <c r="AS282" s="604"/>
      <c r="AT282" s="604"/>
      <c r="AU282" s="604"/>
      <c r="AV282" s="32"/>
      <c r="AW282" s="32"/>
    </row>
    <row r="283" spans="1:49" ht="15" customHeight="1">
      <c r="A283" s="674"/>
      <c r="B283" s="630"/>
      <c r="F283" s="2001"/>
      <c r="G283" s="2002"/>
      <c r="H283" s="2002"/>
      <c r="I283" s="2002"/>
      <c r="J283" s="2002"/>
      <c r="K283" s="2002"/>
      <c r="L283" s="2002"/>
      <c r="M283" s="2002"/>
      <c r="N283" s="2002"/>
      <c r="O283" s="2002"/>
      <c r="P283" s="2002"/>
      <c r="Q283" s="2002"/>
      <c r="R283" s="2002"/>
      <c r="S283" s="2002"/>
      <c r="T283" s="2002"/>
      <c r="U283" s="2002"/>
      <c r="V283" s="2002"/>
      <c r="W283" s="2002"/>
      <c r="X283" s="2002"/>
      <c r="Y283" s="2002"/>
      <c r="Z283" s="2002"/>
      <c r="AA283" s="2002"/>
      <c r="AB283" s="2002"/>
      <c r="AC283" s="2002"/>
      <c r="AD283" s="2003"/>
      <c r="AE283" s="676"/>
      <c r="AF283" s="585"/>
      <c r="AH283" s="585"/>
      <c r="AI283" s="585"/>
      <c r="AJ283" s="584"/>
      <c r="AK283" s="584"/>
      <c r="AL283" s="584"/>
      <c r="AM283" s="584"/>
      <c r="AN283" s="73"/>
      <c r="AO283" s="14"/>
      <c r="AP283" s="584">
        <f>IF($C$291="yes",9,0)</f>
        <v>0</v>
      </c>
      <c r="AS283" s="604"/>
      <c r="AT283" s="604"/>
      <c r="AU283" s="604"/>
      <c r="AV283" s="32"/>
      <c r="AW283" s="32"/>
    </row>
    <row r="284" spans="1:49" ht="12.75" customHeight="1">
      <c r="A284" s="674"/>
      <c r="B284" s="630"/>
      <c r="F284" s="2001" t="s">
        <v>2338</v>
      </c>
      <c r="G284" s="2002"/>
      <c r="H284" s="2002"/>
      <c r="I284" s="2002"/>
      <c r="J284" s="2002"/>
      <c r="K284" s="2002"/>
      <c r="L284" s="2002"/>
      <c r="M284" s="2002"/>
      <c r="N284" s="2002"/>
      <c r="O284" s="2002"/>
      <c r="P284" s="2002"/>
      <c r="Q284" s="2002"/>
      <c r="R284" s="2002"/>
      <c r="S284" s="2002"/>
      <c r="T284" s="2002"/>
      <c r="U284" s="2002"/>
      <c r="V284" s="2002"/>
      <c r="W284" s="2002"/>
      <c r="X284" s="2002"/>
      <c r="Y284" s="2002"/>
      <c r="Z284" s="2002"/>
      <c r="AA284" s="2002"/>
      <c r="AB284" s="2002"/>
      <c r="AC284" s="2002"/>
      <c r="AD284" s="2003"/>
      <c r="AE284" s="676"/>
      <c r="AF284" s="585"/>
      <c r="AH284" s="585"/>
      <c r="AI284" s="585"/>
      <c r="AJ284" s="584"/>
      <c r="AK284" s="584"/>
      <c r="AL284" s="584"/>
      <c r="AM284" s="584"/>
      <c r="AN284" s="73"/>
      <c r="AO284" s="14"/>
      <c r="AP284" s="645">
        <f>MAX(AP282,AP283)</f>
        <v>10</v>
      </c>
      <c r="AQ284" s="608" t="s">
        <v>1425</v>
      </c>
      <c r="AS284" s="604"/>
      <c r="AT284" s="604"/>
      <c r="AU284" s="604"/>
      <c r="AV284" s="32"/>
      <c r="AW284" s="32"/>
    </row>
    <row r="285" spans="1:49">
      <c r="A285" s="674"/>
      <c r="B285" s="630"/>
      <c r="F285" s="2001"/>
      <c r="G285" s="2002"/>
      <c r="H285" s="2002"/>
      <c r="I285" s="2002"/>
      <c r="J285" s="2002"/>
      <c r="K285" s="2002"/>
      <c r="L285" s="2002"/>
      <c r="M285" s="2002"/>
      <c r="N285" s="2002"/>
      <c r="O285" s="2002"/>
      <c r="P285" s="2002"/>
      <c r="Q285" s="2002"/>
      <c r="R285" s="2002"/>
      <c r="S285" s="2002"/>
      <c r="T285" s="2002"/>
      <c r="U285" s="2002"/>
      <c r="V285" s="2002"/>
      <c r="W285" s="2002"/>
      <c r="X285" s="2002"/>
      <c r="Y285" s="2002"/>
      <c r="Z285" s="2002"/>
      <c r="AA285" s="2002"/>
      <c r="AB285" s="2002"/>
      <c r="AC285" s="2002"/>
      <c r="AD285" s="2003"/>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2001" t="s">
        <v>1493</v>
      </c>
      <c r="G286" s="2002"/>
      <c r="H286" s="2002"/>
      <c r="I286" s="2002"/>
      <c r="J286" s="2002"/>
      <c r="K286" s="2002"/>
      <c r="L286" s="2002"/>
      <c r="M286" s="2002"/>
      <c r="N286" s="2002"/>
      <c r="O286" s="2002"/>
      <c r="P286" s="2002"/>
      <c r="Q286" s="2002"/>
      <c r="R286" s="2002"/>
      <c r="S286" s="2002"/>
      <c r="T286" s="2002"/>
      <c r="U286" s="2002"/>
      <c r="V286" s="2002"/>
      <c r="W286" s="2002"/>
      <c r="X286" s="2002"/>
      <c r="Y286" s="2002"/>
      <c r="Z286" s="2002"/>
      <c r="AA286" s="2002"/>
      <c r="AB286" s="2002"/>
      <c r="AC286" s="2002"/>
      <c r="AD286" s="2003"/>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2001"/>
      <c r="G287" s="2002"/>
      <c r="H287" s="2002"/>
      <c r="I287" s="2002"/>
      <c r="J287" s="2002"/>
      <c r="K287" s="2002"/>
      <c r="L287" s="2002"/>
      <c r="M287" s="2002"/>
      <c r="N287" s="2002"/>
      <c r="O287" s="2002"/>
      <c r="P287" s="2002"/>
      <c r="Q287" s="2002"/>
      <c r="R287" s="2002"/>
      <c r="S287" s="2002"/>
      <c r="T287" s="2002"/>
      <c r="U287" s="2002"/>
      <c r="V287" s="2002"/>
      <c r="W287" s="2002"/>
      <c r="X287" s="2002"/>
      <c r="Y287" s="2002"/>
      <c r="Z287" s="2002"/>
      <c r="AA287" s="2002"/>
      <c r="AB287" s="2002"/>
      <c r="AC287" s="2002"/>
      <c r="AD287" s="2003"/>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2001" t="s">
        <v>1494</v>
      </c>
      <c r="G288" s="2002"/>
      <c r="H288" s="2002"/>
      <c r="I288" s="2002"/>
      <c r="J288" s="2002"/>
      <c r="K288" s="2002"/>
      <c r="L288" s="2002"/>
      <c r="M288" s="2002"/>
      <c r="N288" s="2002"/>
      <c r="O288" s="2002"/>
      <c r="P288" s="2002"/>
      <c r="Q288" s="2002"/>
      <c r="R288" s="2002"/>
      <c r="S288" s="2002"/>
      <c r="T288" s="2002"/>
      <c r="U288" s="2002"/>
      <c r="V288" s="2002"/>
      <c r="W288" s="2002"/>
      <c r="X288" s="2002"/>
      <c r="Y288" s="2002"/>
      <c r="Z288" s="2002"/>
      <c r="AA288" s="2002"/>
      <c r="AB288" s="2002"/>
      <c r="AC288" s="2002"/>
      <c r="AD288" s="2003"/>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2004"/>
      <c r="G289" s="2005"/>
      <c r="H289" s="2005"/>
      <c r="I289" s="2005"/>
      <c r="J289" s="2005"/>
      <c r="K289" s="2005"/>
      <c r="L289" s="2005"/>
      <c r="M289" s="2005"/>
      <c r="N289" s="2005"/>
      <c r="O289" s="2005"/>
      <c r="P289" s="2005"/>
      <c r="Q289" s="2005"/>
      <c r="R289" s="2005"/>
      <c r="S289" s="2005"/>
      <c r="T289" s="2005"/>
      <c r="U289" s="2005"/>
      <c r="V289" s="2005"/>
      <c r="W289" s="2005"/>
      <c r="X289" s="2005"/>
      <c r="Y289" s="2005"/>
      <c r="Z289" s="2005"/>
      <c r="AA289" s="2005"/>
      <c r="AB289" s="2005"/>
      <c r="AC289" s="2005"/>
      <c r="AD289" s="2006"/>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56" t="s">
        <v>1495</v>
      </c>
      <c r="B291" s="1656"/>
      <c r="C291" s="1979" t="s">
        <v>598</v>
      </c>
      <c r="D291" s="1979"/>
      <c r="E291" s="581"/>
      <c r="F291" s="678" t="s">
        <v>2331</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1497</v>
      </c>
      <c r="AH291" s="585"/>
      <c r="AI291" s="585"/>
      <c r="AJ291" s="584"/>
      <c r="AK291" s="584"/>
      <c r="AL291" s="584"/>
      <c r="AM291" s="584"/>
      <c r="AN291" s="681"/>
      <c r="AO291" s="14"/>
    </row>
    <row r="292" spans="1:49">
      <c r="A292" s="584"/>
      <c r="B292" s="585"/>
      <c r="C292" s="584"/>
      <c r="D292" s="585"/>
      <c r="E292" s="584"/>
      <c r="F292" s="1914" t="s">
        <v>2332</v>
      </c>
      <c r="G292" s="1915"/>
      <c r="H292" s="1915"/>
      <c r="I292" s="1915"/>
      <c r="J292" s="1915"/>
      <c r="K292" s="1915"/>
      <c r="L292" s="1915"/>
      <c r="M292" s="1915"/>
      <c r="N292" s="1915"/>
      <c r="O292" s="1915"/>
      <c r="P292" s="1915"/>
      <c r="Q292" s="1915"/>
      <c r="R292" s="1915"/>
      <c r="S292" s="1915"/>
      <c r="T292" s="1915"/>
      <c r="U292" s="1915"/>
      <c r="V292" s="1915"/>
      <c r="W292" s="1915"/>
      <c r="X292" s="1915"/>
      <c r="Y292" s="1915"/>
      <c r="Z292" s="1915"/>
      <c r="AA292" s="1915"/>
      <c r="AB292" s="1915"/>
      <c r="AC292" s="1915"/>
      <c r="AD292" s="1916"/>
      <c r="AE292" s="585"/>
      <c r="AF292" s="585"/>
      <c r="AG292" s="585"/>
      <c r="AH292" s="585"/>
      <c r="AI292" s="585"/>
      <c r="AJ292" s="584"/>
      <c r="AK292" s="584"/>
      <c r="AL292" s="584"/>
      <c r="AM292" s="584"/>
      <c r="AR292" s="682"/>
    </row>
    <row r="293" spans="1:49" ht="15" customHeight="1">
      <c r="A293" s="584"/>
      <c r="B293" s="585"/>
      <c r="C293" s="584"/>
      <c r="D293" s="585"/>
      <c r="E293" s="584"/>
      <c r="F293" s="1914"/>
      <c r="G293" s="1915"/>
      <c r="H293" s="1915"/>
      <c r="I293" s="1915"/>
      <c r="J293" s="1915"/>
      <c r="K293" s="1915"/>
      <c r="L293" s="1915"/>
      <c r="M293" s="1915"/>
      <c r="N293" s="1915"/>
      <c r="O293" s="1915"/>
      <c r="P293" s="1915"/>
      <c r="Q293" s="1915"/>
      <c r="R293" s="1915"/>
      <c r="S293" s="1915"/>
      <c r="T293" s="1915"/>
      <c r="U293" s="1915"/>
      <c r="V293" s="1915"/>
      <c r="W293" s="1915"/>
      <c r="X293" s="1915"/>
      <c r="Y293" s="1915"/>
      <c r="Z293" s="1915"/>
      <c r="AA293" s="1915"/>
      <c r="AB293" s="1915"/>
      <c r="AC293" s="1915"/>
      <c r="AD293" s="1916"/>
      <c r="AE293" s="585"/>
      <c r="AF293" s="585"/>
      <c r="AG293" s="585"/>
      <c r="AH293" s="585"/>
      <c r="AI293" s="585"/>
      <c r="AJ293" s="584"/>
      <c r="AK293" s="584"/>
      <c r="AL293" s="584"/>
      <c r="AM293" s="584"/>
      <c r="AR293" s="682"/>
    </row>
    <row r="294" spans="1:49">
      <c r="A294" s="584"/>
      <c r="B294" s="585"/>
      <c r="C294" s="584"/>
      <c r="D294" s="585"/>
      <c r="E294" s="584"/>
      <c r="F294" s="1914"/>
      <c r="G294" s="1915"/>
      <c r="H294" s="1915"/>
      <c r="I294" s="1915"/>
      <c r="J294" s="1915"/>
      <c r="K294" s="1915"/>
      <c r="L294" s="1915"/>
      <c r="M294" s="1915"/>
      <c r="N294" s="1915"/>
      <c r="O294" s="1915"/>
      <c r="P294" s="1915"/>
      <c r="Q294" s="1915"/>
      <c r="R294" s="1915"/>
      <c r="S294" s="1915"/>
      <c r="T294" s="1915"/>
      <c r="U294" s="1915"/>
      <c r="V294" s="1915"/>
      <c r="W294" s="1915"/>
      <c r="X294" s="1915"/>
      <c r="Y294" s="1915"/>
      <c r="Z294" s="1915"/>
      <c r="AA294" s="1915"/>
      <c r="AB294" s="1915"/>
      <c r="AC294" s="1915"/>
      <c r="AD294" s="1916"/>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1911"/>
      <c r="G295" s="1912"/>
      <c r="H295" s="1912"/>
      <c r="I295" s="1912"/>
      <c r="J295" s="1912"/>
      <c r="K295" s="1912"/>
      <c r="L295" s="1912"/>
      <c r="M295" s="1912"/>
      <c r="N295" s="1912"/>
      <c r="O295" s="1912"/>
      <c r="P295" s="1912"/>
      <c r="Q295" s="1912"/>
      <c r="R295" s="1912"/>
      <c r="S295" s="1912"/>
      <c r="T295" s="1912"/>
      <c r="U295" s="1912"/>
      <c r="V295" s="1912"/>
      <c r="W295" s="1912"/>
      <c r="X295" s="1912"/>
      <c r="Y295" s="1912"/>
      <c r="Z295" s="1912"/>
      <c r="AA295" s="1912"/>
      <c r="AB295" s="1912"/>
      <c r="AC295" s="1912"/>
      <c r="AD295" s="1913"/>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56" t="s">
        <v>1498</v>
      </c>
      <c r="B299" s="1656"/>
      <c r="C299" s="1979" t="s">
        <v>598</v>
      </c>
      <c r="D299" s="1979"/>
      <c r="E299" s="581"/>
      <c r="F299" s="678" t="s">
        <v>1496</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1497</v>
      </c>
      <c r="AH299" s="585"/>
      <c r="AI299" s="585"/>
      <c r="AJ299" s="584"/>
      <c r="AK299" s="584"/>
      <c r="AL299" s="584"/>
      <c r="AM299" s="584"/>
      <c r="AN299" s="73"/>
      <c r="AO299" s="14"/>
    </row>
    <row r="300" spans="1:49" hidden="1">
      <c r="A300" s="89"/>
      <c r="B300" s="89"/>
      <c r="C300" s="764"/>
      <c r="D300" s="764"/>
      <c r="E300" s="581"/>
      <c r="F300" s="2001" t="s">
        <v>2339</v>
      </c>
      <c r="G300" s="2002"/>
      <c r="H300" s="2002"/>
      <c r="I300" s="2002"/>
      <c r="J300" s="2002"/>
      <c r="K300" s="2002"/>
      <c r="L300" s="2002"/>
      <c r="M300" s="2002"/>
      <c r="N300" s="2002"/>
      <c r="O300" s="2002"/>
      <c r="P300" s="2002"/>
      <c r="Q300" s="2002"/>
      <c r="R300" s="2002"/>
      <c r="S300" s="2002"/>
      <c r="T300" s="2002"/>
      <c r="U300" s="2002"/>
      <c r="V300" s="2002"/>
      <c r="W300" s="2002"/>
      <c r="X300" s="2002"/>
      <c r="Y300" s="2002"/>
      <c r="Z300" s="2002"/>
      <c r="AA300" s="2002"/>
      <c r="AB300" s="2002"/>
      <c r="AC300" s="2002"/>
      <c r="AD300" s="2003"/>
      <c r="AE300" s="585"/>
      <c r="AF300" s="585"/>
      <c r="AG300" s="573"/>
      <c r="AH300" s="585"/>
      <c r="AI300" s="585"/>
      <c r="AJ300" s="584"/>
      <c r="AK300" s="584"/>
      <c r="AL300" s="584"/>
      <c r="AM300" s="584"/>
      <c r="AN300" s="73"/>
      <c r="AO300" s="14"/>
      <c r="AP300" s="591" t="s">
        <v>1288</v>
      </c>
    </row>
    <row r="301" spans="1:49" hidden="1">
      <c r="F301" s="2001"/>
      <c r="G301" s="2002"/>
      <c r="H301" s="2002"/>
      <c r="I301" s="2002"/>
      <c r="J301" s="2002"/>
      <c r="K301" s="2002"/>
      <c r="L301" s="2002"/>
      <c r="M301" s="2002"/>
      <c r="N301" s="2002"/>
      <c r="O301" s="2002"/>
      <c r="P301" s="2002"/>
      <c r="Q301" s="2002"/>
      <c r="R301" s="2002"/>
      <c r="S301" s="2002"/>
      <c r="T301" s="2002"/>
      <c r="U301" s="2002"/>
      <c r="V301" s="2002"/>
      <c r="W301" s="2002"/>
      <c r="X301" s="2002"/>
      <c r="Y301" s="2002"/>
      <c r="Z301" s="2002"/>
      <c r="AA301" s="2002"/>
      <c r="AB301" s="2002"/>
      <c r="AC301" s="2002"/>
      <c r="AD301" s="2003"/>
      <c r="AE301" s="585"/>
      <c r="AF301" s="585"/>
      <c r="AH301" s="585"/>
      <c r="AI301" s="585"/>
      <c r="AJ301" s="584"/>
      <c r="AK301" s="584"/>
      <c r="AL301" s="584"/>
      <c r="AM301" s="584"/>
      <c r="AN301" s="73"/>
      <c r="AO301" s="14"/>
      <c r="AP301" s="591" t="s">
        <v>1918</v>
      </c>
    </row>
    <row r="302" spans="1:49" hidden="1">
      <c r="A302" s="584"/>
      <c r="B302" s="585"/>
      <c r="C302" s="764"/>
      <c r="D302" s="764"/>
      <c r="E302" s="581"/>
      <c r="F302" s="686" t="s">
        <v>1499</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1920</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2045</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11" t="s">
        <v>1288</v>
      </c>
      <c r="G305" s="2012"/>
      <c r="H305" s="2012"/>
      <c r="I305" s="2012"/>
      <c r="J305" s="2012"/>
      <c r="K305" s="2012"/>
      <c r="L305" s="2012"/>
      <c r="M305" s="2012"/>
      <c r="N305" s="2012"/>
      <c r="O305" s="2012"/>
      <c r="P305" s="2012"/>
      <c r="Q305" s="2012"/>
      <c r="R305" s="2012"/>
      <c r="S305" s="2012"/>
      <c r="T305" s="2012"/>
      <c r="U305" s="2012"/>
      <c r="V305" s="2012"/>
      <c r="W305" s="2012"/>
      <c r="X305" s="2012"/>
      <c r="Y305" s="2012"/>
      <c r="Z305" s="2012"/>
      <c r="AA305" s="2012"/>
      <c r="AB305" s="2012"/>
      <c r="AC305" s="2012"/>
      <c r="AD305" s="2013"/>
      <c r="AE305" s="676"/>
      <c r="AF305" s="676"/>
      <c r="AG305" s="676"/>
      <c r="AH305" s="676"/>
      <c r="AI305" s="676"/>
      <c r="AJ305" s="676"/>
      <c r="AK305" s="676"/>
      <c r="AL305" s="584"/>
      <c r="AM305" s="584"/>
      <c r="AN305" s="73"/>
      <c r="AO305" s="14"/>
      <c r="AP305" s="30"/>
    </row>
    <row r="306" spans="1:42" hidden="1">
      <c r="A306" s="584"/>
      <c r="B306" s="585"/>
      <c r="C306" s="764"/>
      <c r="D306" s="764"/>
      <c r="E306" s="581"/>
      <c r="F306" s="2011"/>
      <c r="G306" s="2012"/>
      <c r="H306" s="2012"/>
      <c r="I306" s="2012"/>
      <c r="J306" s="2012"/>
      <c r="K306" s="2012"/>
      <c r="L306" s="2012"/>
      <c r="M306" s="2012"/>
      <c r="N306" s="2012"/>
      <c r="O306" s="2012"/>
      <c r="P306" s="2012"/>
      <c r="Q306" s="2012"/>
      <c r="R306" s="2012"/>
      <c r="S306" s="2012"/>
      <c r="T306" s="2012"/>
      <c r="U306" s="2012"/>
      <c r="V306" s="2012"/>
      <c r="W306" s="2012"/>
      <c r="X306" s="2012"/>
      <c r="Y306" s="2012"/>
      <c r="Z306" s="2012"/>
      <c r="AA306" s="2012"/>
      <c r="AB306" s="2012"/>
      <c r="AC306" s="2012"/>
      <c r="AD306" s="2013"/>
      <c r="AE306" s="585"/>
      <c r="AF306" s="585"/>
      <c r="AG306" s="573"/>
      <c r="AH306" s="585"/>
      <c r="AI306" s="585"/>
      <c r="AJ306" s="584"/>
      <c r="AK306" s="584"/>
      <c r="AL306" s="584"/>
      <c r="AM306" s="584"/>
      <c r="AN306" s="73"/>
      <c r="AO306" s="14"/>
      <c r="AP306" s="30"/>
    </row>
    <row r="307" spans="1:42" hidden="1">
      <c r="A307" s="584"/>
      <c r="B307" s="585"/>
      <c r="C307" s="764"/>
      <c r="D307" s="764"/>
      <c r="E307" s="581"/>
      <c r="F307" s="2011"/>
      <c r="G307" s="2012"/>
      <c r="H307" s="2012"/>
      <c r="I307" s="2012"/>
      <c r="J307" s="2012"/>
      <c r="K307" s="2012"/>
      <c r="L307" s="2012"/>
      <c r="M307" s="2012"/>
      <c r="N307" s="2012"/>
      <c r="O307" s="2012"/>
      <c r="P307" s="2012"/>
      <c r="Q307" s="2012"/>
      <c r="R307" s="2012"/>
      <c r="S307" s="2012"/>
      <c r="T307" s="2012"/>
      <c r="U307" s="2012"/>
      <c r="V307" s="2012"/>
      <c r="W307" s="2012"/>
      <c r="X307" s="2012"/>
      <c r="Y307" s="2012"/>
      <c r="Z307" s="2012"/>
      <c r="AA307" s="2012"/>
      <c r="AB307" s="2012"/>
      <c r="AC307" s="2012"/>
      <c r="AD307" s="2013"/>
      <c r="AE307" s="585"/>
      <c r="AF307" s="585"/>
      <c r="AG307" s="573"/>
      <c r="AH307" s="585"/>
      <c r="AI307" s="585"/>
      <c r="AJ307" s="584"/>
      <c r="AK307" s="584"/>
      <c r="AL307" s="584"/>
      <c r="AM307" s="584"/>
      <c r="AN307" s="73"/>
      <c r="AO307" s="14"/>
      <c r="AP307" s="30"/>
    </row>
    <row r="308" spans="1:42" hidden="1">
      <c r="A308" s="584"/>
      <c r="B308" s="585"/>
      <c r="C308" s="764"/>
      <c r="D308" s="764"/>
      <c r="E308" s="581"/>
      <c r="F308" s="2011"/>
      <c r="G308" s="2012"/>
      <c r="H308" s="2012"/>
      <c r="I308" s="2012"/>
      <c r="J308" s="2012"/>
      <c r="K308" s="2012"/>
      <c r="L308" s="2012"/>
      <c r="M308" s="2012"/>
      <c r="N308" s="2012"/>
      <c r="O308" s="2012"/>
      <c r="P308" s="2012"/>
      <c r="Q308" s="2012"/>
      <c r="R308" s="2012"/>
      <c r="S308" s="2012"/>
      <c r="T308" s="2012"/>
      <c r="U308" s="2012"/>
      <c r="V308" s="2012"/>
      <c r="W308" s="2012"/>
      <c r="X308" s="2012"/>
      <c r="Y308" s="2012"/>
      <c r="Z308" s="2012"/>
      <c r="AA308" s="2012"/>
      <c r="AB308" s="2012"/>
      <c r="AC308" s="2012"/>
      <c r="AD308" s="2013"/>
      <c r="AE308" s="585"/>
      <c r="AF308" s="585"/>
      <c r="AG308" s="573"/>
      <c r="AH308" s="585"/>
      <c r="AI308" s="585"/>
      <c r="AJ308" s="584"/>
      <c r="AK308" s="584"/>
      <c r="AL308" s="584"/>
      <c r="AM308" s="584"/>
      <c r="AN308" s="73"/>
      <c r="AO308" s="14"/>
      <c r="AP308" s="30"/>
    </row>
    <row r="309" spans="1:42" hidden="1">
      <c r="A309" s="584"/>
      <c r="B309" s="585"/>
      <c r="C309" s="764"/>
      <c r="D309" s="764"/>
      <c r="E309" s="581"/>
      <c r="F309" s="2014"/>
      <c r="G309" s="2015"/>
      <c r="H309" s="2015"/>
      <c r="I309" s="2015"/>
      <c r="J309" s="2015"/>
      <c r="K309" s="2015"/>
      <c r="L309" s="2015"/>
      <c r="M309" s="2015"/>
      <c r="N309" s="2015"/>
      <c r="O309" s="2015"/>
      <c r="P309" s="2015"/>
      <c r="Q309" s="2015"/>
      <c r="R309" s="2015"/>
      <c r="S309" s="2015"/>
      <c r="T309" s="2015"/>
      <c r="U309" s="2015"/>
      <c r="V309" s="2015"/>
      <c r="W309" s="2015"/>
      <c r="X309" s="2015"/>
      <c r="Y309" s="2015"/>
      <c r="Z309" s="2015"/>
      <c r="AA309" s="2015"/>
      <c r="AB309" s="2015"/>
      <c r="AC309" s="2015"/>
      <c r="AD309" s="2016"/>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1919</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1288</v>
      </c>
    </row>
    <row r="313" spans="1:42" ht="12.75" hidden="1" customHeight="1">
      <c r="A313" s="584"/>
      <c r="B313" s="585"/>
      <c r="C313" s="764"/>
      <c r="D313" s="764"/>
      <c r="E313" s="581"/>
      <c r="F313" s="690"/>
      <c r="G313" s="609" t="s">
        <v>695</v>
      </c>
      <c r="H313" s="609"/>
      <c r="I313" s="2017" t="s">
        <v>1288</v>
      </c>
      <c r="J313" s="2017"/>
      <c r="K313" s="2017"/>
      <c r="L313" s="2017"/>
      <c r="M313" s="2017"/>
      <c r="N313" s="2017"/>
      <c r="O313" s="2017"/>
      <c r="P313" s="2017"/>
      <c r="Q313" s="2017"/>
      <c r="R313" s="2017"/>
      <c r="S313" s="2017"/>
      <c r="T313" s="2017"/>
      <c r="U313" s="2017"/>
      <c r="V313" s="2017"/>
      <c r="W313" s="2017"/>
      <c r="X313" s="2017"/>
      <c r="Y313" s="2017"/>
      <c r="Z313" s="2017"/>
      <c r="AA313" s="2017"/>
      <c r="AB313" s="2017"/>
      <c r="AC313" s="2017"/>
      <c r="AD313" s="2018"/>
      <c r="AE313" s="585"/>
      <c r="AF313" s="585"/>
      <c r="AG313" s="573"/>
      <c r="AH313" s="585"/>
      <c r="AI313" s="585"/>
      <c r="AJ313" s="584"/>
      <c r="AK313" s="584"/>
      <c r="AL313" s="584"/>
      <c r="AM313" s="584"/>
      <c r="AN313" s="73"/>
      <c r="AO313" s="14"/>
      <c r="AP313" s="591" t="s">
        <v>1748</v>
      </c>
    </row>
    <row r="314" spans="1:42" hidden="1">
      <c r="A314" s="584"/>
      <c r="B314" s="585"/>
      <c r="C314" s="764"/>
      <c r="D314" s="764"/>
      <c r="E314" s="581"/>
      <c r="F314" s="690"/>
      <c r="G314" s="609"/>
      <c r="H314" s="609"/>
      <c r="I314" s="2017"/>
      <c r="J314" s="2017"/>
      <c r="K314" s="2017"/>
      <c r="L314" s="2017"/>
      <c r="M314" s="2017"/>
      <c r="N314" s="2017"/>
      <c r="O314" s="2017"/>
      <c r="P314" s="2017"/>
      <c r="Q314" s="2017"/>
      <c r="R314" s="2017"/>
      <c r="S314" s="2017"/>
      <c r="T314" s="2017"/>
      <c r="U314" s="2017"/>
      <c r="V314" s="2017"/>
      <c r="W314" s="2017"/>
      <c r="X314" s="2017"/>
      <c r="Y314" s="2017"/>
      <c r="Z314" s="2017"/>
      <c r="AA314" s="2017"/>
      <c r="AB314" s="2017"/>
      <c r="AC314" s="2017"/>
      <c r="AD314" s="2018"/>
      <c r="AE314" s="585"/>
      <c r="AF314" s="585"/>
      <c r="AG314" s="573"/>
      <c r="AH314" s="585"/>
      <c r="AI314" s="585"/>
      <c r="AJ314" s="584"/>
      <c r="AK314" s="584"/>
      <c r="AL314" s="584"/>
      <c r="AM314" s="584"/>
      <c r="AN314" s="73"/>
      <c r="AO314" s="14"/>
      <c r="AP314" s="591" t="s">
        <v>1921</v>
      </c>
    </row>
    <row r="315" spans="1:42" hidden="1">
      <c r="A315" s="584"/>
      <c r="B315" s="585"/>
      <c r="C315" s="685"/>
      <c r="D315" s="685"/>
      <c r="E315" s="581"/>
      <c r="F315" s="690"/>
      <c r="G315" s="609"/>
      <c r="H315" s="609"/>
      <c r="I315" s="2017"/>
      <c r="J315" s="2017"/>
      <c r="K315" s="2017"/>
      <c r="L315" s="2017"/>
      <c r="M315" s="2017"/>
      <c r="N315" s="2017"/>
      <c r="O315" s="2017"/>
      <c r="P315" s="2017"/>
      <c r="Q315" s="2017"/>
      <c r="R315" s="2017"/>
      <c r="S315" s="2017"/>
      <c r="T315" s="2017"/>
      <c r="U315" s="2017"/>
      <c r="V315" s="2017"/>
      <c r="W315" s="2017"/>
      <c r="X315" s="2017"/>
      <c r="Y315" s="2017"/>
      <c r="Z315" s="2017"/>
      <c r="AA315" s="2017"/>
      <c r="AB315" s="2017"/>
      <c r="AC315" s="2017"/>
      <c r="AD315" s="2018"/>
      <c r="AE315" s="585"/>
      <c r="AF315" s="585"/>
      <c r="AG315" s="573"/>
      <c r="AH315" s="585"/>
      <c r="AI315" s="585"/>
      <c r="AJ315" s="584"/>
      <c r="AK315" s="584"/>
      <c r="AL315" s="584"/>
      <c r="AM315" s="584"/>
      <c r="AN315" s="73"/>
      <c r="AO315" s="14"/>
      <c r="AP315" s="591" t="s">
        <v>1923</v>
      </c>
    </row>
    <row r="316" spans="1:42" hidden="1">
      <c r="A316" s="584"/>
      <c r="B316" s="585"/>
      <c r="C316" s="685"/>
      <c r="D316" s="685"/>
      <c r="E316" s="581"/>
      <c r="F316" s="688"/>
      <c r="G316" s="585"/>
      <c r="H316" s="585"/>
      <c r="I316" s="2019"/>
      <c r="J316" s="2019"/>
      <c r="K316" s="2019"/>
      <c r="L316" s="2019"/>
      <c r="M316" s="2019"/>
      <c r="N316" s="2019"/>
      <c r="O316" s="2019"/>
      <c r="P316" s="2019"/>
      <c r="Q316" s="2019"/>
      <c r="R316" s="2019"/>
      <c r="S316" s="2019"/>
      <c r="T316" s="2019"/>
      <c r="U316" s="2019"/>
      <c r="V316" s="2019"/>
      <c r="W316" s="2019"/>
      <c r="X316" s="2019"/>
      <c r="Y316" s="2019"/>
      <c r="Z316" s="2019"/>
      <c r="AA316" s="2019"/>
      <c r="AB316" s="2019"/>
      <c r="AC316" s="2019"/>
      <c r="AD316" s="2020"/>
      <c r="AE316" s="585"/>
      <c r="AF316" s="585"/>
      <c r="AG316" s="573"/>
      <c r="AH316" s="585"/>
      <c r="AI316" s="585"/>
      <c r="AJ316" s="584"/>
      <c r="AK316" s="584"/>
      <c r="AL316" s="584"/>
      <c r="AM316" s="584"/>
      <c r="AN316" s="73"/>
      <c r="AO316" s="14"/>
      <c r="AP316" s="591" t="s">
        <v>1922</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516</v>
      </c>
      <c r="H318" s="585"/>
      <c r="I318" s="2017" t="s">
        <v>1288</v>
      </c>
      <c r="J318" s="2017"/>
      <c r="K318" s="2017"/>
      <c r="L318" s="2017"/>
      <c r="M318" s="2017"/>
      <c r="N318" s="2017"/>
      <c r="O318" s="2017"/>
      <c r="P318" s="2017"/>
      <c r="Q318" s="2017"/>
      <c r="R318" s="2017"/>
      <c r="S318" s="2017"/>
      <c r="T318" s="2017"/>
      <c r="U318" s="2017"/>
      <c r="V318" s="2017"/>
      <c r="W318" s="2017"/>
      <c r="X318" s="2017"/>
      <c r="Y318" s="2017"/>
      <c r="Z318" s="2017"/>
      <c r="AA318" s="2017"/>
      <c r="AB318" s="2017"/>
      <c r="AC318" s="2017"/>
      <c r="AD318" s="2018"/>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17"/>
      <c r="J319" s="2017"/>
      <c r="K319" s="2017"/>
      <c r="L319" s="2017"/>
      <c r="M319" s="2017"/>
      <c r="N319" s="2017"/>
      <c r="O319" s="2017"/>
      <c r="P319" s="2017"/>
      <c r="Q319" s="2017"/>
      <c r="R319" s="2017"/>
      <c r="S319" s="2017"/>
      <c r="T319" s="2017"/>
      <c r="U319" s="2017"/>
      <c r="V319" s="2017"/>
      <c r="W319" s="2017"/>
      <c r="X319" s="2017"/>
      <c r="Y319" s="2017"/>
      <c r="Z319" s="2017"/>
      <c r="AA319" s="2017"/>
      <c r="AB319" s="2017"/>
      <c r="AC319" s="2017"/>
      <c r="AD319" s="2018"/>
      <c r="AE319" s="585"/>
      <c r="AF319" s="585"/>
      <c r="AG319" s="573"/>
      <c r="AH319" s="585"/>
      <c r="AI319" s="585"/>
      <c r="AJ319" s="584"/>
      <c r="AK319" s="584"/>
      <c r="AL319" s="584"/>
      <c r="AM319" s="584"/>
      <c r="AN319" s="73"/>
      <c r="AO319" s="14"/>
      <c r="AP319" s="591" t="s">
        <v>1288</v>
      </c>
    </row>
    <row r="320" spans="1:42" hidden="1">
      <c r="A320" s="584"/>
      <c r="B320" s="585"/>
      <c r="C320" s="685"/>
      <c r="D320" s="685"/>
      <c r="E320" s="581"/>
      <c r="F320" s="691"/>
      <c r="G320" s="692"/>
      <c r="H320" s="692"/>
      <c r="I320" s="2019"/>
      <c r="J320" s="2019"/>
      <c r="K320" s="2019"/>
      <c r="L320" s="2019"/>
      <c r="M320" s="2019"/>
      <c r="N320" s="2019"/>
      <c r="O320" s="2019"/>
      <c r="P320" s="2019"/>
      <c r="Q320" s="2019"/>
      <c r="R320" s="2019"/>
      <c r="S320" s="2019"/>
      <c r="T320" s="2019"/>
      <c r="U320" s="2019"/>
      <c r="V320" s="2019"/>
      <c r="W320" s="2019"/>
      <c r="X320" s="2019"/>
      <c r="Y320" s="2019"/>
      <c r="Z320" s="2019"/>
      <c r="AA320" s="2019"/>
      <c r="AB320" s="2019"/>
      <c r="AC320" s="2019"/>
      <c r="AD320" s="2020"/>
      <c r="AE320" s="585"/>
      <c r="AF320" s="585"/>
      <c r="AG320" s="573"/>
      <c r="AH320" s="585"/>
      <c r="AI320" s="585"/>
      <c r="AJ320" s="584"/>
      <c r="AK320" s="584"/>
      <c r="AL320" s="584"/>
      <c r="AM320" s="584"/>
      <c r="AN320" s="73"/>
      <c r="AO320" s="14"/>
      <c r="AP320" s="591" t="s">
        <v>1500</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1749</v>
      </c>
    </row>
    <row r="322" spans="1:44" ht="12.75" hidden="1" customHeight="1">
      <c r="A322" s="1656" t="s">
        <v>1501</v>
      </c>
      <c r="B322" s="1656"/>
      <c r="C322" s="1979" t="s">
        <v>598</v>
      </c>
      <c r="D322" s="1979"/>
      <c r="E322" s="581"/>
      <c r="F322" s="1908" t="s">
        <v>2340</v>
      </c>
      <c r="G322" s="1909"/>
      <c r="H322" s="1909"/>
      <c r="I322" s="1909"/>
      <c r="J322" s="1909"/>
      <c r="K322" s="1909"/>
      <c r="L322" s="1909"/>
      <c r="M322" s="1909"/>
      <c r="N322" s="1909"/>
      <c r="O322" s="1909"/>
      <c r="P322" s="1909"/>
      <c r="Q322" s="1909"/>
      <c r="R322" s="1909"/>
      <c r="S322" s="1909"/>
      <c r="T322" s="1909"/>
      <c r="U322" s="1909"/>
      <c r="V322" s="1909"/>
      <c r="W322" s="1909"/>
      <c r="X322" s="1909"/>
      <c r="Y322" s="1909"/>
      <c r="Z322" s="1909"/>
      <c r="AA322" s="1909"/>
      <c r="AB322" s="1909"/>
      <c r="AC322" s="1909"/>
      <c r="AD322" s="1910"/>
      <c r="AE322" s="585"/>
      <c r="AF322" s="585"/>
      <c r="AG322" s="573" t="s">
        <v>1497</v>
      </c>
      <c r="AH322" s="585"/>
      <c r="AI322" s="585"/>
      <c r="AJ322" s="584"/>
      <c r="AK322" s="584"/>
      <c r="AL322" s="584"/>
      <c r="AM322" s="584"/>
      <c r="AN322" s="73"/>
      <c r="AO322" s="14"/>
    </row>
    <row r="323" spans="1:44" ht="15" hidden="1" customHeight="1">
      <c r="A323" s="584"/>
      <c r="B323" s="585"/>
      <c r="C323" s="585"/>
      <c r="D323" s="585"/>
      <c r="E323" s="585"/>
      <c r="F323" s="1914"/>
      <c r="G323" s="1915"/>
      <c r="H323" s="1915"/>
      <c r="I323" s="1915"/>
      <c r="J323" s="1915"/>
      <c r="K323" s="1915"/>
      <c r="L323" s="1915"/>
      <c r="M323" s="1915"/>
      <c r="N323" s="1915"/>
      <c r="O323" s="1915"/>
      <c r="P323" s="1915"/>
      <c r="Q323" s="1915"/>
      <c r="R323" s="1915"/>
      <c r="S323" s="1915"/>
      <c r="T323" s="1915"/>
      <c r="U323" s="1915"/>
      <c r="V323" s="1915"/>
      <c r="W323" s="1915"/>
      <c r="X323" s="1915"/>
      <c r="Y323" s="1915"/>
      <c r="Z323" s="1915"/>
      <c r="AA323" s="1915"/>
      <c r="AB323" s="1915"/>
      <c r="AC323" s="1915"/>
      <c r="AD323" s="1916"/>
      <c r="AE323" s="585"/>
      <c r="AF323" s="585"/>
      <c r="AG323" s="585"/>
      <c r="AH323" s="585"/>
      <c r="AI323" s="585"/>
      <c r="AJ323" s="584"/>
      <c r="AK323" s="584"/>
      <c r="AL323" s="584"/>
      <c r="AM323" s="584"/>
      <c r="AN323" s="73"/>
      <c r="AO323" s="14"/>
    </row>
    <row r="324" spans="1:44" ht="15" hidden="1" customHeight="1">
      <c r="A324" s="584"/>
      <c r="B324" s="585"/>
      <c r="C324" s="585"/>
      <c r="D324" s="585"/>
      <c r="E324" s="585"/>
      <c r="F324" s="1914"/>
      <c r="G324" s="1915"/>
      <c r="H324" s="1915"/>
      <c r="I324" s="1915"/>
      <c r="J324" s="1915"/>
      <c r="K324" s="1915"/>
      <c r="L324" s="1915"/>
      <c r="M324" s="1915"/>
      <c r="N324" s="1915"/>
      <c r="O324" s="1915"/>
      <c r="P324" s="1915"/>
      <c r="Q324" s="1915"/>
      <c r="R324" s="1915"/>
      <c r="S324" s="1915"/>
      <c r="T324" s="1915"/>
      <c r="U324" s="1915"/>
      <c r="V324" s="1915"/>
      <c r="W324" s="1915"/>
      <c r="X324" s="1915"/>
      <c r="Y324" s="1915"/>
      <c r="Z324" s="1915"/>
      <c r="AA324" s="1915"/>
      <c r="AB324" s="1915"/>
      <c r="AC324" s="1915"/>
      <c r="AD324" s="1916"/>
      <c r="AE324" s="585"/>
      <c r="AF324" s="585"/>
      <c r="AG324" s="585"/>
      <c r="AH324" s="585"/>
      <c r="AI324" s="585"/>
      <c r="AJ324" s="584"/>
      <c r="AK324" s="584"/>
      <c r="AL324" s="584"/>
      <c r="AM324" s="693"/>
      <c r="AN324" s="14"/>
      <c r="AO324" s="14"/>
    </row>
    <row r="325" spans="1:44" hidden="1">
      <c r="A325" s="584"/>
      <c r="B325" s="585"/>
      <c r="C325" s="584"/>
      <c r="D325" s="585"/>
      <c r="E325" s="584"/>
      <c r="F325" s="694" t="s">
        <v>1502</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1561</v>
      </c>
      <c r="AK327" s="1982">
        <f>IF(NOT(OR(Application!M355="Yes",Application!M356="Yes")),0,AP284)</f>
        <v>10</v>
      </c>
      <c r="AL327" s="1983"/>
      <c r="AM327" s="1984"/>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1562</v>
      </c>
      <c r="B330" s="573" t="s">
        <v>855</v>
      </c>
      <c r="C330" s="570"/>
      <c r="AC330" s="573"/>
      <c r="AE330" s="1917" t="s">
        <v>1423</v>
      </c>
      <c r="AF330" s="1917"/>
      <c r="AG330" s="1917"/>
      <c r="AH330" s="1917"/>
      <c r="AI330" s="1917"/>
      <c r="AJ330" s="1917"/>
      <c r="AK330" s="1917"/>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2021" t="s">
        <v>1563</v>
      </c>
      <c r="D332" s="2021"/>
      <c r="E332" s="2021"/>
      <c r="F332" s="2021"/>
      <c r="G332" s="2021"/>
      <c r="H332" s="2021"/>
      <c r="I332" s="2021"/>
      <c r="J332" s="2021"/>
      <c r="K332" s="2021"/>
      <c r="L332" s="2021"/>
      <c r="M332" s="2021"/>
      <c r="N332" s="2021"/>
      <c r="O332" s="2021"/>
      <c r="P332" s="2021"/>
      <c r="Q332" s="2021"/>
      <c r="R332" s="2021"/>
      <c r="S332" s="2021"/>
      <c r="T332" s="2021"/>
      <c r="U332" s="2021"/>
      <c r="V332" s="2021"/>
      <c r="W332" s="2021"/>
      <c r="X332" s="2021"/>
      <c r="Y332" s="2021"/>
      <c r="Z332" s="2021"/>
      <c r="AA332" s="2021"/>
      <c r="AB332" s="2021"/>
      <c r="AC332" s="2021"/>
      <c r="AD332" s="2021"/>
      <c r="AE332" s="2021"/>
      <c r="AF332" s="2021"/>
      <c r="AG332" s="2021"/>
      <c r="AH332" s="2021"/>
      <c r="AI332" s="2021"/>
      <c r="AJ332" s="2021"/>
      <c r="AK332" s="637"/>
      <c r="AL332" s="637"/>
      <c r="AM332" s="637"/>
      <c r="AN332" s="631"/>
    </row>
    <row r="333" spans="1:44" s="584" customFormat="1" ht="12.75" customHeight="1">
      <c r="A333" s="637"/>
      <c r="B333" s="645"/>
      <c r="C333" s="2021"/>
      <c r="D333" s="2021"/>
      <c r="E333" s="2021"/>
      <c r="F333" s="2021"/>
      <c r="G333" s="2021"/>
      <c r="H333" s="2021"/>
      <c r="I333" s="2021"/>
      <c r="J333" s="2021"/>
      <c r="K333" s="2021"/>
      <c r="L333" s="2021"/>
      <c r="M333" s="2021"/>
      <c r="N333" s="2021"/>
      <c r="O333" s="2021"/>
      <c r="P333" s="2021"/>
      <c r="Q333" s="2021"/>
      <c r="R333" s="2021"/>
      <c r="S333" s="2021"/>
      <c r="T333" s="2021"/>
      <c r="U333" s="2021"/>
      <c r="V333" s="2021"/>
      <c r="W333" s="2021"/>
      <c r="X333" s="2021"/>
      <c r="Y333" s="2021"/>
      <c r="Z333" s="2021"/>
      <c r="AA333" s="2021"/>
      <c r="AB333" s="2021"/>
      <c r="AC333" s="2021"/>
      <c r="AD333" s="2021"/>
      <c r="AE333" s="2021"/>
      <c r="AF333" s="2021"/>
      <c r="AG333" s="2021"/>
      <c r="AH333" s="2021"/>
      <c r="AI333" s="2021"/>
      <c r="AJ333" s="2021"/>
      <c r="AK333" s="637"/>
      <c r="AL333" s="637"/>
      <c r="AM333" s="637"/>
      <c r="AN333" s="631"/>
    </row>
    <row r="334" spans="1:44" s="584" customFormat="1" ht="12.75" customHeight="1">
      <c r="A334" s="637"/>
      <c r="B334" s="645"/>
      <c r="C334" s="2021"/>
      <c r="D334" s="2021"/>
      <c r="E334" s="2021"/>
      <c r="F334" s="2021"/>
      <c r="G334" s="2021"/>
      <c r="H334" s="2021"/>
      <c r="I334" s="2021"/>
      <c r="J334" s="2021"/>
      <c r="K334" s="2021"/>
      <c r="L334" s="2021"/>
      <c r="M334" s="2021"/>
      <c r="N334" s="2021"/>
      <c r="O334" s="2021"/>
      <c r="P334" s="2021"/>
      <c r="Q334" s="2021"/>
      <c r="R334" s="2021"/>
      <c r="S334" s="2021"/>
      <c r="T334" s="2021"/>
      <c r="U334" s="2021"/>
      <c r="V334" s="2021"/>
      <c r="W334" s="2021"/>
      <c r="X334" s="2021"/>
      <c r="Y334" s="2021"/>
      <c r="Z334" s="2021"/>
      <c r="AA334" s="2021"/>
      <c r="AB334" s="2021"/>
      <c r="AC334" s="2021"/>
      <c r="AD334" s="2021"/>
      <c r="AE334" s="2021"/>
      <c r="AF334" s="2021"/>
      <c r="AG334" s="2021"/>
      <c r="AH334" s="2021"/>
      <c r="AI334" s="2021"/>
      <c r="AJ334" s="2021"/>
      <c r="AK334" s="637"/>
      <c r="AL334" s="637"/>
      <c r="AM334" s="637"/>
      <c r="AN334" s="631"/>
      <c r="AQ334" s="604"/>
    </row>
    <row r="335" spans="1:44" s="584" customFormat="1" ht="12.75" customHeight="1">
      <c r="A335" s="637"/>
      <c r="B335" s="645"/>
      <c r="C335" s="2021"/>
      <c r="D335" s="2021"/>
      <c r="E335" s="2021"/>
      <c r="F335" s="2021"/>
      <c r="G335" s="2021"/>
      <c r="H335" s="2021"/>
      <c r="I335" s="2021"/>
      <c r="J335" s="2021"/>
      <c r="K335" s="2021"/>
      <c r="L335" s="2021"/>
      <c r="M335" s="2021"/>
      <c r="N335" s="2021"/>
      <c r="O335" s="2021"/>
      <c r="P335" s="2021"/>
      <c r="Q335" s="2021"/>
      <c r="R335" s="2021"/>
      <c r="S335" s="2021"/>
      <c r="T335" s="2021"/>
      <c r="U335" s="2021"/>
      <c r="V335" s="2021"/>
      <c r="W335" s="2021"/>
      <c r="X335" s="2021"/>
      <c r="Y335" s="2021"/>
      <c r="Z335" s="2021"/>
      <c r="AA335" s="2021"/>
      <c r="AB335" s="2021"/>
      <c r="AC335" s="2021"/>
      <c r="AD335" s="2021"/>
      <c r="AE335" s="2021"/>
      <c r="AF335" s="2021"/>
      <c r="AG335" s="2021"/>
      <c r="AH335" s="2021"/>
      <c r="AI335" s="2021"/>
      <c r="AJ335" s="2021"/>
      <c r="AK335" s="637"/>
      <c r="AL335" s="637"/>
      <c r="AM335" s="637"/>
      <c r="AN335" s="631"/>
      <c r="AQ335" s="604"/>
    </row>
    <row r="336" spans="1:44" s="584" customFormat="1" ht="12.6" customHeight="1">
      <c r="A336" s="637"/>
      <c r="B336" s="645"/>
      <c r="C336" s="2021"/>
      <c r="D336" s="2021"/>
      <c r="E336" s="2021"/>
      <c r="F336" s="2021"/>
      <c r="G336" s="2021"/>
      <c r="H336" s="2021"/>
      <c r="I336" s="2021"/>
      <c r="J336" s="2021"/>
      <c r="K336" s="2021"/>
      <c r="L336" s="2021"/>
      <c r="M336" s="2021"/>
      <c r="N336" s="2021"/>
      <c r="O336" s="2021"/>
      <c r="P336" s="2021"/>
      <c r="Q336" s="2021"/>
      <c r="R336" s="2021"/>
      <c r="S336" s="2021"/>
      <c r="T336" s="2021"/>
      <c r="U336" s="2021"/>
      <c r="V336" s="2021"/>
      <c r="W336" s="2021"/>
      <c r="X336" s="2021"/>
      <c r="Y336" s="2021"/>
      <c r="Z336" s="2021"/>
      <c r="AA336" s="2021"/>
      <c r="AB336" s="2021"/>
      <c r="AC336" s="2021"/>
      <c r="AD336" s="2021"/>
      <c r="AE336" s="2021"/>
      <c r="AF336" s="2021"/>
      <c r="AG336" s="2021"/>
      <c r="AH336" s="2021"/>
      <c r="AI336" s="2021"/>
      <c r="AJ336" s="2021"/>
      <c r="AK336" s="637"/>
      <c r="AL336" s="637"/>
      <c r="AM336" s="637"/>
      <c r="AN336" s="631"/>
      <c r="AQ336" s="604"/>
      <c r="AR336" s="604"/>
    </row>
    <row r="337" spans="1:46" s="584" customFormat="1" ht="45.75" customHeight="1">
      <c r="A337" s="637"/>
      <c r="B337" s="645"/>
      <c r="C337" s="2021" t="s">
        <v>2407</v>
      </c>
      <c r="D337" s="2021"/>
      <c r="E337" s="2021"/>
      <c r="F337" s="2021"/>
      <c r="G337" s="2021"/>
      <c r="H337" s="2021"/>
      <c r="I337" s="2021"/>
      <c r="J337" s="2021"/>
      <c r="K337" s="2021"/>
      <c r="L337" s="2021"/>
      <c r="M337" s="2021"/>
      <c r="N337" s="2021"/>
      <c r="O337" s="2021"/>
      <c r="P337" s="2021"/>
      <c r="Q337" s="2021"/>
      <c r="R337" s="2021"/>
      <c r="S337" s="2021"/>
      <c r="T337" s="2021"/>
      <c r="U337" s="2021"/>
      <c r="V337" s="2021"/>
      <c r="W337" s="2021"/>
      <c r="X337" s="2021"/>
      <c r="Y337" s="2021"/>
      <c r="Z337" s="2021"/>
      <c r="AA337" s="2021"/>
      <c r="AB337" s="2021"/>
      <c r="AC337" s="2021"/>
      <c r="AD337" s="2021"/>
      <c r="AE337" s="2021"/>
      <c r="AF337" s="2021"/>
      <c r="AG337" s="2021"/>
      <c r="AH337" s="2021"/>
      <c r="AI337" s="2021"/>
      <c r="AJ337" s="2021"/>
      <c r="AK337" s="637"/>
      <c r="AL337" s="637"/>
      <c r="AM337" s="637"/>
      <c r="AN337" s="631"/>
      <c r="AQ337" s="604"/>
      <c r="AR337" s="604"/>
    </row>
    <row r="338" spans="1:46" s="584" customFormat="1" ht="12.6"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2021" t="s">
        <v>2571</v>
      </c>
      <c r="D339" s="2021"/>
      <c r="E339" s="2021"/>
      <c r="F339" s="2021"/>
      <c r="G339" s="2021"/>
      <c r="H339" s="2021"/>
      <c r="I339" s="2021"/>
      <c r="J339" s="2021"/>
      <c r="K339" s="2021"/>
      <c r="L339" s="2021"/>
      <c r="M339" s="2021"/>
      <c r="N339" s="2021"/>
      <c r="O339" s="2021"/>
      <c r="P339" s="2021"/>
      <c r="Q339" s="2021"/>
      <c r="R339" s="2021"/>
      <c r="S339" s="2021"/>
      <c r="T339" s="2021"/>
      <c r="U339" s="2021"/>
      <c r="V339" s="2021"/>
      <c r="W339" s="2021"/>
      <c r="X339" s="2021"/>
      <c r="Y339" s="2021"/>
      <c r="Z339" s="2021"/>
      <c r="AA339" s="2021"/>
      <c r="AB339" s="2021"/>
      <c r="AC339" s="2021"/>
      <c r="AD339" s="2021"/>
      <c r="AE339" s="2021"/>
      <c r="AF339" s="2021"/>
      <c r="AG339" s="2021"/>
      <c r="AH339" s="2021"/>
      <c r="AI339" s="2021"/>
      <c r="AJ339" s="2021"/>
      <c r="AK339" s="637"/>
      <c r="AL339" s="637"/>
      <c r="AM339" s="637"/>
      <c r="AN339" s="631"/>
      <c r="AQ339" s="604"/>
      <c r="AR339" s="604"/>
    </row>
    <row r="340" spans="1:46" s="584" customFormat="1" ht="30" customHeight="1">
      <c r="A340" s="637"/>
      <c r="B340" s="645"/>
      <c r="C340" s="2021"/>
      <c r="D340" s="2021"/>
      <c r="E340" s="2021"/>
      <c r="F340" s="2021"/>
      <c r="G340" s="2021"/>
      <c r="H340" s="2021"/>
      <c r="I340" s="2021"/>
      <c r="J340" s="2021"/>
      <c r="K340" s="2021"/>
      <c r="L340" s="2021"/>
      <c r="M340" s="2021"/>
      <c r="N340" s="2021"/>
      <c r="O340" s="2021"/>
      <c r="P340" s="2021"/>
      <c r="Q340" s="2021"/>
      <c r="R340" s="2021"/>
      <c r="S340" s="2021"/>
      <c r="T340" s="2021"/>
      <c r="U340" s="2021"/>
      <c r="V340" s="2021"/>
      <c r="W340" s="2021"/>
      <c r="X340" s="2021"/>
      <c r="Y340" s="2021"/>
      <c r="Z340" s="2021"/>
      <c r="AA340" s="2021"/>
      <c r="AB340" s="2021"/>
      <c r="AC340" s="2021"/>
      <c r="AD340" s="2021"/>
      <c r="AE340" s="2021"/>
      <c r="AF340" s="2021"/>
      <c r="AG340" s="2021"/>
      <c r="AH340" s="2021"/>
      <c r="AI340" s="2021"/>
      <c r="AJ340" s="2021"/>
      <c r="AK340" s="637"/>
      <c r="AL340" s="637"/>
      <c r="AM340" s="637"/>
      <c r="AN340" s="631"/>
      <c r="AR340" s="604"/>
    </row>
    <row r="341" spans="1:46" s="584" customFormat="1" ht="12.75" customHeight="1">
      <c r="A341" s="637"/>
      <c r="B341" s="645"/>
      <c r="C341" s="2021"/>
      <c r="D341" s="2021"/>
      <c r="E341" s="2021"/>
      <c r="F341" s="2021"/>
      <c r="G341" s="2021"/>
      <c r="H341" s="2021"/>
      <c r="I341" s="2021"/>
      <c r="J341" s="2021"/>
      <c r="K341" s="2021"/>
      <c r="L341" s="2021"/>
      <c r="M341" s="2021"/>
      <c r="N341" s="2021"/>
      <c r="O341" s="2021"/>
      <c r="P341" s="2021"/>
      <c r="Q341" s="2021"/>
      <c r="R341" s="2021"/>
      <c r="S341" s="2021"/>
      <c r="T341" s="2021"/>
      <c r="U341" s="2021"/>
      <c r="V341" s="2021"/>
      <c r="W341" s="2021"/>
      <c r="X341" s="2021"/>
      <c r="Y341" s="2021"/>
      <c r="Z341" s="2021"/>
      <c r="AA341" s="2021"/>
      <c r="AB341" s="2021"/>
      <c r="AC341" s="2021"/>
      <c r="AD341" s="2021"/>
      <c r="AE341" s="2021"/>
      <c r="AF341" s="2021"/>
      <c r="AG341" s="2021"/>
      <c r="AH341" s="2021"/>
      <c r="AI341" s="2021"/>
      <c r="AJ341" s="2021"/>
      <c r="AK341" s="637"/>
      <c r="AL341" s="637"/>
      <c r="AM341" s="637"/>
      <c r="AN341" s="631"/>
      <c r="AR341" s="604"/>
    </row>
    <row r="342" spans="1:46" s="584" customFormat="1" ht="12.75" customHeight="1">
      <c r="A342" s="637"/>
      <c r="B342" s="645"/>
      <c r="C342" s="2021" t="s">
        <v>1564</v>
      </c>
      <c r="D342" s="2021"/>
      <c r="E342" s="2021"/>
      <c r="F342" s="2021"/>
      <c r="G342" s="2021"/>
      <c r="H342" s="2021"/>
      <c r="I342" s="2021"/>
      <c r="J342" s="2021"/>
      <c r="K342" s="2021"/>
      <c r="L342" s="2021"/>
      <c r="M342" s="2021"/>
      <c r="N342" s="2021"/>
      <c r="O342" s="2021"/>
      <c r="P342" s="2021"/>
      <c r="Q342" s="2021"/>
      <c r="R342" s="2021"/>
      <c r="S342" s="2021"/>
      <c r="T342" s="2021"/>
      <c r="U342" s="2021"/>
      <c r="V342" s="2021"/>
      <c r="W342" s="2021"/>
      <c r="X342" s="2021"/>
      <c r="Y342" s="2021"/>
      <c r="Z342" s="2021"/>
      <c r="AA342" s="2021"/>
      <c r="AB342" s="2021"/>
      <c r="AC342" s="2021"/>
      <c r="AD342" s="2021"/>
      <c r="AE342" s="2021"/>
      <c r="AF342" s="2021"/>
      <c r="AG342" s="2021"/>
      <c r="AH342" s="2021"/>
      <c r="AI342" s="2021"/>
      <c r="AJ342" s="2021"/>
      <c r="AK342" s="637"/>
      <c r="AL342" s="637"/>
      <c r="AM342" s="637"/>
      <c r="AN342" s="631"/>
      <c r="AQ342" s="604"/>
      <c r="AR342" s="604"/>
    </row>
    <row r="343" spans="1:46" s="584" customFormat="1" ht="12.75" customHeight="1">
      <c r="A343" s="637"/>
      <c r="B343" s="645"/>
      <c r="C343" s="2021"/>
      <c r="D343" s="2021"/>
      <c r="E343" s="2021"/>
      <c r="F343" s="2021"/>
      <c r="G343" s="2021"/>
      <c r="H343" s="2021"/>
      <c r="I343" s="2021"/>
      <c r="J343" s="2021"/>
      <c r="K343" s="2021"/>
      <c r="L343" s="2021"/>
      <c r="M343" s="2021"/>
      <c r="N343" s="2021"/>
      <c r="O343" s="2021"/>
      <c r="P343" s="2021"/>
      <c r="Q343" s="2021"/>
      <c r="R343" s="2021"/>
      <c r="S343" s="2021"/>
      <c r="T343" s="2021"/>
      <c r="U343" s="2021"/>
      <c r="V343" s="2021"/>
      <c r="W343" s="2021"/>
      <c r="X343" s="2021"/>
      <c r="Y343" s="2021"/>
      <c r="Z343" s="2021"/>
      <c r="AA343" s="2021"/>
      <c r="AB343" s="2021"/>
      <c r="AC343" s="2021"/>
      <c r="AD343" s="2021"/>
      <c r="AE343" s="2021"/>
      <c r="AF343" s="2021"/>
      <c r="AG343" s="2021"/>
      <c r="AH343" s="2021"/>
      <c r="AI343" s="2021"/>
      <c r="AJ343" s="2021"/>
      <c r="AK343" s="637"/>
      <c r="AL343" s="637"/>
      <c r="AM343" s="637"/>
      <c r="AN343" s="631"/>
      <c r="AQ343" s="604"/>
      <c r="AR343" s="604"/>
    </row>
    <row r="344" spans="1:46" s="584" customFormat="1" ht="13.35" customHeight="1">
      <c r="A344" s="637"/>
      <c r="B344" s="645"/>
      <c r="C344" s="2021"/>
      <c r="D344" s="2021"/>
      <c r="E344" s="2021"/>
      <c r="F344" s="2021"/>
      <c r="G344" s="2021"/>
      <c r="H344" s="2021"/>
      <c r="I344" s="2021"/>
      <c r="J344" s="2021"/>
      <c r="K344" s="2021"/>
      <c r="L344" s="2021"/>
      <c r="M344" s="2021"/>
      <c r="N344" s="2021"/>
      <c r="O344" s="2021"/>
      <c r="P344" s="2021"/>
      <c r="Q344" s="2021"/>
      <c r="R344" s="2021"/>
      <c r="S344" s="2021"/>
      <c r="T344" s="2021"/>
      <c r="U344" s="2021"/>
      <c r="V344" s="2021"/>
      <c r="W344" s="2021"/>
      <c r="X344" s="2021"/>
      <c r="Y344" s="2021"/>
      <c r="Z344" s="2021"/>
      <c r="AA344" s="2021"/>
      <c r="AB344" s="2021"/>
      <c r="AC344" s="2021"/>
      <c r="AD344" s="2021"/>
      <c r="AE344" s="2021"/>
      <c r="AF344" s="2021"/>
      <c r="AG344" s="2021"/>
      <c r="AH344" s="2021"/>
      <c r="AI344" s="2021"/>
      <c r="AJ344" s="2021"/>
      <c r="AK344" s="637"/>
      <c r="AL344" s="637"/>
      <c r="AM344" s="637"/>
      <c r="AN344" s="631"/>
      <c r="AQ344" s="604"/>
      <c r="AR344" s="604"/>
    </row>
    <row r="345" spans="1:46" s="584" customFormat="1" ht="12.75" customHeight="1">
      <c r="A345" s="637"/>
      <c r="B345" s="645"/>
      <c r="C345" s="2021"/>
      <c r="D345" s="2021"/>
      <c r="E345" s="2021"/>
      <c r="F345" s="2021"/>
      <c r="G345" s="2021"/>
      <c r="H345" s="2021"/>
      <c r="I345" s="2021"/>
      <c r="J345" s="2021"/>
      <c r="K345" s="2021"/>
      <c r="L345" s="2021"/>
      <c r="M345" s="2021"/>
      <c r="N345" s="2021"/>
      <c r="O345" s="2021"/>
      <c r="P345" s="2021"/>
      <c r="Q345" s="2021"/>
      <c r="R345" s="2021"/>
      <c r="S345" s="2021"/>
      <c r="T345" s="2021"/>
      <c r="U345" s="2021"/>
      <c r="V345" s="2021"/>
      <c r="W345" s="2021"/>
      <c r="X345" s="2021"/>
      <c r="Y345" s="2021"/>
      <c r="Z345" s="2021"/>
      <c r="AA345" s="2021"/>
      <c r="AB345" s="2021"/>
      <c r="AC345" s="2021"/>
      <c r="AD345" s="2021"/>
      <c r="AE345" s="2021"/>
      <c r="AF345" s="2021"/>
      <c r="AG345" s="2021"/>
      <c r="AH345" s="2021"/>
      <c r="AI345" s="2021"/>
      <c r="AJ345" s="2021"/>
      <c r="AK345" s="637"/>
      <c r="AL345" s="637"/>
      <c r="AM345" s="637"/>
      <c r="AN345" s="631"/>
      <c r="AO345" s="728"/>
      <c r="AP345" s="728"/>
      <c r="AQ345" s="604"/>
    </row>
    <row r="346" spans="1:46" s="584" customFormat="1" ht="11.85" customHeight="1">
      <c r="A346" s="637"/>
      <c r="B346" s="645"/>
      <c r="C346" s="2021"/>
      <c r="D346" s="2021"/>
      <c r="E346" s="2021"/>
      <c r="F346" s="2021"/>
      <c r="G346" s="2021"/>
      <c r="H346" s="2021"/>
      <c r="I346" s="2021"/>
      <c r="J346" s="2021"/>
      <c r="K346" s="2021"/>
      <c r="L346" s="2021"/>
      <c r="M346" s="2021"/>
      <c r="N346" s="2021"/>
      <c r="O346" s="2021"/>
      <c r="P346" s="2021"/>
      <c r="Q346" s="2021"/>
      <c r="R346" s="2021"/>
      <c r="S346" s="2021"/>
      <c r="T346" s="2021"/>
      <c r="U346" s="2021"/>
      <c r="V346" s="2021"/>
      <c r="W346" s="2021"/>
      <c r="X346" s="2021"/>
      <c r="Y346" s="2021"/>
      <c r="Z346" s="2021"/>
      <c r="AA346" s="2021"/>
      <c r="AB346" s="2021"/>
      <c r="AC346" s="2021"/>
      <c r="AD346" s="2021"/>
      <c r="AE346" s="2021"/>
      <c r="AF346" s="2021"/>
      <c r="AG346" s="2021"/>
      <c r="AH346" s="2021"/>
      <c r="AI346" s="2021"/>
      <c r="AJ346" s="2021"/>
      <c r="AK346" s="637"/>
      <c r="AL346" s="637"/>
      <c r="AM346" s="637"/>
      <c r="AN346" s="631"/>
      <c r="AO346" s="729" t="s">
        <v>112</v>
      </c>
      <c r="AP346" s="730">
        <f>IF(C370="Yes",5,0)</f>
        <v>5</v>
      </c>
      <c r="AS346" s="573" t="s">
        <v>1565</v>
      </c>
    </row>
    <row r="347" spans="1:46" s="584" customFormat="1" ht="12.75" customHeight="1">
      <c r="A347" s="637"/>
      <c r="B347" s="645"/>
      <c r="C347" s="2021"/>
      <c r="D347" s="2021"/>
      <c r="E347" s="2021"/>
      <c r="F347" s="2021"/>
      <c r="G347" s="2021"/>
      <c r="H347" s="2021"/>
      <c r="I347" s="2021"/>
      <c r="J347" s="2021"/>
      <c r="K347" s="2021"/>
      <c r="L347" s="2021"/>
      <c r="M347" s="2021"/>
      <c r="N347" s="2021"/>
      <c r="O347" s="2021"/>
      <c r="P347" s="2021"/>
      <c r="Q347" s="2021"/>
      <c r="R347" s="2021"/>
      <c r="S347" s="2021"/>
      <c r="T347" s="2021"/>
      <c r="U347" s="2021"/>
      <c r="V347" s="2021"/>
      <c r="W347" s="2021"/>
      <c r="X347" s="2021"/>
      <c r="Y347" s="2021"/>
      <c r="Z347" s="2021"/>
      <c r="AA347" s="2021"/>
      <c r="AB347" s="2021"/>
      <c r="AC347" s="2021"/>
      <c r="AD347" s="2021"/>
      <c r="AE347" s="2021"/>
      <c r="AF347" s="2021"/>
      <c r="AG347" s="2021"/>
      <c r="AH347" s="2021"/>
      <c r="AI347" s="2021"/>
      <c r="AJ347" s="2021"/>
      <c r="AK347" s="637"/>
      <c r="AL347" s="637"/>
      <c r="AM347" s="637"/>
      <c r="AN347" s="631"/>
      <c r="AO347" s="729" t="s">
        <v>113</v>
      </c>
      <c r="AP347" s="730">
        <f>IF(C378="Yes",5,0)</f>
        <v>0</v>
      </c>
      <c r="AS347" s="2042">
        <f>IF(Application!D211="Non-Targeted",(SUM(AQ355+AQ364)),AS351)</f>
        <v>10</v>
      </c>
      <c r="AT347" s="2042"/>
    </row>
    <row r="348" spans="1:46" s="584" customFormat="1" ht="12.75" customHeight="1">
      <c r="A348" s="637"/>
      <c r="B348" s="645"/>
      <c r="C348" s="2021"/>
      <c r="D348" s="2021"/>
      <c r="E348" s="2021"/>
      <c r="F348" s="2021"/>
      <c r="G348" s="2021"/>
      <c r="H348" s="2021"/>
      <c r="I348" s="2021"/>
      <c r="J348" s="2021"/>
      <c r="K348" s="2021"/>
      <c r="L348" s="2021"/>
      <c r="M348" s="2021"/>
      <c r="N348" s="2021"/>
      <c r="O348" s="2021"/>
      <c r="P348" s="2021"/>
      <c r="Q348" s="2021"/>
      <c r="R348" s="2021"/>
      <c r="S348" s="2021"/>
      <c r="T348" s="2021"/>
      <c r="U348" s="2021"/>
      <c r="V348" s="2021"/>
      <c r="W348" s="2021"/>
      <c r="X348" s="2021"/>
      <c r="Y348" s="2021"/>
      <c r="Z348" s="2021"/>
      <c r="AA348" s="2021"/>
      <c r="AB348" s="2021"/>
      <c r="AC348" s="2021"/>
      <c r="AD348" s="2021"/>
      <c r="AE348" s="2021"/>
      <c r="AF348" s="2021"/>
      <c r="AG348" s="2021"/>
      <c r="AH348" s="2021"/>
      <c r="AI348" s="2021"/>
      <c r="AJ348" s="2021"/>
      <c r="AK348" s="637"/>
      <c r="AL348" s="637"/>
      <c r="AM348" s="637"/>
      <c r="AN348" s="631"/>
      <c r="AO348" s="729" t="s">
        <v>119</v>
      </c>
      <c r="AP348" s="730">
        <f>IF(C386="Yes",7,0)</f>
        <v>0</v>
      </c>
      <c r="AS348" s="573" t="s">
        <v>1566</v>
      </c>
    </row>
    <row r="349" spans="1:46" s="584" customFormat="1" ht="12.75" customHeight="1">
      <c r="A349" s="637"/>
      <c r="B349" s="645"/>
      <c r="C349" s="2021"/>
      <c r="D349" s="2021"/>
      <c r="E349" s="2021"/>
      <c r="F349" s="2021"/>
      <c r="G349" s="2021"/>
      <c r="H349" s="2021"/>
      <c r="I349" s="2021"/>
      <c r="J349" s="2021"/>
      <c r="K349" s="2021"/>
      <c r="L349" s="2021"/>
      <c r="M349" s="2021"/>
      <c r="N349" s="2021"/>
      <c r="O349" s="2021"/>
      <c r="P349" s="2021"/>
      <c r="Q349" s="2021"/>
      <c r="R349" s="2021"/>
      <c r="S349" s="2021"/>
      <c r="T349" s="2021"/>
      <c r="U349" s="2021"/>
      <c r="V349" s="2021"/>
      <c r="W349" s="2021"/>
      <c r="X349" s="2021"/>
      <c r="Y349" s="2021"/>
      <c r="Z349" s="2021"/>
      <c r="AA349" s="2021"/>
      <c r="AB349" s="2021"/>
      <c r="AC349" s="2021"/>
      <c r="AD349" s="2021"/>
      <c r="AE349" s="2021"/>
      <c r="AF349" s="2021"/>
      <c r="AG349" s="2021"/>
      <c r="AH349" s="2021"/>
      <c r="AI349" s="2021"/>
      <c r="AJ349" s="2021"/>
      <c r="AK349" s="637"/>
      <c r="AL349" s="637"/>
      <c r="AM349" s="637"/>
      <c r="AN349" s="631"/>
      <c r="AO349" s="631"/>
      <c r="AP349" s="730">
        <f>IF(C388="Yes",5,0)</f>
        <v>5</v>
      </c>
      <c r="AS349" s="2042">
        <f>IF(AND(AQ355&gt;0,AQ364&gt;0),(AQ355+AQ364)/2,0)</f>
        <v>0</v>
      </c>
      <c r="AT349" s="2042"/>
    </row>
    <row r="350" spans="1:46" s="584" customFormat="1" ht="12.75" customHeight="1">
      <c r="A350" s="637"/>
      <c r="B350" s="645"/>
      <c r="C350" s="2021"/>
      <c r="D350" s="2021"/>
      <c r="E350" s="2021"/>
      <c r="F350" s="2021"/>
      <c r="G350" s="2021"/>
      <c r="H350" s="2021"/>
      <c r="I350" s="2021"/>
      <c r="J350" s="2021"/>
      <c r="K350" s="2021"/>
      <c r="L350" s="2021"/>
      <c r="M350" s="2021"/>
      <c r="N350" s="2021"/>
      <c r="O350" s="2021"/>
      <c r="P350" s="2021"/>
      <c r="Q350" s="2021"/>
      <c r="R350" s="2021"/>
      <c r="S350" s="2021"/>
      <c r="T350" s="2021"/>
      <c r="U350" s="2021"/>
      <c r="V350" s="2021"/>
      <c r="W350" s="2021"/>
      <c r="X350" s="2021"/>
      <c r="Y350" s="2021"/>
      <c r="Z350" s="2021"/>
      <c r="AA350" s="2021"/>
      <c r="AB350" s="2021"/>
      <c r="AC350" s="2021"/>
      <c r="AD350" s="2021"/>
      <c r="AE350" s="2021"/>
      <c r="AF350" s="2021"/>
      <c r="AG350" s="2021"/>
      <c r="AH350" s="2021"/>
      <c r="AI350" s="2021"/>
      <c r="AJ350" s="2021"/>
      <c r="AK350" s="637"/>
      <c r="AL350" s="637"/>
      <c r="AM350" s="637"/>
      <c r="AN350" s="631"/>
      <c r="AO350" s="729" t="s">
        <v>588</v>
      </c>
      <c r="AP350" s="730">
        <f>IF(C396="Yes",5,0)</f>
        <v>0</v>
      </c>
      <c r="AS350" s="573" t="s">
        <v>2068</v>
      </c>
    </row>
    <row r="351" spans="1:46" s="584" customFormat="1" ht="12.75" customHeight="1">
      <c r="A351" s="637"/>
      <c r="B351" s="645"/>
      <c r="C351" s="2043" t="s">
        <v>1567</v>
      </c>
      <c r="D351" s="2043"/>
      <c r="E351" s="2043"/>
      <c r="F351" s="2043"/>
      <c r="G351" s="2043"/>
      <c r="H351" s="2043"/>
      <c r="I351" s="2043"/>
      <c r="J351" s="2043"/>
      <c r="K351" s="2043"/>
      <c r="L351" s="2043"/>
      <c r="M351" s="2043"/>
      <c r="N351" s="2043"/>
      <c r="O351" s="2043"/>
      <c r="P351" s="2043"/>
      <c r="Q351" s="2043"/>
      <c r="R351" s="2043"/>
      <c r="S351" s="2043"/>
      <c r="T351" s="2043"/>
      <c r="U351" s="2043"/>
      <c r="V351" s="2043"/>
      <c r="W351" s="2043"/>
      <c r="X351" s="2043"/>
      <c r="Y351" s="2043"/>
      <c r="Z351" s="2043"/>
      <c r="AA351" s="2043"/>
      <c r="AB351" s="2043"/>
      <c r="AC351" s="2043"/>
      <c r="AD351" s="2043"/>
      <c r="AE351" s="2043"/>
      <c r="AF351" s="2043"/>
      <c r="AG351" s="2043"/>
      <c r="AH351" s="2043"/>
      <c r="AI351" s="2043"/>
      <c r="AJ351" s="2043"/>
      <c r="AK351" s="637"/>
      <c r="AL351" s="637"/>
      <c r="AM351" s="637"/>
      <c r="AN351" s="631"/>
      <c r="AO351" s="631"/>
      <c r="AP351" s="730">
        <f>IF(C398="Yes",3,0)</f>
        <v>0</v>
      </c>
      <c r="AS351" s="2042">
        <f>IF(AQ355=0,AQ364,AQ355)</f>
        <v>10</v>
      </c>
      <c r="AT351" s="2042"/>
    </row>
    <row r="352" spans="1:46" s="584" customFormat="1" ht="12.75" customHeight="1">
      <c r="A352" s="637"/>
      <c r="B352" s="645"/>
      <c r="C352" s="2043"/>
      <c r="D352" s="2043"/>
      <c r="E352" s="2043"/>
      <c r="F352" s="2043"/>
      <c r="G352" s="2043"/>
      <c r="H352" s="2043"/>
      <c r="I352" s="2043"/>
      <c r="J352" s="2043"/>
      <c r="K352" s="2043"/>
      <c r="L352" s="2043"/>
      <c r="M352" s="2043"/>
      <c r="N352" s="2043"/>
      <c r="O352" s="2043"/>
      <c r="P352" s="2043"/>
      <c r="Q352" s="2043"/>
      <c r="R352" s="2043"/>
      <c r="S352" s="2043"/>
      <c r="T352" s="2043"/>
      <c r="U352" s="2043"/>
      <c r="V352" s="2043"/>
      <c r="W352" s="2043"/>
      <c r="X352" s="2043"/>
      <c r="Y352" s="2043"/>
      <c r="Z352" s="2043"/>
      <c r="AA352" s="2043"/>
      <c r="AB352" s="2043"/>
      <c r="AC352" s="2043"/>
      <c r="AD352" s="2043"/>
      <c r="AE352" s="2043"/>
      <c r="AF352" s="2043"/>
      <c r="AG352" s="2043"/>
      <c r="AH352" s="2043"/>
      <c r="AI352" s="2043"/>
      <c r="AJ352" s="2043"/>
      <c r="AK352" s="637"/>
      <c r="AL352" s="637"/>
      <c r="AM352" s="637"/>
      <c r="AN352" s="631"/>
      <c r="AO352" s="729" t="s">
        <v>771</v>
      </c>
      <c r="AP352" s="730">
        <f>IF(C401="Yes",5,0)</f>
        <v>0</v>
      </c>
    </row>
    <row r="353" spans="1:81" s="584" customFormat="1" ht="12.75" customHeight="1">
      <c r="A353" s="637"/>
      <c r="B353" s="645"/>
      <c r="C353" s="2043"/>
      <c r="D353" s="2043"/>
      <c r="E353" s="2043"/>
      <c r="F353" s="2043"/>
      <c r="G353" s="2043"/>
      <c r="H353" s="2043"/>
      <c r="I353" s="2043"/>
      <c r="J353" s="2043"/>
      <c r="K353" s="2043"/>
      <c r="L353" s="2043"/>
      <c r="M353" s="2043"/>
      <c r="N353" s="2043"/>
      <c r="O353" s="2043"/>
      <c r="P353" s="2043"/>
      <c r="Q353" s="2043"/>
      <c r="R353" s="2043"/>
      <c r="S353" s="2043"/>
      <c r="T353" s="2043"/>
      <c r="U353" s="2043"/>
      <c r="V353" s="2043"/>
      <c r="W353" s="2043"/>
      <c r="X353" s="2043"/>
      <c r="Y353" s="2043"/>
      <c r="Z353" s="2043"/>
      <c r="AA353" s="2043"/>
      <c r="AB353" s="2043"/>
      <c r="AC353" s="2043"/>
      <c r="AD353" s="2043"/>
      <c r="AE353" s="2043"/>
      <c r="AF353" s="2043"/>
      <c r="AG353" s="2043"/>
      <c r="AH353" s="2043"/>
      <c r="AI353" s="2043"/>
      <c r="AJ353" s="2043"/>
      <c r="AK353" s="637"/>
      <c r="AL353" s="637"/>
      <c r="AM353" s="637"/>
      <c r="AN353" s="631"/>
      <c r="AO353" s="729" t="s">
        <v>591</v>
      </c>
      <c r="AP353" s="730">
        <f>IF(C410="Yes",5,0)</f>
        <v>0</v>
      </c>
    </row>
    <row r="354" spans="1:81" s="584" customFormat="1" ht="11.85" customHeight="1">
      <c r="A354" s="637"/>
      <c r="B354" s="645"/>
      <c r="C354" s="2043"/>
      <c r="D354" s="2043"/>
      <c r="E354" s="2043"/>
      <c r="F354" s="2043"/>
      <c r="G354" s="2043"/>
      <c r="H354" s="2043"/>
      <c r="I354" s="2043"/>
      <c r="J354" s="2043"/>
      <c r="K354" s="2043"/>
      <c r="L354" s="2043"/>
      <c r="M354" s="2043"/>
      <c r="N354" s="2043"/>
      <c r="O354" s="2043"/>
      <c r="P354" s="2043"/>
      <c r="Q354" s="2043"/>
      <c r="R354" s="2043"/>
      <c r="S354" s="2043"/>
      <c r="T354" s="2043"/>
      <c r="U354" s="2043"/>
      <c r="V354" s="2043"/>
      <c r="W354" s="2043"/>
      <c r="X354" s="2043"/>
      <c r="Y354" s="2043"/>
      <c r="Z354" s="2043"/>
      <c r="AA354" s="2043"/>
      <c r="AB354" s="2043"/>
      <c r="AC354" s="2043"/>
      <c r="AD354" s="2043"/>
      <c r="AE354" s="2043"/>
      <c r="AF354" s="2043"/>
      <c r="AG354" s="2043"/>
      <c r="AH354" s="2043"/>
      <c r="AI354" s="2043"/>
      <c r="AJ354" s="2043"/>
      <c r="AK354" s="637"/>
      <c r="AL354" s="637"/>
      <c r="AM354" s="637"/>
      <c r="AN354" s="631"/>
      <c r="AO354" s="731"/>
      <c r="AP354" s="732">
        <f>IF(C412="Yes",3,0)</f>
        <v>0</v>
      </c>
    </row>
    <row r="355" spans="1:81" s="584" customFormat="1" ht="12.6" customHeight="1">
      <c r="A355" s="637"/>
      <c r="B355" s="645"/>
      <c r="C355" s="2043"/>
      <c r="D355" s="2043"/>
      <c r="E355" s="2043"/>
      <c r="F355" s="2043"/>
      <c r="G355" s="2043"/>
      <c r="H355" s="2043"/>
      <c r="I355" s="2043"/>
      <c r="J355" s="2043"/>
      <c r="K355" s="2043"/>
      <c r="L355" s="2043"/>
      <c r="M355" s="2043"/>
      <c r="N355" s="2043"/>
      <c r="O355" s="2043"/>
      <c r="P355" s="2043"/>
      <c r="Q355" s="2043"/>
      <c r="R355" s="2043"/>
      <c r="S355" s="2043"/>
      <c r="T355" s="2043"/>
      <c r="U355" s="2043"/>
      <c r="V355" s="2043"/>
      <c r="W355" s="2043"/>
      <c r="X355" s="2043"/>
      <c r="Y355" s="2043"/>
      <c r="Z355" s="2043"/>
      <c r="AA355" s="2043"/>
      <c r="AB355" s="2043"/>
      <c r="AC355" s="2043"/>
      <c r="AD355" s="2043"/>
      <c r="AE355" s="2043"/>
      <c r="AF355" s="2043"/>
      <c r="AG355" s="2043"/>
      <c r="AH355" s="2043"/>
      <c r="AI355" s="2043"/>
      <c r="AJ355" s="2043"/>
      <c r="AK355" s="637"/>
      <c r="AL355" s="637"/>
      <c r="AM355" s="637"/>
      <c r="AN355" s="631"/>
      <c r="AO355" s="733" t="s">
        <v>227</v>
      </c>
      <c r="AP355" s="734">
        <f>SUM(AP346:AP354)</f>
        <v>10</v>
      </c>
      <c r="AQ355" s="2044">
        <f>IF(AP355&gt;0,AP355,0)</f>
        <v>10</v>
      </c>
      <c r="AR355" s="2044"/>
    </row>
    <row r="356" spans="1:81" s="584" customFormat="1" ht="12.75" customHeight="1">
      <c r="A356" s="637"/>
      <c r="B356" s="645"/>
      <c r="C356" s="2043"/>
      <c r="D356" s="2043"/>
      <c r="E356" s="2043"/>
      <c r="F356" s="2043"/>
      <c r="G356" s="2043"/>
      <c r="H356" s="2043"/>
      <c r="I356" s="2043"/>
      <c r="J356" s="2043"/>
      <c r="K356" s="2043"/>
      <c r="L356" s="2043"/>
      <c r="M356" s="2043"/>
      <c r="N356" s="2043"/>
      <c r="O356" s="2043"/>
      <c r="P356" s="2043"/>
      <c r="Q356" s="2043"/>
      <c r="R356" s="2043"/>
      <c r="S356" s="2043"/>
      <c r="T356" s="2043"/>
      <c r="U356" s="2043"/>
      <c r="V356" s="2043"/>
      <c r="W356" s="2043"/>
      <c r="X356" s="2043"/>
      <c r="Y356" s="2043"/>
      <c r="Z356" s="2043"/>
      <c r="AA356" s="2043"/>
      <c r="AB356" s="2043"/>
      <c r="AC356" s="2043"/>
      <c r="AD356" s="2043"/>
      <c r="AE356" s="2043"/>
      <c r="AF356" s="2043"/>
      <c r="AG356" s="2043"/>
      <c r="AH356" s="2043"/>
      <c r="AI356" s="2043"/>
      <c r="AJ356" s="2043"/>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462</v>
      </c>
      <c r="AP357" s="730">
        <f>IF(C419="Yes",5,0)</f>
        <v>0</v>
      </c>
    </row>
    <row r="358" spans="1:81" s="584" customFormat="1" ht="12.75" customHeight="1">
      <c r="A358" s="637"/>
      <c r="B358" s="645"/>
      <c r="C358" s="2021" t="s">
        <v>1568</v>
      </c>
      <c r="D358" s="2021"/>
      <c r="E358" s="2021"/>
      <c r="F358" s="2021"/>
      <c r="G358" s="2021"/>
      <c r="H358" s="2021"/>
      <c r="I358" s="2021"/>
      <c r="J358" s="2021"/>
      <c r="K358" s="2021"/>
      <c r="L358" s="2021"/>
      <c r="M358" s="2021"/>
      <c r="N358" s="2021"/>
      <c r="O358" s="2021"/>
      <c r="P358" s="2021"/>
      <c r="Q358" s="2021"/>
      <c r="R358" s="2021"/>
      <c r="S358" s="2021"/>
      <c r="T358" s="2021"/>
      <c r="U358" s="2021"/>
      <c r="V358" s="2021"/>
      <c r="W358" s="2021"/>
      <c r="X358" s="2021"/>
      <c r="Y358" s="2021"/>
      <c r="Z358" s="2021"/>
      <c r="AA358" s="2021"/>
      <c r="AB358" s="2021"/>
      <c r="AC358" s="2021"/>
      <c r="AD358" s="2021"/>
      <c r="AE358" s="2021"/>
      <c r="AF358" s="2021"/>
      <c r="AG358" s="2021"/>
      <c r="AH358" s="2021"/>
      <c r="AI358" s="2021"/>
      <c r="AJ358" s="2021"/>
      <c r="AK358" s="637"/>
      <c r="AL358" s="637"/>
      <c r="AM358" s="637"/>
      <c r="AN358" s="631"/>
      <c r="AO358" s="729" t="s">
        <v>463</v>
      </c>
      <c r="AP358" s="730">
        <f>IF(C431="Yes",5,0)</f>
        <v>0</v>
      </c>
    </row>
    <row r="359" spans="1:81" s="584" customFormat="1" ht="12.75" customHeight="1">
      <c r="A359" s="637"/>
      <c r="B359" s="645"/>
      <c r="C359" s="2021"/>
      <c r="D359" s="2021"/>
      <c r="E359" s="2021"/>
      <c r="F359" s="2021"/>
      <c r="G359" s="2021"/>
      <c r="H359" s="2021"/>
      <c r="I359" s="2021"/>
      <c r="J359" s="2021"/>
      <c r="K359" s="2021"/>
      <c r="L359" s="2021"/>
      <c r="M359" s="2021"/>
      <c r="N359" s="2021"/>
      <c r="O359" s="2021"/>
      <c r="P359" s="2021"/>
      <c r="Q359" s="2021"/>
      <c r="R359" s="2021"/>
      <c r="S359" s="2021"/>
      <c r="T359" s="2021"/>
      <c r="U359" s="2021"/>
      <c r="V359" s="2021"/>
      <c r="W359" s="2021"/>
      <c r="X359" s="2021"/>
      <c r="Y359" s="2021"/>
      <c r="Z359" s="2021"/>
      <c r="AA359" s="2021"/>
      <c r="AB359" s="2021"/>
      <c r="AC359" s="2021"/>
      <c r="AD359" s="2021"/>
      <c r="AE359" s="2021"/>
      <c r="AF359" s="2021"/>
      <c r="AG359" s="2021"/>
      <c r="AH359" s="2021"/>
      <c r="AI359" s="2021"/>
      <c r="AJ359" s="2021"/>
      <c r="AK359" s="637"/>
      <c r="AL359" s="637"/>
      <c r="AM359" s="637"/>
      <c r="AN359" s="631"/>
      <c r="AO359" s="729" t="s">
        <v>468</v>
      </c>
      <c r="AP359" s="730">
        <f>IF(C438="Yes",5,0)</f>
        <v>0</v>
      </c>
    </row>
    <row r="360" spans="1:81" s="584" customFormat="1" ht="68.099999999999994" customHeight="1">
      <c r="A360" s="637"/>
      <c r="B360" s="645"/>
      <c r="C360" s="2021"/>
      <c r="D360" s="2021"/>
      <c r="E360" s="2021"/>
      <c r="F360" s="2021"/>
      <c r="G360" s="2021"/>
      <c r="H360" s="2021"/>
      <c r="I360" s="2021"/>
      <c r="J360" s="2021"/>
      <c r="K360" s="2021"/>
      <c r="L360" s="2021"/>
      <c r="M360" s="2021"/>
      <c r="N360" s="2021"/>
      <c r="O360" s="2021"/>
      <c r="P360" s="2021"/>
      <c r="Q360" s="2021"/>
      <c r="R360" s="2021"/>
      <c r="S360" s="2021"/>
      <c r="T360" s="2021"/>
      <c r="U360" s="2021"/>
      <c r="V360" s="2021"/>
      <c r="W360" s="2021"/>
      <c r="X360" s="2021"/>
      <c r="Y360" s="2021"/>
      <c r="Z360" s="2021"/>
      <c r="AA360" s="2021"/>
      <c r="AB360" s="2021"/>
      <c r="AC360" s="2021"/>
      <c r="AD360" s="2021"/>
      <c r="AE360" s="2021"/>
      <c r="AF360" s="2021"/>
      <c r="AG360" s="2021"/>
      <c r="AH360" s="2021"/>
      <c r="AI360" s="2021"/>
      <c r="AJ360" s="2021"/>
      <c r="AK360" s="637"/>
      <c r="AL360" s="637"/>
      <c r="AM360" s="637"/>
      <c r="AN360" s="631"/>
      <c r="AO360" s="729" t="s">
        <v>653</v>
      </c>
      <c r="AP360" s="735">
        <f>IF(C442="Yes",5,0)</f>
        <v>0</v>
      </c>
    </row>
    <row r="361" spans="1:81" s="584" customFormat="1" ht="12.6" customHeight="1">
      <c r="A361" s="637"/>
      <c r="B361" s="645"/>
      <c r="C361" s="584" t="s">
        <v>1569</v>
      </c>
      <c r="AF361" s="637"/>
      <c r="AG361" s="637"/>
      <c r="AH361" s="637"/>
      <c r="AI361" s="637"/>
      <c r="AJ361" s="637"/>
      <c r="AK361" s="637"/>
      <c r="AL361" s="637"/>
      <c r="AM361" s="637"/>
      <c r="AN361" s="631"/>
      <c r="AO361" s="729" t="s">
        <v>362</v>
      </c>
      <c r="AP361" s="730">
        <f>IF(C446="Yes",5,0)</f>
        <v>0</v>
      </c>
    </row>
    <row r="362" spans="1:81" s="584" customFormat="1" ht="12.75" customHeight="1">
      <c r="A362" s="637"/>
      <c r="B362" s="645"/>
      <c r="C362" s="736" t="s">
        <v>2574</v>
      </c>
      <c r="D362" s="737"/>
      <c r="E362" s="737"/>
      <c r="F362" s="737"/>
      <c r="G362" s="737"/>
      <c r="H362" s="737"/>
      <c r="I362" s="737"/>
      <c r="J362" s="737"/>
      <c r="K362" s="737"/>
      <c r="L362" s="737"/>
      <c r="M362" s="701"/>
      <c r="N362" s="701"/>
      <c r="O362" s="738"/>
      <c r="P362" s="737"/>
      <c r="Q362" s="737"/>
      <c r="R362" s="701"/>
      <c r="S362" s="701"/>
      <c r="T362" s="737"/>
      <c r="U362" s="2130">
        <f>Application!CS660-U363</f>
        <v>216</v>
      </c>
      <c r="V362" s="2130"/>
      <c r="W362" s="2130"/>
      <c r="X362" s="737"/>
      <c r="Y362" s="737"/>
      <c r="Z362" s="737"/>
      <c r="AA362" s="739"/>
      <c r="AB362" s="740"/>
      <c r="AC362" s="740"/>
      <c r="AD362" s="740"/>
      <c r="AE362" s="637"/>
      <c r="AF362" s="637"/>
      <c r="AG362" s="637"/>
      <c r="AH362" s="637"/>
      <c r="AI362" s="637"/>
      <c r="AJ362" s="637"/>
      <c r="AK362" s="637"/>
      <c r="AL362" s="637"/>
      <c r="AM362" s="637"/>
      <c r="AN362" s="631"/>
      <c r="AO362" s="729" t="s">
        <v>363</v>
      </c>
      <c r="AP362" s="730">
        <f>IF(C455="Yes",5,0)</f>
        <v>0</v>
      </c>
    </row>
    <row r="363" spans="1:81" s="584" customFormat="1" ht="12.75" customHeight="1">
      <c r="A363" s="637"/>
      <c r="B363" s="645"/>
      <c r="C363" s="741" t="s">
        <v>2575</v>
      </c>
      <c r="D363" s="728"/>
      <c r="E363" s="728"/>
      <c r="F363" s="728"/>
      <c r="G363" s="728"/>
      <c r="H363" s="728"/>
      <c r="I363" s="728"/>
      <c r="J363" s="728"/>
      <c r="K363" s="728"/>
      <c r="L363" s="728"/>
      <c r="M363" s="728"/>
      <c r="N363" s="728"/>
      <c r="O363" s="728"/>
      <c r="P363" s="728"/>
      <c r="Q363" s="728"/>
      <c r="R363" s="728"/>
      <c r="S363" s="728"/>
      <c r="T363" s="728"/>
      <c r="U363" s="2131">
        <f>Application!AG756</f>
        <v>0</v>
      </c>
      <c r="V363" s="2131"/>
      <c r="W363" s="2131"/>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227</v>
      </c>
      <c r="AP364" s="745">
        <f>SUM(AP357:AP362)</f>
        <v>0</v>
      </c>
      <c r="AQ364" s="2044">
        <f>IF(AP364&gt;0,AP364,0)</f>
        <v>0</v>
      </c>
      <c r="AR364" s="2044"/>
    </row>
    <row r="365" spans="1:81" s="584" customFormat="1" ht="12.75" customHeight="1">
      <c r="A365" s="637"/>
      <c r="B365" s="14"/>
      <c r="C365" s="746" t="s">
        <v>2572</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1424</v>
      </c>
      <c r="F366" s="2025" t="s">
        <v>1570</v>
      </c>
      <c r="G366" s="2025"/>
      <c r="H366" s="2025"/>
      <c r="I366" s="2025"/>
      <c r="J366" s="2025"/>
      <c r="K366" s="2025"/>
      <c r="L366" s="2025"/>
      <c r="M366" s="2025"/>
      <c r="N366" s="2025"/>
      <c r="O366" s="2025"/>
      <c r="P366" s="2025"/>
      <c r="Q366" s="2025"/>
      <c r="R366" s="2025"/>
      <c r="S366" s="2025"/>
      <c r="T366" s="2025"/>
      <c r="U366" s="2025"/>
      <c r="V366" s="2025"/>
      <c r="W366" s="2025"/>
      <c r="X366" s="2025"/>
      <c r="Y366" s="2025"/>
      <c r="Z366" s="2025"/>
      <c r="AA366" s="2025"/>
      <c r="AB366" s="2025"/>
      <c r="AC366" s="2025"/>
      <c r="AD366" s="2025"/>
      <c r="AE366" s="2025"/>
      <c r="AF366" s="2025"/>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2026"/>
      <c r="G367" s="2026"/>
      <c r="H367" s="2026"/>
      <c r="I367" s="2026"/>
      <c r="J367" s="2026"/>
      <c r="K367" s="2026"/>
      <c r="L367" s="2026"/>
      <c r="M367" s="2026"/>
      <c r="N367" s="2026"/>
      <c r="O367" s="2026"/>
      <c r="P367" s="2026"/>
      <c r="Q367" s="2026"/>
      <c r="R367" s="2026"/>
      <c r="S367" s="2026"/>
      <c r="T367" s="2026"/>
      <c r="U367" s="2026"/>
      <c r="V367" s="2026"/>
      <c r="W367" s="2026"/>
      <c r="X367" s="2026"/>
      <c r="Y367" s="2026"/>
      <c r="Z367" s="2026"/>
      <c r="AA367" s="2026"/>
      <c r="AB367" s="2026"/>
      <c r="AC367" s="2026"/>
      <c r="AD367" s="2026"/>
      <c r="AE367" s="2026"/>
      <c r="AF367" s="2026"/>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2026"/>
      <c r="G368" s="2026"/>
      <c r="H368" s="2026"/>
      <c r="I368" s="2026"/>
      <c r="J368" s="2026"/>
      <c r="K368" s="2026"/>
      <c r="L368" s="2026"/>
      <c r="M368" s="2026"/>
      <c r="N368" s="2026"/>
      <c r="O368" s="2026"/>
      <c r="P368" s="2026"/>
      <c r="Q368" s="2026"/>
      <c r="R368" s="2026"/>
      <c r="S368" s="2026"/>
      <c r="T368" s="2026"/>
      <c r="U368" s="2026"/>
      <c r="V368" s="2026"/>
      <c r="W368" s="2026"/>
      <c r="X368" s="2026"/>
      <c r="Y368" s="2026"/>
      <c r="Z368" s="2026"/>
      <c r="AA368" s="2026"/>
      <c r="AB368" s="2026"/>
      <c r="AC368" s="2026"/>
      <c r="AD368" s="2026"/>
      <c r="AE368" s="2026"/>
      <c r="AF368" s="2026"/>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2026"/>
      <c r="G369" s="2026"/>
      <c r="H369" s="2026"/>
      <c r="I369" s="2026"/>
      <c r="J369" s="2026"/>
      <c r="K369" s="2026"/>
      <c r="L369" s="2026"/>
      <c r="M369" s="2026"/>
      <c r="N369" s="2026"/>
      <c r="O369" s="2026"/>
      <c r="P369" s="2026"/>
      <c r="Q369" s="2026"/>
      <c r="R369" s="2026"/>
      <c r="S369" s="2026"/>
      <c r="T369" s="2026"/>
      <c r="U369" s="2026"/>
      <c r="V369" s="2026"/>
      <c r="W369" s="2026"/>
      <c r="X369" s="2026"/>
      <c r="Y369" s="2026"/>
      <c r="Z369" s="2026"/>
      <c r="AA369" s="2026"/>
      <c r="AB369" s="2026"/>
      <c r="AC369" s="2026"/>
      <c r="AD369" s="2026"/>
      <c r="AE369" s="2026"/>
      <c r="AF369" s="2026"/>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2022" t="s">
        <v>552</v>
      </c>
      <c r="D370" s="1979"/>
      <c r="E370" s="753"/>
      <c r="F370" s="755" t="s">
        <v>1571</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2023" t="s">
        <v>1572</v>
      </c>
      <c r="AG370" s="2023"/>
      <c r="AH370" s="2023"/>
      <c r="AI370" s="2023"/>
      <c r="AJ370" s="2023"/>
      <c r="AK370" s="2023"/>
      <c r="AL370" s="2024"/>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1426</v>
      </c>
      <c r="F373" s="2025" t="s">
        <v>1573</v>
      </c>
      <c r="G373" s="2025"/>
      <c r="H373" s="2025"/>
      <c r="I373" s="2025"/>
      <c r="J373" s="2025"/>
      <c r="K373" s="2025"/>
      <c r="L373" s="2025"/>
      <c r="M373" s="2025"/>
      <c r="N373" s="2025"/>
      <c r="O373" s="2025"/>
      <c r="P373" s="2025"/>
      <c r="Q373" s="2025"/>
      <c r="R373" s="2025"/>
      <c r="S373" s="2025"/>
      <c r="T373" s="2025"/>
      <c r="U373" s="2025"/>
      <c r="V373" s="2025"/>
      <c r="W373" s="2025"/>
      <c r="X373" s="2025"/>
      <c r="Y373" s="2025"/>
      <c r="Z373" s="2025"/>
      <c r="AA373" s="2025"/>
      <c r="AB373" s="2025"/>
      <c r="AC373" s="2025"/>
      <c r="AD373" s="2025"/>
      <c r="AE373" s="2025"/>
      <c r="AF373" s="2025"/>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2026"/>
      <c r="G374" s="2026"/>
      <c r="H374" s="2026"/>
      <c r="I374" s="2026"/>
      <c r="J374" s="2026"/>
      <c r="K374" s="2026"/>
      <c r="L374" s="2026"/>
      <c r="M374" s="2026"/>
      <c r="N374" s="2026"/>
      <c r="O374" s="2026"/>
      <c r="P374" s="2026"/>
      <c r="Q374" s="2026"/>
      <c r="R374" s="2026"/>
      <c r="S374" s="2026"/>
      <c r="T374" s="2026"/>
      <c r="U374" s="2026"/>
      <c r="V374" s="2026"/>
      <c r="W374" s="2026"/>
      <c r="X374" s="2026"/>
      <c r="Y374" s="2026"/>
      <c r="Z374" s="2026"/>
      <c r="AA374" s="2026"/>
      <c r="AB374" s="2026"/>
      <c r="AC374" s="2026"/>
      <c r="AD374" s="2026"/>
      <c r="AE374" s="2026"/>
      <c r="AF374" s="2026"/>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2026"/>
      <c r="G375" s="2026"/>
      <c r="H375" s="2026"/>
      <c r="I375" s="2026"/>
      <c r="J375" s="2026"/>
      <c r="K375" s="2026"/>
      <c r="L375" s="2026"/>
      <c r="M375" s="2026"/>
      <c r="N375" s="2026"/>
      <c r="O375" s="2026"/>
      <c r="P375" s="2026"/>
      <c r="Q375" s="2026"/>
      <c r="R375" s="2026"/>
      <c r="S375" s="2026"/>
      <c r="T375" s="2026"/>
      <c r="U375" s="2026"/>
      <c r="V375" s="2026"/>
      <c r="W375" s="2026"/>
      <c r="X375" s="2026"/>
      <c r="Y375" s="2026"/>
      <c r="Z375" s="2026"/>
      <c r="AA375" s="2026"/>
      <c r="AB375" s="2026"/>
      <c r="AC375" s="2026"/>
      <c r="AD375" s="2026"/>
      <c r="AE375" s="2026"/>
      <c r="AF375" s="2026"/>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2026"/>
      <c r="G376" s="2026"/>
      <c r="H376" s="2026"/>
      <c r="I376" s="2026"/>
      <c r="J376" s="2026"/>
      <c r="K376" s="2026"/>
      <c r="L376" s="2026"/>
      <c r="M376" s="2026"/>
      <c r="N376" s="2026"/>
      <c r="O376" s="2026"/>
      <c r="P376" s="2026"/>
      <c r="Q376" s="2026"/>
      <c r="R376" s="2026"/>
      <c r="S376" s="2026"/>
      <c r="T376" s="2026"/>
      <c r="U376" s="2026"/>
      <c r="V376" s="2026"/>
      <c r="W376" s="2026"/>
      <c r="X376" s="2026"/>
      <c r="Y376" s="2026"/>
      <c r="Z376" s="2026"/>
      <c r="AA376" s="2026"/>
      <c r="AB376" s="2026"/>
      <c r="AC376" s="2026"/>
      <c r="AD376" s="2026"/>
      <c r="AE376" s="2026"/>
      <c r="AF376" s="2026"/>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2026"/>
      <c r="G377" s="2026"/>
      <c r="H377" s="2026"/>
      <c r="I377" s="2026"/>
      <c r="J377" s="2026"/>
      <c r="K377" s="2026"/>
      <c r="L377" s="2026"/>
      <c r="M377" s="2026"/>
      <c r="N377" s="2026"/>
      <c r="O377" s="2026"/>
      <c r="P377" s="2026"/>
      <c r="Q377" s="2026"/>
      <c r="R377" s="2026"/>
      <c r="S377" s="2026"/>
      <c r="T377" s="2026"/>
      <c r="U377" s="2026"/>
      <c r="V377" s="2026"/>
      <c r="W377" s="2026"/>
      <c r="X377" s="2026"/>
      <c r="Y377" s="2026"/>
      <c r="Z377" s="2026"/>
      <c r="AA377" s="2026"/>
      <c r="AB377" s="2026"/>
      <c r="AC377" s="2026"/>
      <c r="AD377" s="2026"/>
      <c r="AE377" s="2026"/>
      <c r="AF377" s="2026"/>
      <c r="AL377" s="766"/>
      <c r="AN377" s="631"/>
      <c r="BS377" s="30"/>
      <c r="BT377" s="30"/>
      <c r="BU377" s="14"/>
      <c r="BV377" s="14"/>
      <c r="BW377" s="14"/>
      <c r="BX377" s="14"/>
      <c r="BY377" s="14"/>
      <c r="BZ377" s="14"/>
      <c r="CA377" s="14"/>
      <c r="CB377" s="14"/>
      <c r="CC377" s="14"/>
    </row>
    <row r="378" spans="1:81" s="584" customFormat="1" ht="12.75" customHeight="1">
      <c r="A378" s="570"/>
      <c r="B378" s="14"/>
      <c r="C378" s="2022" t="s">
        <v>598</v>
      </c>
      <c r="D378" s="1979"/>
      <c r="E378" s="725"/>
      <c r="F378" s="755" t="s">
        <v>1574</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2023" t="s">
        <v>1572</v>
      </c>
      <c r="AG378" s="2023"/>
      <c r="AH378" s="2023"/>
      <c r="AI378" s="2023"/>
      <c r="AJ378" s="2023"/>
      <c r="AK378" s="2023"/>
      <c r="AL378" s="2024"/>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1429</v>
      </c>
      <c r="F381" s="2025" t="s">
        <v>1575</v>
      </c>
      <c r="G381" s="2025"/>
      <c r="H381" s="2025"/>
      <c r="I381" s="2025"/>
      <c r="J381" s="2025"/>
      <c r="K381" s="2025"/>
      <c r="L381" s="2025"/>
      <c r="M381" s="2025"/>
      <c r="N381" s="2025"/>
      <c r="O381" s="2025"/>
      <c r="P381" s="2025"/>
      <c r="Q381" s="2025"/>
      <c r="R381" s="2025"/>
      <c r="S381" s="2025"/>
      <c r="T381" s="2025"/>
      <c r="U381" s="2025"/>
      <c r="V381" s="2025"/>
      <c r="W381" s="2025"/>
      <c r="X381" s="2025"/>
      <c r="Y381" s="2025"/>
      <c r="Z381" s="2025"/>
      <c r="AA381" s="2025"/>
      <c r="AB381" s="2025"/>
      <c r="AC381" s="2025"/>
      <c r="AD381" s="2025"/>
      <c r="AE381" s="2025"/>
      <c r="AF381" s="2025"/>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2026"/>
      <c r="G382" s="2026"/>
      <c r="H382" s="2026"/>
      <c r="I382" s="2026"/>
      <c r="J382" s="2026"/>
      <c r="K382" s="2026"/>
      <c r="L382" s="2026"/>
      <c r="M382" s="2026"/>
      <c r="N382" s="2026"/>
      <c r="O382" s="2026"/>
      <c r="P382" s="2026"/>
      <c r="Q382" s="2026"/>
      <c r="R382" s="2026"/>
      <c r="S382" s="2026"/>
      <c r="T382" s="2026"/>
      <c r="U382" s="2026"/>
      <c r="V382" s="2026"/>
      <c r="W382" s="2026"/>
      <c r="X382" s="2026"/>
      <c r="Y382" s="2026"/>
      <c r="Z382" s="2026"/>
      <c r="AA382" s="2026"/>
      <c r="AB382" s="2026"/>
      <c r="AC382" s="2026"/>
      <c r="AD382" s="2026"/>
      <c r="AE382" s="2026"/>
      <c r="AF382" s="2026"/>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2026"/>
      <c r="G383" s="2026"/>
      <c r="H383" s="2026"/>
      <c r="I383" s="2026"/>
      <c r="J383" s="2026"/>
      <c r="K383" s="2026"/>
      <c r="L383" s="2026"/>
      <c r="M383" s="2026"/>
      <c r="N383" s="2026"/>
      <c r="O383" s="2026"/>
      <c r="P383" s="2026"/>
      <c r="Q383" s="2026"/>
      <c r="R383" s="2026"/>
      <c r="S383" s="2026"/>
      <c r="T383" s="2026"/>
      <c r="U383" s="2026"/>
      <c r="V383" s="2026"/>
      <c r="W383" s="2026"/>
      <c r="X383" s="2026"/>
      <c r="Y383" s="2026"/>
      <c r="Z383" s="2026"/>
      <c r="AA383" s="2026"/>
      <c r="AB383" s="2026"/>
      <c r="AC383" s="2026"/>
      <c r="AD383" s="2026"/>
      <c r="AE383" s="2026"/>
      <c r="AF383" s="2026"/>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2026"/>
      <c r="G384" s="2026"/>
      <c r="H384" s="2026"/>
      <c r="I384" s="2026"/>
      <c r="J384" s="2026"/>
      <c r="K384" s="2026"/>
      <c r="L384" s="2026"/>
      <c r="M384" s="2026"/>
      <c r="N384" s="2026"/>
      <c r="O384" s="2026"/>
      <c r="P384" s="2026"/>
      <c r="Q384" s="2026"/>
      <c r="R384" s="2026"/>
      <c r="S384" s="2026"/>
      <c r="T384" s="2026"/>
      <c r="U384" s="2026"/>
      <c r="V384" s="2026"/>
      <c r="W384" s="2026"/>
      <c r="X384" s="2026"/>
      <c r="Y384" s="2026"/>
      <c r="Z384" s="2026"/>
      <c r="AA384" s="2026"/>
      <c r="AB384" s="2026"/>
      <c r="AC384" s="2026"/>
      <c r="AD384" s="2026"/>
      <c r="AE384" s="2026"/>
      <c r="AF384" s="2026"/>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2026"/>
      <c r="G385" s="2026"/>
      <c r="H385" s="2026"/>
      <c r="I385" s="2026"/>
      <c r="J385" s="2026"/>
      <c r="K385" s="2026"/>
      <c r="L385" s="2026"/>
      <c r="M385" s="2026"/>
      <c r="N385" s="2026"/>
      <c r="O385" s="2026"/>
      <c r="P385" s="2026"/>
      <c r="Q385" s="2026"/>
      <c r="R385" s="2026"/>
      <c r="S385" s="2026"/>
      <c r="T385" s="2026"/>
      <c r="U385" s="2026"/>
      <c r="V385" s="2026"/>
      <c r="W385" s="2026"/>
      <c r="X385" s="2026"/>
      <c r="Y385" s="2026"/>
      <c r="Z385" s="2026"/>
      <c r="AA385" s="2026"/>
      <c r="AB385" s="2026"/>
      <c r="AC385" s="2026"/>
      <c r="AD385" s="2026"/>
      <c r="AE385" s="2026"/>
      <c r="AF385" s="2026"/>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2022" t="s">
        <v>598</v>
      </c>
      <c r="D386" s="1979"/>
      <c r="E386" s="725"/>
      <c r="F386" s="755" t="s">
        <v>1576</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2023" t="s">
        <v>1577</v>
      </c>
      <c r="AG386" s="2023"/>
      <c r="AH386" s="2023"/>
      <c r="AI386" s="2023"/>
      <c r="AJ386" s="2023"/>
      <c r="AK386" s="2023"/>
      <c r="AL386" s="2024"/>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2022" t="s">
        <v>552</v>
      </c>
      <c r="D388" s="1979"/>
      <c r="E388" s="725"/>
      <c r="F388" s="772" t="s">
        <v>1578</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2023" t="s">
        <v>1572</v>
      </c>
      <c r="AG388" s="2023"/>
      <c r="AH388" s="2023"/>
      <c r="AI388" s="2023"/>
      <c r="AJ388" s="2023"/>
      <c r="AK388" s="2023"/>
      <c r="AL388" s="2024"/>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1579</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1580</v>
      </c>
      <c r="F392" s="2025" t="s">
        <v>1581</v>
      </c>
      <c r="G392" s="2025"/>
      <c r="H392" s="2025"/>
      <c r="I392" s="2025"/>
      <c r="J392" s="2025"/>
      <c r="K392" s="2025"/>
      <c r="L392" s="2025"/>
      <c r="M392" s="2025"/>
      <c r="N392" s="2025"/>
      <c r="O392" s="2025"/>
      <c r="P392" s="2025"/>
      <c r="Q392" s="2025"/>
      <c r="R392" s="2025"/>
      <c r="S392" s="2025"/>
      <c r="T392" s="2025"/>
      <c r="U392" s="2025"/>
      <c r="V392" s="2025"/>
      <c r="W392" s="2025"/>
      <c r="X392" s="2025"/>
      <c r="Y392" s="2025"/>
      <c r="Z392" s="2025"/>
      <c r="AA392" s="2025"/>
      <c r="AB392" s="2025"/>
      <c r="AC392" s="2025"/>
      <c r="AD392" s="2025"/>
      <c r="AE392" s="2025"/>
      <c r="AF392" s="2025"/>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2026"/>
      <c r="G393" s="2026"/>
      <c r="H393" s="2026"/>
      <c r="I393" s="2026"/>
      <c r="J393" s="2026"/>
      <c r="K393" s="2026"/>
      <c r="L393" s="2026"/>
      <c r="M393" s="2026"/>
      <c r="N393" s="2026"/>
      <c r="O393" s="2026"/>
      <c r="P393" s="2026"/>
      <c r="Q393" s="2026"/>
      <c r="R393" s="2026"/>
      <c r="S393" s="2026"/>
      <c r="T393" s="2026"/>
      <c r="U393" s="2026"/>
      <c r="V393" s="2026"/>
      <c r="W393" s="2026"/>
      <c r="X393" s="2026"/>
      <c r="Y393" s="2026"/>
      <c r="Z393" s="2026"/>
      <c r="AA393" s="2026"/>
      <c r="AB393" s="2026"/>
      <c r="AC393" s="2026"/>
      <c r="AD393" s="2026"/>
      <c r="AE393" s="2026"/>
      <c r="AF393" s="2026"/>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2026"/>
      <c r="G394" s="2026"/>
      <c r="H394" s="2026"/>
      <c r="I394" s="2026"/>
      <c r="J394" s="2026"/>
      <c r="K394" s="2026"/>
      <c r="L394" s="2026"/>
      <c r="M394" s="2026"/>
      <c r="N394" s="2026"/>
      <c r="O394" s="2026"/>
      <c r="P394" s="2026"/>
      <c r="Q394" s="2026"/>
      <c r="R394" s="2026"/>
      <c r="S394" s="2026"/>
      <c r="T394" s="2026"/>
      <c r="U394" s="2026"/>
      <c r="V394" s="2026"/>
      <c r="W394" s="2026"/>
      <c r="X394" s="2026"/>
      <c r="Y394" s="2026"/>
      <c r="Z394" s="2026"/>
      <c r="AA394" s="2026"/>
      <c r="AB394" s="2026"/>
      <c r="AC394" s="2026"/>
      <c r="AD394" s="2026"/>
      <c r="AE394" s="2026"/>
      <c r="AF394" s="2026"/>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2026"/>
      <c r="G395" s="2026"/>
      <c r="H395" s="2026"/>
      <c r="I395" s="2026"/>
      <c r="J395" s="2026"/>
      <c r="K395" s="2026"/>
      <c r="L395" s="2026"/>
      <c r="M395" s="2026"/>
      <c r="N395" s="2026"/>
      <c r="O395" s="2026"/>
      <c r="P395" s="2026"/>
      <c r="Q395" s="2026"/>
      <c r="R395" s="2026"/>
      <c r="S395" s="2026"/>
      <c r="T395" s="2026"/>
      <c r="U395" s="2026"/>
      <c r="V395" s="2026"/>
      <c r="W395" s="2026"/>
      <c r="X395" s="2026"/>
      <c r="Y395" s="2026"/>
      <c r="Z395" s="2026"/>
      <c r="AA395" s="2026"/>
      <c r="AB395" s="2026"/>
      <c r="AC395" s="2026"/>
      <c r="AD395" s="2026"/>
      <c r="AE395" s="2026"/>
      <c r="AF395" s="2026"/>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2022" t="s">
        <v>598</v>
      </c>
      <c r="D396" s="1979"/>
      <c r="E396" s="725"/>
      <c r="F396" s="755" t="s">
        <v>1582</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2023" t="s">
        <v>1572</v>
      </c>
      <c r="AG396" s="2023"/>
      <c r="AH396" s="2023"/>
      <c r="AI396" s="2023"/>
      <c r="AJ396" s="2023"/>
      <c r="AK396" s="2023"/>
      <c r="AL396" s="2024"/>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2022" t="s">
        <v>598</v>
      </c>
      <c r="D398" s="1979"/>
      <c r="E398" s="753"/>
      <c r="F398" s="755" t="s">
        <v>1583</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2023" t="s">
        <v>1584</v>
      </c>
      <c r="AG398" s="2023"/>
      <c r="AH398" s="2023"/>
      <c r="AI398" s="2023"/>
      <c r="AJ398" s="2023"/>
      <c r="AK398" s="2023"/>
      <c r="AL398" s="2024"/>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2022" t="s">
        <v>598</v>
      </c>
      <c r="D401" s="1979"/>
      <c r="E401" s="749" t="s">
        <v>1585</v>
      </c>
      <c r="F401" s="2025" t="s">
        <v>1586</v>
      </c>
      <c r="G401" s="2025"/>
      <c r="H401" s="2025"/>
      <c r="I401" s="2025"/>
      <c r="J401" s="2025"/>
      <c r="K401" s="2025"/>
      <c r="L401" s="2025"/>
      <c r="M401" s="2025"/>
      <c r="N401" s="2025"/>
      <c r="O401" s="2025"/>
      <c r="P401" s="2025"/>
      <c r="Q401" s="2025"/>
      <c r="R401" s="2025"/>
      <c r="S401" s="2025"/>
      <c r="T401" s="2025"/>
      <c r="U401" s="2025"/>
      <c r="V401" s="2025"/>
      <c r="W401" s="2025"/>
      <c r="X401" s="2025"/>
      <c r="Y401" s="2025"/>
      <c r="Z401" s="2025"/>
      <c r="AA401" s="2025"/>
      <c r="AB401" s="2025"/>
      <c r="AC401" s="2025"/>
      <c r="AD401" s="2025"/>
      <c r="AE401" s="2025"/>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2026"/>
      <c r="G402" s="2026"/>
      <c r="H402" s="2026"/>
      <c r="I402" s="2026"/>
      <c r="J402" s="2026"/>
      <c r="K402" s="2026"/>
      <c r="L402" s="2026"/>
      <c r="M402" s="2026"/>
      <c r="N402" s="2026"/>
      <c r="O402" s="2026"/>
      <c r="P402" s="2026"/>
      <c r="Q402" s="2026"/>
      <c r="R402" s="2026"/>
      <c r="S402" s="2026"/>
      <c r="T402" s="2026"/>
      <c r="U402" s="2026"/>
      <c r="V402" s="2026"/>
      <c r="W402" s="2026"/>
      <c r="X402" s="2026"/>
      <c r="Y402" s="2026"/>
      <c r="Z402" s="2026"/>
      <c r="AA402" s="2026"/>
      <c r="AB402" s="2026"/>
      <c r="AC402" s="2026"/>
      <c r="AD402" s="2026"/>
      <c r="AE402" s="2026"/>
      <c r="AF402" s="1949" t="s">
        <v>1572</v>
      </c>
      <c r="AG402" s="1949"/>
      <c r="AH402" s="1949"/>
      <c r="AI402" s="1949"/>
      <c r="AJ402" s="1949"/>
      <c r="AK402" s="1949"/>
      <c r="AL402" s="2027"/>
      <c r="AM402" s="604"/>
      <c r="AN402" s="631"/>
      <c r="BS402" s="604"/>
      <c r="BT402" s="604"/>
      <c r="BY402" s="604"/>
      <c r="BZ402" s="604"/>
      <c r="CA402" s="604"/>
      <c r="CB402" s="604"/>
      <c r="CC402" s="604"/>
    </row>
    <row r="403" spans="1:81" s="584" customFormat="1" ht="12.75" customHeight="1">
      <c r="A403" s="570"/>
      <c r="B403" s="14"/>
      <c r="C403" s="765"/>
      <c r="D403" s="14"/>
      <c r="E403" s="725"/>
      <c r="F403" s="2026"/>
      <c r="G403" s="2026"/>
      <c r="H403" s="2026"/>
      <c r="I403" s="2026"/>
      <c r="J403" s="2026"/>
      <c r="K403" s="2026"/>
      <c r="L403" s="2026"/>
      <c r="M403" s="2026"/>
      <c r="N403" s="2026"/>
      <c r="O403" s="2026"/>
      <c r="P403" s="2026"/>
      <c r="Q403" s="2026"/>
      <c r="R403" s="2026"/>
      <c r="S403" s="2026"/>
      <c r="T403" s="2026"/>
      <c r="U403" s="2026"/>
      <c r="V403" s="2026"/>
      <c r="W403" s="2026"/>
      <c r="X403" s="2026"/>
      <c r="Y403" s="2026"/>
      <c r="Z403" s="2026"/>
      <c r="AA403" s="2026"/>
      <c r="AB403" s="2026"/>
      <c r="AC403" s="2026"/>
      <c r="AD403" s="2026"/>
      <c r="AE403" s="2026"/>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45"/>
      <c r="G404" s="2045"/>
      <c r="H404" s="2045"/>
      <c r="I404" s="2045"/>
      <c r="J404" s="2045"/>
      <c r="K404" s="2045"/>
      <c r="L404" s="2045"/>
      <c r="M404" s="2045"/>
      <c r="N404" s="2045"/>
      <c r="O404" s="2045"/>
      <c r="P404" s="2045"/>
      <c r="Q404" s="2045"/>
      <c r="R404" s="2045"/>
      <c r="S404" s="2045"/>
      <c r="T404" s="2045"/>
      <c r="U404" s="2045"/>
      <c r="V404" s="2045"/>
      <c r="W404" s="2045"/>
      <c r="X404" s="2045"/>
      <c r="Y404" s="2045"/>
      <c r="Z404" s="2045"/>
      <c r="AA404" s="2045"/>
      <c r="AB404" s="2045"/>
      <c r="AC404" s="2045"/>
      <c r="AD404" s="2045"/>
      <c r="AE404" s="2045"/>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1587</v>
      </c>
      <c r="F406" s="2025" t="s">
        <v>1588</v>
      </c>
      <c r="G406" s="2025"/>
      <c r="H406" s="2025"/>
      <c r="I406" s="2025"/>
      <c r="J406" s="2025"/>
      <c r="K406" s="2025"/>
      <c r="L406" s="2025"/>
      <c r="M406" s="2025"/>
      <c r="N406" s="2025"/>
      <c r="O406" s="2025"/>
      <c r="P406" s="2025"/>
      <c r="Q406" s="2025"/>
      <c r="R406" s="2025"/>
      <c r="S406" s="2025"/>
      <c r="T406" s="2025"/>
      <c r="U406" s="2025"/>
      <c r="V406" s="2025"/>
      <c r="W406" s="2025"/>
      <c r="X406" s="2025"/>
      <c r="Y406" s="2025"/>
      <c r="Z406" s="2025"/>
      <c r="AA406" s="2025"/>
      <c r="AB406" s="2025"/>
      <c r="AC406" s="2025"/>
      <c r="AD406" s="2025"/>
      <c r="AE406" s="2025"/>
      <c r="AF406" s="781"/>
      <c r="AG406" s="781"/>
      <c r="AH406" s="781"/>
      <c r="AI406" s="781"/>
      <c r="AJ406" s="781"/>
      <c r="AK406" s="781"/>
      <c r="AL406" s="782"/>
      <c r="AM406" s="604"/>
    </row>
    <row r="407" spans="1:81">
      <c r="A407" s="570"/>
      <c r="C407" s="765"/>
      <c r="E407" s="725"/>
      <c r="F407" s="2026"/>
      <c r="G407" s="2026"/>
      <c r="H407" s="2026"/>
      <c r="I407" s="2026"/>
      <c r="J407" s="2026"/>
      <c r="K407" s="2026"/>
      <c r="L407" s="2026"/>
      <c r="M407" s="2026"/>
      <c r="N407" s="2026"/>
      <c r="O407" s="2026"/>
      <c r="P407" s="2026"/>
      <c r="Q407" s="2026"/>
      <c r="R407" s="2026"/>
      <c r="S407" s="2026"/>
      <c r="T407" s="2026"/>
      <c r="U407" s="2026"/>
      <c r="V407" s="2026"/>
      <c r="W407" s="2026"/>
      <c r="X407" s="2026"/>
      <c r="Y407" s="2026"/>
      <c r="Z407" s="2026"/>
      <c r="AA407" s="2026"/>
      <c r="AB407" s="2026"/>
      <c r="AC407" s="2026"/>
      <c r="AD407" s="2026"/>
      <c r="AE407" s="2026"/>
      <c r="AF407" s="573"/>
      <c r="AG407" s="570"/>
      <c r="AH407" s="584"/>
      <c r="AI407" s="584"/>
      <c r="AJ407" s="584"/>
      <c r="AK407" s="584"/>
      <c r="AL407" s="766"/>
      <c r="AM407" s="604"/>
    </row>
    <row r="408" spans="1:81" s="584" customFormat="1" ht="12.75" customHeight="1">
      <c r="A408" s="570"/>
      <c r="B408" s="14"/>
      <c r="C408" s="765"/>
      <c r="D408" s="14"/>
      <c r="E408" s="725"/>
      <c r="F408" s="2026"/>
      <c r="G408" s="2026"/>
      <c r="H408" s="2026"/>
      <c r="I408" s="2026"/>
      <c r="J408" s="2026"/>
      <c r="K408" s="2026"/>
      <c r="L408" s="2026"/>
      <c r="M408" s="2026"/>
      <c r="N408" s="2026"/>
      <c r="O408" s="2026"/>
      <c r="P408" s="2026"/>
      <c r="Q408" s="2026"/>
      <c r="R408" s="2026"/>
      <c r="S408" s="2026"/>
      <c r="T408" s="2026"/>
      <c r="U408" s="2026"/>
      <c r="V408" s="2026"/>
      <c r="W408" s="2026"/>
      <c r="X408" s="2026"/>
      <c r="Y408" s="2026"/>
      <c r="Z408" s="2026"/>
      <c r="AA408" s="2026"/>
      <c r="AB408" s="2026"/>
      <c r="AC408" s="2026"/>
      <c r="AD408" s="2026"/>
      <c r="AE408" s="2026"/>
      <c r="AL408" s="766"/>
      <c r="AM408" s="604"/>
      <c r="AN408" s="631"/>
    </row>
    <row r="409" spans="1:81" s="584" customFormat="1" ht="12.75" customHeight="1">
      <c r="A409" s="570"/>
      <c r="B409" s="14"/>
      <c r="C409" s="773"/>
      <c r="F409" s="2026"/>
      <c r="G409" s="2026"/>
      <c r="H409" s="2026"/>
      <c r="I409" s="2026"/>
      <c r="J409" s="2026"/>
      <c r="K409" s="2026"/>
      <c r="L409" s="2026"/>
      <c r="M409" s="2026"/>
      <c r="N409" s="2026"/>
      <c r="O409" s="2026"/>
      <c r="P409" s="2026"/>
      <c r="Q409" s="2026"/>
      <c r="R409" s="2026"/>
      <c r="S409" s="2026"/>
      <c r="T409" s="2026"/>
      <c r="U409" s="2026"/>
      <c r="V409" s="2026"/>
      <c r="W409" s="2026"/>
      <c r="X409" s="2026"/>
      <c r="Y409" s="2026"/>
      <c r="Z409" s="2026"/>
      <c r="AA409" s="2026"/>
      <c r="AB409" s="2026"/>
      <c r="AC409" s="2026"/>
      <c r="AD409" s="2026"/>
      <c r="AE409" s="2026"/>
      <c r="AL409" s="766"/>
      <c r="AM409" s="604"/>
      <c r="AN409" s="631"/>
    </row>
    <row r="410" spans="1:81" s="584" customFormat="1" ht="12.75" customHeight="1">
      <c r="A410" s="570"/>
      <c r="B410" s="14"/>
      <c r="C410" s="2022" t="s">
        <v>598</v>
      </c>
      <c r="D410" s="1979"/>
      <c r="E410" s="725"/>
      <c r="F410" s="755" t="s">
        <v>1589</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49" t="s">
        <v>1572</v>
      </c>
      <c r="AG410" s="1949"/>
      <c r="AH410" s="1949"/>
      <c r="AI410" s="1949"/>
      <c r="AJ410" s="1949"/>
      <c r="AK410" s="1949"/>
      <c r="AL410" s="2027"/>
      <c r="AM410" s="604"/>
      <c r="AN410" s="631"/>
    </row>
    <row r="411" spans="1:81" s="584" customFormat="1" ht="12.75" customHeight="1">
      <c r="A411" s="570"/>
      <c r="B411" s="14"/>
      <c r="C411" s="773"/>
      <c r="AL411" s="766"/>
      <c r="AM411" s="604"/>
      <c r="AN411" s="631"/>
    </row>
    <row r="412" spans="1:81" s="584" customFormat="1" ht="12.75" customHeight="1">
      <c r="A412" s="570"/>
      <c r="B412" s="14"/>
      <c r="C412" s="2022" t="s">
        <v>598</v>
      </c>
      <c r="D412" s="1979"/>
      <c r="E412" s="753"/>
      <c r="F412" s="755" t="s">
        <v>1590</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49" t="s">
        <v>1584</v>
      </c>
      <c r="AG412" s="1949"/>
      <c r="AH412" s="1949"/>
      <c r="AI412" s="1949"/>
      <c r="AJ412" s="1949"/>
      <c r="AK412" s="1949"/>
      <c r="AL412" s="2027"/>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2573</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1591</v>
      </c>
      <c r="F416" s="2025" t="s">
        <v>1592</v>
      </c>
      <c r="G416" s="2025"/>
      <c r="H416" s="2025"/>
      <c r="I416" s="2025"/>
      <c r="J416" s="2025"/>
      <c r="K416" s="2025"/>
      <c r="L416" s="2025"/>
      <c r="M416" s="2025"/>
      <c r="N416" s="2025"/>
      <c r="O416" s="2025"/>
      <c r="P416" s="2025"/>
      <c r="Q416" s="2025"/>
      <c r="R416" s="2025"/>
      <c r="S416" s="2025"/>
      <c r="T416" s="2025"/>
      <c r="U416" s="2025"/>
      <c r="V416" s="2025"/>
      <c r="W416" s="2025"/>
      <c r="X416" s="2025"/>
      <c r="Y416" s="2025"/>
      <c r="Z416" s="2025"/>
      <c r="AA416" s="2025"/>
      <c r="AB416" s="2025"/>
      <c r="AC416" s="2025"/>
      <c r="AD416" s="2025"/>
      <c r="AE416" s="2025"/>
      <c r="AF416" s="748"/>
      <c r="AG416" s="748"/>
      <c r="AH416" s="748"/>
      <c r="AI416" s="748"/>
      <c r="AJ416" s="748"/>
      <c r="AK416" s="748"/>
      <c r="AL416" s="779"/>
      <c r="AM416" s="604"/>
      <c r="AN416" s="631"/>
    </row>
    <row r="417" spans="1:60" s="584" customFormat="1" ht="12.75" customHeight="1">
      <c r="A417" s="570"/>
      <c r="B417" s="14"/>
      <c r="C417" s="765"/>
      <c r="D417" s="14"/>
      <c r="E417" s="725"/>
      <c r="F417" s="2026"/>
      <c r="G417" s="2026"/>
      <c r="H417" s="2026"/>
      <c r="I417" s="2026"/>
      <c r="J417" s="2026"/>
      <c r="K417" s="2026"/>
      <c r="L417" s="2026"/>
      <c r="M417" s="2026"/>
      <c r="N417" s="2026"/>
      <c r="O417" s="2026"/>
      <c r="P417" s="2026"/>
      <c r="Q417" s="2026"/>
      <c r="R417" s="2026"/>
      <c r="S417" s="2026"/>
      <c r="T417" s="2026"/>
      <c r="U417" s="2026"/>
      <c r="V417" s="2026"/>
      <c r="W417" s="2026"/>
      <c r="X417" s="2026"/>
      <c r="Y417" s="2026"/>
      <c r="Z417" s="2026"/>
      <c r="AA417" s="2026"/>
      <c r="AB417" s="2026"/>
      <c r="AC417" s="2026"/>
      <c r="AD417" s="2026"/>
      <c r="AE417" s="2026"/>
      <c r="AF417" s="573"/>
      <c r="AG417" s="570"/>
      <c r="AL417" s="766"/>
      <c r="AM417" s="604"/>
      <c r="AN417" s="631"/>
    </row>
    <row r="418" spans="1:60" s="584" customFormat="1" ht="12.6" customHeight="1">
      <c r="A418" s="570"/>
      <c r="B418" s="14"/>
      <c r="C418" s="765"/>
      <c r="D418" s="14"/>
      <c r="E418" s="725"/>
      <c r="F418" s="2026"/>
      <c r="G418" s="2026"/>
      <c r="H418" s="2026"/>
      <c r="I418" s="2026"/>
      <c r="J418" s="2026"/>
      <c r="K418" s="2026"/>
      <c r="L418" s="2026"/>
      <c r="M418" s="2026"/>
      <c r="N418" s="2026"/>
      <c r="O418" s="2026"/>
      <c r="P418" s="2026"/>
      <c r="Q418" s="2026"/>
      <c r="R418" s="2026"/>
      <c r="S418" s="2026"/>
      <c r="T418" s="2026"/>
      <c r="U418" s="2026"/>
      <c r="V418" s="2026"/>
      <c r="W418" s="2026"/>
      <c r="X418" s="2026"/>
      <c r="Y418" s="2026"/>
      <c r="Z418" s="2026"/>
      <c r="AA418" s="2026"/>
      <c r="AB418" s="2026"/>
      <c r="AC418" s="2026"/>
      <c r="AD418" s="2026"/>
      <c r="AE418" s="2026"/>
      <c r="AL418" s="766"/>
      <c r="AM418" s="604"/>
      <c r="AN418" s="631"/>
    </row>
    <row r="419" spans="1:60" s="584" customFormat="1" ht="12.75" customHeight="1">
      <c r="A419" s="570"/>
      <c r="B419" s="14"/>
      <c r="C419" s="2022" t="s">
        <v>598</v>
      </c>
      <c r="D419" s="1979"/>
      <c r="E419" s="725"/>
      <c r="F419" s="755" t="s">
        <v>1593</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49" t="s">
        <v>1572</v>
      </c>
      <c r="AG419" s="1949"/>
      <c r="AH419" s="1949"/>
      <c r="AI419" s="1949"/>
      <c r="AJ419" s="1949"/>
      <c r="AK419" s="1949"/>
      <c r="AL419" s="2027"/>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35" customHeight="1">
      <c r="A422" s="570"/>
      <c r="C422" s="780"/>
      <c r="D422" s="781"/>
      <c r="E422" s="749" t="s">
        <v>1594</v>
      </c>
      <c r="F422" s="2025" t="s">
        <v>1595</v>
      </c>
      <c r="G422" s="2025"/>
      <c r="H422" s="2025"/>
      <c r="I422" s="2025"/>
      <c r="J422" s="2025"/>
      <c r="K422" s="2025"/>
      <c r="L422" s="2025"/>
      <c r="M422" s="2025"/>
      <c r="N422" s="2025"/>
      <c r="O422" s="2025"/>
      <c r="P422" s="2025"/>
      <c r="Q422" s="2025"/>
      <c r="R422" s="2025"/>
      <c r="S422" s="2025"/>
      <c r="T422" s="2025"/>
      <c r="U422" s="2025"/>
      <c r="V422" s="2025"/>
      <c r="W422" s="2025"/>
      <c r="X422" s="2025"/>
      <c r="Y422" s="2025"/>
      <c r="Z422" s="2025"/>
      <c r="AA422" s="2025"/>
      <c r="AB422" s="2025"/>
      <c r="AC422" s="2025"/>
      <c r="AD422" s="2025"/>
      <c r="AE422" s="2025"/>
      <c r="AF422" s="781"/>
      <c r="AG422" s="781"/>
      <c r="AH422" s="781"/>
      <c r="AI422" s="781"/>
      <c r="AJ422" s="781"/>
      <c r="AK422" s="781"/>
      <c r="AL422" s="782"/>
      <c r="AM422" s="604"/>
      <c r="AO422" s="584"/>
      <c r="AP422" s="584"/>
      <c r="BD422" s="14"/>
      <c r="BE422" s="14"/>
      <c r="BF422" s="14"/>
      <c r="BG422" s="14"/>
      <c r="BH422" s="14"/>
    </row>
    <row r="423" spans="1:60">
      <c r="A423" s="570"/>
      <c r="C423" s="765"/>
      <c r="E423" s="725"/>
      <c r="F423" s="2026"/>
      <c r="G423" s="2026"/>
      <c r="H423" s="2026"/>
      <c r="I423" s="2026"/>
      <c r="J423" s="2026"/>
      <c r="K423" s="2026"/>
      <c r="L423" s="2026"/>
      <c r="M423" s="2026"/>
      <c r="N423" s="2026"/>
      <c r="O423" s="2026"/>
      <c r="P423" s="2026"/>
      <c r="Q423" s="2026"/>
      <c r="R423" s="2026"/>
      <c r="S423" s="2026"/>
      <c r="T423" s="2026"/>
      <c r="U423" s="2026"/>
      <c r="V423" s="2026"/>
      <c r="W423" s="2026"/>
      <c r="X423" s="2026"/>
      <c r="Y423" s="2026"/>
      <c r="Z423" s="2026"/>
      <c r="AA423" s="2026"/>
      <c r="AB423" s="2026"/>
      <c r="AC423" s="2026"/>
      <c r="AD423" s="2026"/>
      <c r="AE423" s="2026"/>
      <c r="AF423" s="628"/>
      <c r="AG423" s="628"/>
      <c r="AH423" s="628"/>
      <c r="AI423" s="628"/>
      <c r="AJ423" s="628"/>
      <c r="AK423" s="628"/>
      <c r="AL423" s="784"/>
      <c r="AM423" s="604"/>
      <c r="AO423" s="584"/>
      <c r="AP423" s="584"/>
    </row>
    <row r="424" spans="1:60" s="584" customFormat="1" ht="12.75" customHeight="1">
      <c r="A424" s="570"/>
      <c r="B424" s="14"/>
      <c r="C424" s="765"/>
      <c r="D424" s="14"/>
      <c r="E424" s="725"/>
      <c r="F424" s="2026"/>
      <c r="G424" s="2026"/>
      <c r="H424" s="2026"/>
      <c r="I424" s="2026"/>
      <c r="J424" s="2026"/>
      <c r="K424" s="2026"/>
      <c r="L424" s="2026"/>
      <c r="M424" s="2026"/>
      <c r="N424" s="2026"/>
      <c r="O424" s="2026"/>
      <c r="P424" s="2026"/>
      <c r="Q424" s="2026"/>
      <c r="R424" s="2026"/>
      <c r="S424" s="2026"/>
      <c r="T424" s="2026"/>
      <c r="U424" s="2026"/>
      <c r="V424" s="2026"/>
      <c r="W424" s="2026"/>
      <c r="X424" s="2026"/>
      <c r="Y424" s="2026"/>
      <c r="Z424" s="2026"/>
      <c r="AA424" s="2026"/>
      <c r="AB424" s="2026"/>
      <c r="AC424" s="2026"/>
      <c r="AD424" s="2026"/>
      <c r="AE424" s="2026"/>
      <c r="AF424" s="628"/>
      <c r="AG424" s="628"/>
      <c r="AH424" s="628"/>
      <c r="AI424" s="628"/>
      <c r="AJ424" s="628"/>
      <c r="AK424" s="628"/>
      <c r="AL424" s="784"/>
      <c r="AM424" s="604"/>
      <c r="AN424" s="631"/>
    </row>
    <row r="425" spans="1:60" s="584" customFormat="1" ht="12.75" customHeight="1">
      <c r="A425" s="570"/>
      <c r="B425" s="14"/>
      <c r="C425" s="785"/>
      <c r="D425" s="764"/>
      <c r="E425" s="753"/>
      <c r="F425" s="2026"/>
      <c r="G425" s="2026"/>
      <c r="H425" s="2026"/>
      <c r="I425" s="2026"/>
      <c r="J425" s="2026"/>
      <c r="K425" s="2026"/>
      <c r="L425" s="2026"/>
      <c r="M425" s="2026"/>
      <c r="N425" s="2026"/>
      <c r="O425" s="2026"/>
      <c r="P425" s="2026"/>
      <c r="Q425" s="2026"/>
      <c r="R425" s="2026"/>
      <c r="S425" s="2026"/>
      <c r="T425" s="2026"/>
      <c r="U425" s="2026"/>
      <c r="V425" s="2026"/>
      <c r="W425" s="2026"/>
      <c r="X425" s="2026"/>
      <c r="Y425" s="2026"/>
      <c r="Z425" s="2026"/>
      <c r="AA425" s="2026"/>
      <c r="AB425" s="2026"/>
      <c r="AC425" s="2026"/>
      <c r="AD425" s="2026"/>
      <c r="AE425" s="2026"/>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2026"/>
      <c r="G426" s="2026"/>
      <c r="H426" s="2026"/>
      <c r="I426" s="2026"/>
      <c r="J426" s="2026"/>
      <c r="K426" s="2026"/>
      <c r="L426" s="2026"/>
      <c r="M426" s="2026"/>
      <c r="N426" s="2026"/>
      <c r="O426" s="2026"/>
      <c r="P426" s="2026"/>
      <c r="Q426" s="2026"/>
      <c r="R426" s="2026"/>
      <c r="S426" s="2026"/>
      <c r="T426" s="2026"/>
      <c r="U426" s="2026"/>
      <c r="V426" s="2026"/>
      <c r="W426" s="2026"/>
      <c r="X426" s="2026"/>
      <c r="Y426" s="2026"/>
      <c r="Z426" s="2026"/>
      <c r="AA426" s="2026"/>
      <c r="AB426" s="2026"/>
      <c r="AC426" s="2026"/>
      <c r="AD426" s="2026"/>
      <c r="AE426" s="2026"/>
      <c r="AF426" s="628"/>
      <c r="AG426" s="628"/>
      <c r="AH426" s="628"/>
      <c r="AI426" s="628"/>
      <c r="AJ426" s="628"/>
      <c r="AK426" s="628"/>
      <c r="AL426" s="784"/>
      <c r="AM426" s="604"/>
      <c r="AN426" s="631"/>
    </row>
    <row r="427" spans="1:60" s="584" customFormat="1" ht="12.75" customHeight="1">
      <c r="A427" s="570"/>
      <c r="B427" s="14"/>
      <c r="C427" s="785"/>
      <c r="D427" s="764"/>
      <c r="E427" s="753"/>
      <c r="F427" s="2026"/>
      <c r="G427" s="2026"/>
      <c r="H427" s="2026"/>
      <c r="I427" s="2026"/>
      <c r="J427" s="2026"/>
      <c r="K427" s="2026"/>
      <c r="L427" s="2026"/>
      <c r="M427" s="2026"/>
      <c r="N427" s="2026"/>
      <c r="O427" s="2026"/>
      <c r="P427" s="2026"/>
      <c r="Q427" s="2026"/>
      <c r="R427" s="2026"/>
      <c r="S427" s="2026"/>
      <c r="T427" s="2026"/>
      <c r="U427" s="2026"/>
      <c r="V427" s="2026"/>
      <c r="W427" s="2026"/>
      <c r="X427" s="2026"/>
      <c r="Y427" s="2026"/>
      <c r="Z427" s="2026"/>
      <c r="AA427" s="2026"/>
      <c r="AB427" s="2026"/>
      <c r="AC427" s="2026"/>
      <c r="AD427" s="2026"/>
      <c r="AE427" s="2026"/>
      <c r="AF427" s="628"/>
      <c r="AG427" s="628"/>
      <c r="AH427" s="628"/>
      <c r="AI427" s="628"/>
      <c r="AJ427" s="628"/>
      <c r="AK427" s="628"/>
      <c r="AL427" s="784"/>
      <c r="AM427" s="604"/>
      <c r="AN427" s="631"/>
    </row>
    <row r="428" spans="1:60" s="584" customFormat="1" ht="12.75" customHeight="1">
      <c r="A428" s="570"/>
      <c r="B428" s="14"/>
      <c r="C428" s="785"/>
      <c r="D428" s="764"/>
      <c r="E428" s="753"/>
      <c r="F428" s="2026"/>
      <c r="G428" s="2026"/>
      <c r="H428" s="2026"/>
      <c r="I428" s="2026"/>
      <c r="J428" s="2026"/>
      <c r="K428" s="2026"/>
      <c r="L428" s="2026"/>
      <c r="M428" s="2026"/>
      <c r="N428" s="2026"/>
      <c r="O428" s="2026"/>
      <c r="P428" s="2026"/>
      <c r="Q428" s="2026"/>
      <c r="R428" s="2026"/>
      <c r="S428" s="2026"/>
      <c r="T428" s="2026"/>
      <c r="U428" s="2026"/>
      <c r="V428" s="2026"/>
      <c r="W428" s="2026"/>
      <c r="X428" s="2026"/>
      <c r="Y428" s="2026"/>
      <c r="Z428" s="2026"/>
      <c r="AA428" s="2026"/>
      <c r="AB428" s="2026"/>
      <c r="AC428" s="2026"/>
      <c r="AD428" s="2026"/>
      <c r="AE428" s="2026"/>
      <c r="AF428" s="628"/>
      <c r="AG428" s="628"/>
      <c r="AH428" s="628"/>
      <c r="AI428" s="628"/>
      <c r="AJ428" s="628"/>
      <c r="AK428" s="628"/>
      <c r="AL428" s="784"/>
      <c r="AM428" s="604"/>
      <c r="AN428" s="631"/>
    </row>
    <row r="429" spans="1:60" s="584" customFormat="1" ht="12.75" customHeight="1">
      <c r="A429" s="570"/>
      <c r="B429" s="14"/>
      <c r="C429" s="785"/>
      <c r="D429" s="764"/>
      <c r="E429" s="753"/>
      <c r="F429" s="2026"/>
      <c r="G429" s="2026"/>
      <c r="H429" s="2026"/>
      <c r="I429" s="2026"/>
      <c r="J429" s="2026"/>
      <c r="K429" s="2026"/>
      <c r="L429" s="2026"/>
      <c r="M429" s="2026"/>
      <c r="N429" s="2026"/>
      <c r="O429" s="2026"/>
      <c r="P429" s="2026"/>
      <c r="Q429" s="2026"/>
      <c r="R429" s="2026"/>
      <c r="S429" s="2026"/>
      <c r="T429" s="2026"/>
      <c r="U429" s="2026"/>
      <c r="V429" s="2026"/>
      <c r="W429" s="2026"/>
      <c r="X429" s="2026"/>
      <c r="Y429" s="2026"/>
      <c r="Z429" s="2026"/>
      <c r="AA429" s="2026"/>
      <c r="AB429" s="2026"/>
      <c r="AC429" s="2026"/>
      <c r="AD429" s="2026"/>
      <c r="AE429" s="2026"/>
      <c r="AF429" s="628"/>
      <c r="AG429" s="628"/>
      <c r="AH429" s="628"/>
      <c r="AI429" s="628"/>
      <c r="AJ429" s="628"/>
      <c r="AK429" s="628"/>
      <c r="AL429" s="784"/>
      <c r="AM429" s="604"/>
      <c r="AN429" s="631"/>
    </row>
    <row r="430" spans="1:60" s="584" customFormat="1" ht="17.25" customHeight="1">
      <c r="A430" s="570"/>
      <c r="B430" s="14"/>
      <c r="C430" s="785"/>
      <c r="D430" s="764"/>
      <c r="E430" s="753"/>
      <c r="F430" s="2026"/>
      <c r="G430" s="2026"/>
      <c r="H430" s="2026"/>
      <c r="I430" s="2026"/>
      <c r="J430" s="2026"/>
      <c r="K430" s="2026"/>
      <c r="L430" s="2026"/>
      <c r="M430" s="2026"/>
      <c r="N430" s="2026"/>
      <c r="O430" s="2026"/>
      <c r="P430" s="2026"/>
      <c r="Q430" s="2026"/>
      <c r="R430" s="2026"/>
      <c r="S430" s="2026"/>
      <c r="T430" s="2026"/>
      <c r="U430" s="2026"/>
      <c r="V430" s="2026"/>
      <c r="W430" s="2026"/>
      <c r="X430" s="2026"/>
      <c r="Y430" s="2026"/>
      <c r="Z430" s="2026"/>
      <c r="AA430" s="2026"/>
      <c r="AB430" s="2026"/>
      <c r="AC430" s="2026"/>
      <c r="AD430" s="2026"/>
      <c r="AE430" s="2026"/>
      <c r="AL430" s="766"/>
      <c r="AM430" s="604"/>
      <c r="AN430" s="631"/>
    </row>
    <row r="431" spans="1:60" s="584" customFormat="1" ht="12.75" customHeight="1">
      <c r="A431" s="570"/>
      <c r="B431" s="14"/>
      <c r="C431" s="2022" t="s">
        <v>598</v>
      </c>
      <c r="D431" s="1979"/>
      <c r="E431" s="753"/>
      <c r="F431" s="630" t="s">
        <v>1596</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49" t="s">
        <v>1572</v>
      </c>
      <c r="AG431" s="1949"/>
      <c r="AH431" s="1949"/>
      <c r="AI431" s="1949"/>
      <c r="AJ431" s="1949"/>
      <c r="AK431" s="1949"/>
      <c r="AL431" s="2027"/>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1597</v>
      </c>
      <c r="F434" s="2025" t="s">
        <v>1598</v>
      </c>
      <c r="G434" s="2025"/>
      <c r="H434" s="2025"/>
      <c r="I434" s="2025"/>
      <c r="J434" s="2025"/>
      <c r="K434" s="2025"/>
      <c r="L434" s="2025"/>
      <c r="M434" s="2025"/>
      <c r="N434" s="2025"/>
      <c r="O434" s="2025"/>
      <c r="P434" s="2025"/>
      <c r="Q434" s="2025"/>
      <c r="R434" s="2025"/>
      <c r="S434" s="2025"/>
      <c r="T434" s="2025"/>
      <c r="U434" s="2025"/>
      <c r="V434" s="2025"/>
      <c r="W434" s="2025"/>
      <c r="X434" s="2025"/>
      <c r="Y434" s="2025"/>
      <c r="Z434" s="2025"/>
      <c r="AA434" s="2025"/>
      <c r="AB434" s="2025"/>
      <c r="AC434" s="2025"/>
      <c r="AD434" s="2025"/>
      <c r="AE434" s="2025"/>
      <c r="AF434" s="748"/>
      <c r="AG434" s="748"/>
      <c r="AH434" s="748"/>
      <c r="AI434" s="748"/>
      <c r="AJ434" s="748"/>
      <c r="AK434" s="748"/>
      <c r="AL434" s="779"/>
      <c r="AM434" s="604"/>
      <c r="AN434" s="631"/>
    </row>
    <row r="435" spans="1:40" s="584" customFormat="1" ht="12.75" customHeight="1">
      <c r="A435" s="570"/>
      <c r="B435" s="14"/>
      <c r="C435" s="785"/>
      <c r="D435" s="764"/>
      <c r="E435" s="753"/>
      <c r="F435" s="2026"/>
      <c r="G435" s="2026"/>
      <c r="H435" s="2026"/>
      <c r="I435" s="2026"/>
      <c r="J435" s="2026"/>
      <c r="K435" s="2026"/>
      <c r="L435" s="2026"/>
      <c r="M435" s="2026"/>
      <c r="N435" s="2026"/>
      <c r="O435" s="2026"/>
      <c r="P435" s="2026"/>
      <c r="Q435" s="2026"/>
      <c r="R435" s="2026"/>
      <c r="S435" s="2026"/>
      <c r="T435" s="2026"/>
      <c r="U435" s="2026"/>
      <c r="V435" s="2026"/>
      <c r="W435" s="2026"/>
      <c r="X435" s="2026"/>
      <c r="Y435" s="2026"/>
      <c r="Z435" s="2026"/>
      <c r="AA435" s="2026"/>
      <c r="AB435" s="2026"/>
      <c r="AC435" s="2026"/>
      <c r="AD435" s="2026"/>
      <c r="AE435" s="2026"/>
      <c r="AF435" s="625"/>
      <c r="AG435" s="625"/>
      <c r="AH435" s="625"/>
      <c r="AI435" s="625"/>
      <c r="AJ435" s="625"/>
      <c r="AK435" s="625"/>
      <c r="AL435" s="754"/>
      <c r="AM435" s="604"/>
      <c r="AN435" s="631"/>
    </row>
    <row r="436" spans="1:40" s="584" customFormat="1" ht="12.75" customHeight="1">
      <c r="A436" s="570"/>
      <c r="B436" s="14"/>
      <c r="C436" s="785"/>
      <c r="D436" s="764"/>
      <c r="E436" s="753"/>
      <c r="F436" s="2026"/>
      <c r="G436" s="2026"/>
      <c r="H436" s="2026"/>
      <c r="I436" s="2026"/>
      <c r="J436" s="2026"/>
      <c r="K436" s="2026"/>
      <c r="L436" s="2026"/>
      <c r="M436" s="2026"/>
      <c r="N436" s="2026"/>
      <c r="O436" s="2026"/>
      <c r="P436" s="2026"/>
      <c r="Q436" s="2026"/>
      <c r="R436" s="2026"/>
      <c r="S436" s="2026"/>
      <c r="T436" s="2026"/>
      <c r="U436" s="2026"/>
      <c r="V436" s="2026"/>
      <c r="W436" s="2026"/>
      <c r="X436" s="2026"/>
      <c r="Y436" s="2026"/>
      <c r="Z436" s="2026"/>
      <c r="AA436" s="2026"/>
      <c r="AB436" s="2026"/>
      <c r="AC436" s="2026"/>
      <c r="AD436" s="2026"/>
      <c r="AE436" s="2026"/>
      <c r="AF436" s="625"/>
      <c r="AG436" s="625"/>
      <c r="AH436" s="625"/>
      <c r="AI436" s="625"/>
      <c r="AJ436" s="625"/>
      <c r="AK436" s="625"/>
      <c r="AL436" s="754"/>
      <c r="AM436" s="604"/>
      <c r="AN436" s="631"/>
    </row>
    <row r="437" spans="1:40" s="584" customFormat="1" ht="12.75" customHeight="1">
      <c r="A437" s="570"/>
      <c r="B437" s="14"/>
      <c r="C437" s="785"/>
      <c r="D437" s="764"/>
      <c r="E437" s="753"/>
      <c r="F437" s="2026"/>
      <c r="G437" s="2026"/>
      <c r="H437" s="2026"/>
      <c r="I437" s="2026"/>
      <c r="J437" s="2026"/>
      <c r="K437" s="2026"/>
      <c r="L437" s="2026"/>
      <c r="M437" s="2026"/>
      <c r="N437" s="2026"/>
      <c r="O437" s="2026"/>
      <c r="P437" s="2026"/>
      <c r="Q437" s="2026"/>
      <c r="R437" s="2026"/>
      <c r="S437" s="2026"/>
      <c r="T437" s="2026"/>
      <c r="U437" s="2026"/>
      <c r="V437" s="2026"/>
      <c r="W437" s="2026"/>
      <c r="X437" s="2026"/>
      <c r="Y437" s="2026"/>
      <c r="Z437" s="2026"/>
      <c r="AA437" s="2026"/>
      <c r="AB437" s="2026"/>
      <c r="AC437" s="2026"/>
      <c r="AD437" s="2026"/>
      <c r="AE437" s="2026"/>
      <c r="AL437" s="766"/>
      <c r="AM437" s="604"/>
      <c r="AN437" s="631"/>
    </row>
    <row r="438" spans="1:40" s="584" customFormat="1" ht="12.75" customHeight="1">
      <c r="A438" s="570"/>
      <c r="B438" s="14"/>
      <c r="C438" s="2022" t="s">
        <v>598</v>
      </c>
      <c r="D438" s="1979"/>
      <c r="E438" s="753"/>
      <c r="F438" s="755" t="s">
        <v>1602</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49" t="s">
        <v>1572</v>
      </c>
      <c r="AG438" s="1949"/>
      <c r="AH438" s="1949"/>
      <c r="AI438" s="1949"/>
      <c r="AJ438" s="1949"/>
      <c r="AK438" s="1949"/>
      <c r="AL438" s="2027"/>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1579</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28" t="s">
        <v>598</v>
      </c>
      <c r="D442" s="2029"/>
      <c r="E442" s="749" t="s">
        <v>1607</v>
      </c>
      <c r="F442" s="2025" t="s">
        <v>1608</v>
      </c>
      <c r="G442" s="2025"/>
      <c r="H442" s="2025"/>
      <c r="I442" s="2025"/>
      <c r="J442" s="2025"/>
      <c r="K442" s="2025"/>
      <c r="L442" s="2025"/>
      <c r="M442" s="2025"/>
      <c r="N442" s="2025"/>
      <c r="O442" s="2025"/>
      <c r="P442" s="2025"/>
      <c r="Q442" s="2025"/>
      <c r="R442" s="2025"/>
      <c r="S442" s="2025"/>
      <c r="T442" s="2025"/>
      <c r="U442" s="2025"/>
      <c r="V442" s="2025"/>
      <c r="W442" s="2025"/>
      <c r="X442" s="2025"/>
      <c r="Y442" s="2025"/>
      <c r="Z442" s="2025"/>
      <c r="AA442" s="2025"/>
      <c r="AB442" s="2025"/>
      <c r="AC442" s="2025"/>
      <c r="AD442" s="2025"/>
      <c r="AE442" s="2025"/>
      <c r="AF442" s="2046" t="s">
        <v>1572</v>
      </c>
      <c r="AG442" s="2046"/>
      <c r="AH442" s="2046"/>
      <c r="AI442" s="2046"/>
      <c r="AJ442" s="2046"/>
      <c r="AK442" s="2046"/>
      <c r="AL442" s="2047"/>
      <c r="AM442" s="604"/>
      <c r="AN442" s="787"/>
    </row>
    <row r="443" spans="1:40" s="584" customFormat="1" ht="12.75" customHeight="1">
      <c r="A443" s="570"/>
      <c r="B443" s="14"/>
      <c r="C443" s="785"/>
      <c r="D443" s="764"/>
      <c r="E443" s="753"/>
      <c r="F443" s="2026"/>
      <c r="G443" s="2026"/>
      <c r="H443" s="2026"/>
      <c r="I443" s="2026"/>
      <c r="J443" s="2026"/>
      <c r="K443" s="2026"/>
      <c r="L443" s="2026"/>
      <c r="M443" s="2026"/>
      <c r="N443" s="2026"/>
      <c r="O443" s="2026"/>
      <c r="P443" s="2026"/>
      <c r="Q443" s="2026"/>
      <c r="R443" s="2026"/>
      <c r="S443" s="2026"/>
      <c r="T443" s="2026"/>
      <c r="U443" s="2026"/>
      <c r="V443" s="2026"/>
      <c r="W443" s="2026"/>
      <c r="X443" s="2026"/>
      <c r="Y443" s="2026"/>
      <c r="Z443" s="2026"/>
      <c r="AA443" s="2026"/>
      <c r="AB443" s="2026"/>
      <c r="AC443" s="2026"/>
      <c r="AD443" s="2026"/>
      <c r="AE443" s="2026"/>
      <c r="AF443" s="625"/>
      <c r="AG443" s="625"/>
      <c r="AH443" s="625"/>
      <c r="AI443" s="625"/>
      <c r="AJ443" s="625"/>
      <c r="AK443" s="625"/>
      <c r="AL443" s="754"/>
      <c r="AM443" s="604"/>
      <c r="AN443" s="788"/>
    </row>
    <row r="444" spans="1:40" s="584" customFormat="1" ht="17.850000000000001" customHeight="1">
      <c r="A444" s="570"/>
      <c r="B444" s="14"/>
      <c r="C444" s="790"/>
      <c r="D444" s="757"/>
      <c r="E444" s="758"/>
      <c r="F444" s="2045"/>
      <c r="G444" s="2045"/>
      <c r="H444" s="2045"/>
      <c r="I444" s="2045"/>
      <c r="J444" s="2045"/>
      <c r="K444" s="2045"/>
      <c r="L444" s="2045"/>
      <c r="M444" s="2045"/>
      <c r="N444" s="2045"/>
      <c r="O444" s="2045"/>
      <c r="P444" s="2045"/>
      <c r="Q444" s="2045"/>
      <c r="R444" s="2045"/>
      <c r="S444" s="2045"/>
      <c r="T444" s="2045"/>
      <c r="U444" s="2045"/>
      <c r="V444" s="2045"/>
      <c r="W444" s="2045"/>
      <c r="X444" s="2045"/>
      <c r="Y444" s="2045"/>
      <c r="Z444" s="2045"/>
      <c r="AA444" s="2045"/>
      <c r="AB444" s="2045"/>
      <c r="AC444" s="2045"/>
      <c r="AD444" s="2045"/>
      <c r="AE444" s="2045"/>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2022" t="s">
        <v>598</v>
      </c>
      <c r="D446" s="1979"/>
      <c r="E446" s="749" t="s">
        <v>1613</v>
      </c>
      <c r="F446" s="2025" t="s">
        <v>1614</v>
      </c>
      <c r="G446" s="2025"/>
      <c r="H446" s="2025"/>
      <c r="I446" s="2025"/>
      <c r="J446" s="2025"/>
      <c r="K446" s="2025"/>
      <c r="L446" s="2025"/>
      <c r="M446" s="2025"/>
      <c r="N446" s="2025"/>
      <c r="O446" s="2025"/>
      <c r="P446" s="2025"/>
      <c r="Q446" s="2025"/>
      <c r="R446" s="2025"/>
      <c r="S446" s="2025"/>
      <c r="T446" s="2025"/>
      <c r="U446" s="2025"/>
      <c r="V446" s="2025"/>
      <c r="W446" s="2025"/>
      <c r="X446" s="2025"/>
      <c r="Y446" s="2025"/>
      <c r="Z446" s="2025"/>
      <c r="AA446" s="2025"/>
      <c r="AB446" s="2025"/>
      <c r="AC446" s="2025"/>
      <c r="AD446" s="2025"/>
      <c r="AE446" s="2025"/>
      <c r="AF446" s="2046" t="s">
        <v>1572</v>
      </c>
      <c r="AG446" s="2046"/>
      <c r="AH446" s="2046"/>
      <c r="AI446" s="2046"/>
      <c r="AJ446" s="2046"/>
      <c r="AK446" s="2046"/>
      <c r="AL446" s="2047"/>
      <c r="AM446" s="604"/>
      <c r="AN446" s="569"/>
    </row>
    <row r="447" spans="1:40" s="584" customFormat="1" ht="12.75" customHeight="1">
      <c r="A447" s="570"/>
      <c r="B447" s="14"/>
      <c r="C447" s="765"/>
      <c r="D447" s="14"/>
      <c r="E447" s="725"/>
      <c r="F447" s="2026"/>
      <c r="G447" s="2026"/>
      <c r="H447" s="2026"/>
      <c r="I447" s="2026"/>
      <c r="J447" s="2026"/>
      <c r="K447" s="2026"/>
      <c r="L447" s="2026"/>
      <c r="M447" s="2026"/>
      <c r="N447" s="2026"/>
      <c r="O447" s="2026"/>
      <c r="P447" s="2026"/>
      <c r="Q447" s="2026"/>
      <c r="R447" s="2026"/>
      <c r="S447" s="2026"/>
      <c r="T447" s="2026"/>
      <c r="U447" s="2026"/>
      <c r="V447" s="2026"/>
      <c r="W447" s="2026"/>
      <c r="X447" s="2026"/>
      <c r="Y447" s="2026"/>
      <c r="Z447" s="2026"/>
      <c r="AA447" s="2026"/>
      <c r="AB447" s="2026"/>
      <c r="AC447" s="2026"/>
      <c r="AD447" s="2026"/>
      <c r="AE447" s="2026"/>
      <c r="AF447" s="573"/>
      <c r="AG447" s="570"/>
      <c r="AL447" s="766"/>
      <c r="AM447" s="604"/>
      <c r="AN447" s="569"/>
    </row>
    <row r="448" spans="1:40" s="584" customFormat="1" ht="12.75" customHeight="1">
      <c r="A448" s="570"/>
      <c r="B448" s="14"/>
      <c r="C448" s="765"/>
      <c r="D448" s="14"/>
      <c r="E448" s="725"/>
      <c r="F448" s="2026"/>
      <c r="G448" s="2026"/>
      <c r="H448" s="2026"/>
      <c r="I448" s="2026"/>
      <c r="J448" s="2026"/>
      <c r="K448" s="2026"/>
      <c r="L448" s="2026"/>
      <c r="M448" s="2026"/>
      <c r="N448" s="2026"/>
      <c r="O448" s="2026"/>
      <c r="P448" s="2026"/>
      <c r="Q448" s="2026"/>
      <c r="R448" s="2026"/>
      <c r="S448" s="2026"/>
      <c r="T448" s="2026"/>
      <c r="U448" s="2026"/>
      <c r="V448" s="2026"/>
      <c r="W448" s="2026"/>
      <c r="X448" s="2026"/>
      <c r="Y448" s="2026"/>
      <c r="Z448" s="2026"/>
      <c r="AA448" s="2026"/>
      <c r="AB448" s="2026"/>
      <c r="AC448" s="2026"/>
      <c r="AD448" s="2026"/>
      <c r="AE448" s="2026"/>
      <c r="AF448" s="573"/>
      <c r="AG448" s="570"/>
      <c r="AL448" s="766"/>
      <c r="AM448" s="604"/>
      <c r="AN448" s="569"/>
    </row>
    <row r="449" spans="1:48" s="584" customFormat="1" ht="12.75" customHeight="1">
      <c r="A449" s="570"/>
      <c r="B449" s="14"/>
      <c r="C449" s="790"/>
      <c r="D449" s="757"/>
      <c r="E449" s="758"/>
      <c r="F449" s="2045"/>
      <c r="G449" s="2045"/>
      <c r="H449" s="2045"/>
      <c r="I449" s="2045"/>
      <c r="J449" s="2045"/>
      <c r="K449" s="2045"/>
      <c r="L449" s="2045"/>
      <c r="M449" s="2045"/>
      <c r="N449" s="2045"/>
      <c r="O449" s="2045"/>
      <c r="P449" s="2045"/>
      <c r="Q449" s="2045"/>
      <c r="R449" s="2045"/>
      <c r="S449" s="2045"/>
      <c r="T449" s="2045"/>
      <c r="U449" s="2045"/>
      <c r="V449" s="2045"/>
      <c r="W449" s="2045"/>
      <c r="X449" s="2045"/>
      <c r="Y449" s="2045"/>
      <c r="Z449" s="2045"/>
      <c r="AA449" s="2045"/>
      <c r="AB449" s="2045"/>
      <c r="AC449" s="2045"/>
      <c r="AD449" s="2045"/>
      <c r="AE449" s="2045"/>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1616</v>
      </c>
      <c r="F451" s="2025" t="s">
        <v>1617</v>
      </c>
      <c r="G451" s="2025"/>
      <c r="H451" s="2025"/>
      <c r="I451" s="2025"/>
      <c r="J451" s="2025"/>
      <c r="K451" s="2025"/>
      <c r="L451" s="2025"/>
      <c r="M451" s="2025"/>
      <c r="N451" s="2025"/>
      <c r="O451" s="2025"/>
      <c r="P451" s="2025"/>
      <c r="Q451" s="2025"/>
      <c r="R451" s="2025"/>
      <c r="S451" s="2025"/>
      <c r="T451" s="2025"/>
      <c r="U451" s="2025"/>
      <c r="V451" s="2025"/>
      <c r="W451" s="2025"/>
      <c r="X451" s="2025"/>
      <c r="Y451" s="2025"/>
      <c r="Z451" s="2025"/>
      <c r="AA451" s="2025"/>
      <c r="AB451" s="2025"/>
      <c r="AC451" s="2025"/>
      <c r="AD451" s="2025"/>
      <c r="AE451" s="2025"/>
      <c r="AF451" s="2025"/>
      <c r="AG451" s="778"/>
      <c r="AH451" s="748"/>
      <c r="AI451" s="748"/>
      <c r="AJ451" s="748"/>
      <c r="AK451" s="748"/>
      <c r="AL451" s="779"/>
      <c r="AM451" s="604"/>
      <c r="AN451" s="631"/>
    </row>
    <row r="452" spans="1:48" s="584" customFormat="1" ht="12.75" customHeight="1">
      <c r="A452" s="570"/>
      <c r="B452" s="14"/>
      <c r="C452" s="765"/>
      <c r="D452" s="14"/>
      <c r="E452" s="725"/>
      <c r="F452" s="2026"/>
      <c r="G452" s="2026"/>
      <c r="H452" s="2026"/>
      <c r="I452" s="2026"/>
      <c r="J452" s="2026"/>
      <c r="K452" s="2026"/>
      <c r="L452" s="2026"/>
      <c r="M452" s="2026"/>
      <c r="N452" s="2026"/>
      <c r="O452" s="2026"/>
      <c r="P452" s="2026"/>
      <c r="Q452" s="2026"/>
      <c r="R452" s="2026"/>
      <c r="S452" s="2026"/>
      <c r="T452" s="2026"/>
      <c r="U452" s="2026"/>
      <c r="V452" s="2026"/>
      <c r="W452" s="2026"/>
      <c r="X452" s="2026"/>
      <c r="Y452" s="2026"/>
      <c r="Z452" s="2026"/>
      <c r="AA452" s="2026"/>
      <c r="AB452" s="2026"/>
      <c r="AC452" s="2026"/>
      <c r="AD452" s="2026"/>
      <c r="AE452" s="2026"/>
      <c r="AF452" s="2026"/>
      <c r="AL452" s="766"/>
      <c r="AM452" s="604"/>
      <c r="AN452" s="631"/>
    </row>
    <row r="453" spans="1:48" s="584" customFormat="1" ht="12.75" customHeight="1">
      <c r="A453" s="570"/>
      <c r="B453" s="14"/>
      <c r="C453" s="773"/>
      <c r="F453" s="2026"/>
      <c r="G453" s="2026"/>
      <c r="H453" s="2026"/>
      <c r="I453" s="2026"/>
      <c r="J453" s="2026"/>
      <c r="K453" s="2026"/>
      <c r="L453" s="2026"/>
      <c r="M453" s="2026"/>
      <c r="N453" s="2026"/>
      <c r="O453" s="2026"/>
      <c r="P453" s="2026"/>
      <c r="Q453" s="2026"/>
      <c r="R453" s="2026"/>
      <c r="S453" s="2026"/>
      <c r="T453" s="2026"/>
      <c r="U453" s="2026"/>
      <c r="V453" s="2026"/>
      <c r="W453" s="2026"/>
      <c r="X453" s="2026"/>
      <c r="Y453" s="2026"/>
      <c r="Z453" s="2026"/>
      <c r="AA453" s="2026"/>
      <c r="AB453" s="2026"/>
      <c r="AC453" s="2026"/>
      <c r="AD453" s="2026"/>
      <c r="AE453" s="2026"/>
      <c r="AF453" s="2026"/>
      <c r="AL453" s="766"/>
      <c r="AM453" s="604"/>
      <c r="AN453" s="631"/>
    </row>
    <row r="454" spans="1:48" s="584" customFormat="1" ht="12.75" customHeight="1">
      <c r="A454" s="570"/>
      <c r="B454" s="14"/>
      <c r="C454" s="773"/>
      <c r="F454" s="2026"/>
      <c r="G454" s="2026"/>
      <c r="H454" s="2026"/>
      <c r="I454" s="2026"/>
      <c r="J454" s="2026"/>
      <c r="K454" s="2026"/>
      <c r="L454" s="2026"/>
      <c r="M454" s="2026"/>
      <c r="N454" s="2026"/>
      <c r="O454" s="2026"/>
      <c r="P454" s="2026"/>
      <c r="Q454" s="2026"/>
      <c r="R454" s="2026"/>
      <c r="S454" s="2026"/>
      <c r="T454" s="2026"/>
      <c r="U454" s="2026"/>
      <c r="V454" s="2026"/>
      <c r="W454" s="2026"/>
      <c r="X454" s="2026"/>
      <c r="Y454" s="2026"/>
      <c r="Z454" s="2026"/>
      <c r="AA454" s="2026"/>
      <c r="AB454" s="2026"/>
      <c r="AC454" s="2026"/>
      <c r="AD454" s="2026"/>
      <c r="AE454" s="2026"/>
      <c r="AF454" s="2026"/>
      <c r="AL454" s="766"/>
      <c r="AM454" s="604"/>
      <c r="AN454" s="631"/>
    </row>
    <row r="455" spans="1:48" s="584" customFormat="1" ht="12.75" customHeight="1">
      <c r="A455" s="570"/>
      <c r="B455" s="14"/>
      <c r="C455" s="2022" t="s">
        <v>598</v>
      </c>
      <c r="D455" s="1979"/>
      <c r="E455" s="753"/>
      <c r="F455" s="755" t="s">
        <v>1589</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2023" t="s">
        <v>1572</v>
      </c>
      <c r="AG455" s="2023"/>
      <c r="AH455" s="2023"/>
      <c r="AI455" s="2023"/>
      <c r="AJ455" s="2023"/>
      <c r="AK455" s="2023"/>
      <c r="AL455" s="2024"/>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1618</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1619</v>
      </c>
      <c r="AK458" s="1982">
        <f>IF(Application!D214="N/A",AS347,AS349)</f>
        <v>10</v>
      </c>
      <c r="AL458" s="1983"/>
      <c r="AM458" s="1984"/>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598</v>
      </c>
      <c r="AP460" s="584">
        <v>0</v>
      </c>
      <c r="AT460" s="584" t="s">
        <v>598</v>
      </c>
      <c r="AU460" s="584">
        <v>0</v>
      </c>
      <c r="AV460" s="786"/>
    </row>
    <row r="461" spans="1:48" s="584" customFormat="1" ht="12.75" hidden="1" customHeight="1">
      <c r="A461" s="573" t="s">
        <v>1620</v>
      </c>
      <c r="C461" s="573"/>
      <c r="E461" s="630"/>
      <c r="AE461" s="2023" t="s">
        <v>1621</v>
      </c>
      <c r="AF461" s="2023"/>
      <c r="AG461" s="2023"/>
      <c r="AH461" s="2023"/>
      <c r="AI461" s="2023"/>
      <c r="AJ461" s="2023"/>
      <c r="AK461" s="2023"/>
      <c r="AL461" s="625"/>
      <c r="AN461" s="631"/>
      <c r="AO461" s="584" t="s">
        <v>1599</v>
      </c>
      <c r="AP461" s="584">
        <v>5</v>
      </c>
      <c r="AT461" s="584" t="s">
        <v>1599</v>
      </c>
      <c r="AU461" s="584">
        <v>5</v>
      </c>
      <c r="AV461" s="786"/>
    </row>
    <row r="462" spans="1:48" s="584" customFormat="1" ht="12.75" hidden="1" customHeight="1">
      <c r="A462" s="573"/>
      <c r="B462" s="570" t="s">
        <v>1622</v>
      </c>
      <c r="C462" s="573"/>
      <c r="E462" s="630"/>
      <c r="AE462" s="625"/>
      <c r="AF462" s="625"/>
      <c r="AG462" s="625"/>
      <c r="AH462" s="625"/>
      <c r="AI462" s="625"/>
      <c r="AJ462" s="625"/>
      <c r="AK462" s="625"/>
      <c r="AL462" s="625"/>
      <c r="AN462" s="631"/>
      <c r="AO462" s="584" t="s">
        <v>1623</v>
      </c>
      <c r="AP462" s="584">
        <v>5</v>
      </c>
      <c r="AT462" s="584" t="s">
        <v>1600</v>
      </c>
      <c r="AU462" s="584">
        <v>5</v>
      </c>
      <c r="AV462" s="786"/>
    </row>
    <row r="463" spans="1:48" s="584" customFormat="1" ht="12.75" hidden="1" customHeight="1">
      <c r="A463" s="573"/>
      <c r="B463" s="573" t="s">
        <v>1624</v>
      </c>
      <c r="C463" s="573"/>
      <c r="E463" s="630"/>
      <c r="AE463" s="625"/>
      <c r="AF463" s="625"/>
      <c r="AG463" s="625"/>
      <c r="AH463" s="625"/>
      <c r="AI463" s="625"/>
      <c r="AJ463" s="625"/>
      <c r="AK463" s="625"/>
      <c r="AL463" s="625"/>
      <c r="AN463" s="631"/>
      <c r="AO463" s="584" t="s">
        <v>1601</v>
      </c>
      <c r="AP463" s="584">
        <v>5</v>
      </c>
      <c r="AQ463" s="573"/>
      <c r="AR463" s="573"/>
      <c r="AS463" s="789"/>
      <c r="AT463" s="584" t="s">
        <v>1601</v>
      </c>
      <c r="AU463" s="584">
        <v>5</v>
      </c>
      <c r="AV463" s="570"/>
    </row>
    <row r="464" spans="1:48" s="584" customFormat="1" ht="12.75" hidden="1" customHeight="1">
      <c r="A464" s="573"/>
      <c r="B464" s="573" t="s">
        <v>1625</v>
      </c>
      <c r="C464" s="573"/>
      <c r="E464" s="630"/>
      <c r="AE464" s="625"/>
      <c r="AF464" s="625"/>
      <c r="AG464" s="625"/>
      <c r="AH464" s="625"/>
      <c r="AI464" s="625"/>
      <c r="AJ464" s="625"/>
      <c r="AK464" s="625"/>
      <c r="AL464" s="625"/>
      <c r="AN464" s="631"/>
      <c r="AO464" s="584" t="s">
        <v>1603</v>
      </c>
      <c r="AP464" s="584">
        <v>5</v>
      </c>
      <c r="AQ464" s="573"/>
      <c r="AR464" s="573"/>
      <c r="AT464" s="584" t="s">
        <v>1603</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1604</v>
      </c>
      <c r="AP465" s="584">
        <v>5</v>
      </c>
      <c r="AQ465" s="573"/>
      <c r="AR465" s="573"/>
      <c r="AT465" s="584" t="s">
        <v>1604</v>
      </c>
      <c r="AU465" s="584">
        <v>5</v>
      </c>
    </row>
    <row r="466" spans="1:59" s="584" customFormat="1" ht="12.75" hidden="1" customHeight="1">
      <c r="A466" s="573"/>
      <c r="C466" s="746" t="s">
        <v>1626</v>
      </c>
      <c r="D466" s="604"/>
      <c r="AE466" s="625"/>
      <c r="AF466" s="625"/>
      <c r="AG466" s="630"/>
      <c r="AH466" s="630"/>
      <c r="AI466" s="630"/>
      <c r="AJ466" s="630"/>
      <c r="AK466" s="630"/>
      <c r="AL466" s="630"/>
      <c r="AN466" s="631"/>
      <c r="AO466" s="584" t="s">
        <v>1605</v>
      </c>
      <c r="AP466" s="584">
        <v>5</v>
      </c>
      <c r="AT466" s="584" t="s">
        <v>1605</v>
      </c>
      <c r="AU466" s="584">
        <v>5</v>
      </c>
    </row>
    <row r="467" spans="1:59" s="584" customFormat="1" ht="12.75" hidden="1" customHeight="1">
      <c r="A467" s="573"/>
      <c r="C467" s="2048" t="s">
        <v>598</v>
      </c>
      <c r="D467" s="2049"/>
      <c r="E467" s="795" t="s">
        <v>514</v>
      </c>
      <c r="F467" s="2050" t="s">
        <v>1627</v>
      </c>
      <c r="G467" s="2050"/>
      <c r="H467" s="2050"/>
      <c r="I467" s="2050"/>
      <c r="J467" s="2050"/>
      <c r="K467" s="2050"/>
      <c r="L467" s="2050"/>
      <c r="M467" s="2050"/>
      <c r="N467" s="2050"/>
      <c r="O467" s="2050"/>
      <c r="P467" s="2050"/>
      <c r="Q467" s="2050"/>
      <c r="R467" s="2050"/>
      <c r="S467" s="2050"/>
      <c r="T467" s="2050"/>
      <c r="U467" s="2050"/>
      <c r="V467" s="2050"/>
      <c r="W467" s="2050"/>
      <c r="X467" s="2050"/>
      <c r="Y467" s="2050"/>
      <c r="Z467" s="2050"/>
      <c r="AA467" s="2050"/>
      <c r="AB467" s="2050"/>
      <c r="AC467" s="2050"/>
      <c r="AD467" s="2050"/>
      <c r="AE467" s="2050"/>
      <c r="AF467" s="748"/>
      <c r="AG467" s="748"/>
      <c r="AH467" s="748"/>
      <c r="AI467" s="748"/>
      <c r="AJ467" s="748"/>
      <c r="AK467" s="779"/>
      <c r="AN467" s="631"/>
      <c r="AO467" s="584" t="s">
        <v>1628</v>
      </c>
      <c r="AP467" s="584">
        <v>5</v>
      </c>
      <c r="AS467" s="792"/>
      <c r="AT467" s="584" t="s">
        <v>1606</v>
      </c>
      <c r="AU467" s="584">
        <v>5</v>
      </c>
    </row>
    <row r="468" spans="1:59" s="584" customFormat="1" ht="12.75" hidden="1" customHeight="1">
      <c r="C468" s="796"/>
      <c r="E468" s="797"/>
      <c r="F468" s="2051"/>
      <c r="G468" s="2051"/>
      <c r="H468" s="2051"/>
      <c r="I468" s="2051"/>
      <c r="J468" s="2051"/>
      <c r="K468" s="2051"/>
      <c r="L468" s="2051"/>
      <c r="M468" s="2051"/>
      <c r="N468" s="2051"/>
      <c r="O468" s="2051"/>
      <c r="P468" s="2051"/>
      <c r="Q468" s="2051"/>
      <c r="R468" s="2051"/>
      <c r="S468" s="2051"/>
      <c r="T468" s="2051"/>
      <c r="U468" s="2051"/>
      <c r="V468" s="2051"/>
      <c r="W468" s="2051"/>
      <c r="X468" s="2051"/>
      <c r="Y468" s="2051"/>
      <c r="Z468" s="2051"/>
      <c r="AA468" s="2051"/>
      <c r="AB468" s="2051"/>
      <c r="AC468" s="2051"/>
      <c r="AD468" s="2051"/>
      <c r="AE468" s="2051"/>
      <c r="AG468" s="585"/>
      <c r="AH468" s="585"/>
      <c r="AI468" s="585"/>
      <c r="AJ468" s="585"/>
      <c r="AK468" s="766"/>
      <c r="AN468" s="631"/>
      <c r="AO468" s="584" t="s">
        <v>1609</v>
      </c>
      <c r="AP468" s="584">
        <v>1</v>
      </c>
      <c r="AT468" s="584" t="s">
        <v>1609</v>
      </c>
      <c r="AU468" s="584">
        <v>1</v>
      </c>
    </row>
    <row r="469" spans="1:59" s="584" customFormat="1" ht="12.75" hidden="1" customHeight="1">
      <c r="C469" s="798"/>
      <c r="D469" s="761"/>
      <c r="E469" s="799"/>
      <c r="F469" s="2052" t="s">
        <v>598</v>
      </c>
      <c r="G469" s="2052"/>
      <c r="H469" s="2052"/>
      <c r="I469" s="2052"/>
      <c r="J469" s="2052"/>
      <c r="K469" s="2052"/>
      <c r="L469" s="2052"/>
      <c r="M469" s="2052"/>
      <c r="N469" s="2052"/>
      <c r="O469" s="2052"/>
      <c r="P469" s="2052"/>
      <c r="Q469" s="2052"/>
      <c r="R469" s="2052"/>
      <c r="S469" s="2052"/>
      <c r="T469" s="2052"/>
      <c r="U469" s="2052"/>
      <c r="V469" s="2052"/>
      <c r="W469" s="2052"/>
      <c r="X469" s="2052"/>
      <c r="Y469" s="2052"/>
      <c r="Z469" s="2052"/>
      <c r="AA469" s="800"/>
      <c r="AB469" s="692"/>
      <c r="AC469" s="692"/>
      <c r="AD469" s="761"/>
      <c r="AE469" s="761"/>
      <c r="AF469" s="761"/>
      <c r="AG469" s="801">
        <f>IF($C$467="Yes",(VLOOKUP($F$469,$AT$460:$AU$468,2,FALSE)),0)</f>
        <v>0</v>
      </c>
      <c r="AH469" s="802" t="s">
        <v>1437</v>
      </c>
      <c r="AI469" s="801"/>
      <c r="AJ469" s="801"/>
      <c r="AK469" s="776"/>
      <c r="AN469" s="631"/>
      <c r="AS469" s="789"/>
      <c r="AX469" s="789"/>
      <c r="BB469" s="789" t="s">
        <v>1610</v>
      </c>
      <c r="BF469" s="789" t="s">
        <v>1611</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598</v>
      </c>
      <c r="AP470" s="671">
        <v>0</v>
      </c>
      <c r="AT470" s="584" t="s">
        <v>598</v>
      </c>
      <c r="AU470" s="671">
        <v>0</v>
      </c>
      <c r="AW470" s="584" t="s">
        <v>598</v>
      </c>
      <c r="AX470" s="671">
        <v>0</v>
      </c>
      <c r="AY470" s="627"/>
      <c r="BB470" s="584" t="s">
        <v>598</v>
      </c>
      <c r="BC470" s="627">
        <v>0</v>
      </c>
      <c r="BF470" s="584" t="s">
        <v>598</v>
      </c>
      <c r="BG470" s="627">
        <v>0</v>
      </c>
    </row>
    <row r="471" spans="1:59" s="584" customFormat="1" ht="12.75" hidden="1" customHeight="1">
      <c r="C471" s="2053" t="s">
        <v>552</v>
      </c>
      <c r="D471" s="2054"/>
      <c r="E471" s="795" t="s">
        <v>765</v>
      </c>
      <c r="F471" s="803" t="s">
        <v>1629</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1612</v>
      </c>
      <c r="AX471" s="671">
        <v>3</v>
      </c>
      <c r="AY471" s="627"/>
      <c r="BB471" s="792">
        <v>0.4</v>
      </c>
      <c r="BC471" s="627">
        <v>3</v>
      </c>
      <c r="BF471" s="792">
        <v>0.4</v>
      </c>
      <c r="BG471" s="627">
        <v>4</v>
      </c>
    </row>
    <row r="472" spans="1:59" s="584" customFormat="1" ht="12.75" hidden="1" customHeight="1">
      <c r="C472" s="804" t="s">
        <v>1630</v>
      </c>
      <c r="F472" s="805" t="s">
        <v>1631</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1615</v>
      </c>
      <c r="AX472" s="671">
        <v>5</v>
      </c>
      <c r="AY472" s="627"/>
      <c r="BB472" s="792">
        <v>0.6</v>
      </c>
      <c r="BC472" s="627">
        <v>4</v>
      </c>
      <c r="BF472" s="792">
        <v>0.6</v>
      </c>
      <c r="BG472" s="627">
        <v>5</v>
      </c>
    </row>
    <row r="473" spans="1:59" s="584" customFormat="1" ht="12.75" hidden="1" customHeight="1">
      <c r="C473" s="785"/>
      <c r="D473" s="764"/>
      <c r="E473" s="806"/>
      <c r="F473" s="805" t="s">
        <v>1632</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1633</v>
      </c>
      <c r="G474" s="584"/>
      <c r="H474" s="584"/>
      <c r="I474" s="805"/>
      <c r="J474" s="805"/>
      <c r="K474" s="805"/>
      <c r="L474" s="805"/>
      <c r="M474" s="805"/>
      <c r="N474" s="805"/>
      <c r="O474" s="805"/>
      <c r="P474" s="805"/>
      <c r="Q474" s="805"/>
      <c r="R474" s="805"/>
      <c r="S474" s="805"/>
      <c r="T474" s="805"/>
      <c r="U474" s="805"/>
      <c r="V474" s="2060" t="s">
        <v>598</v>
      </c>
      <c r="W474" s="2060"/>
      <c r="X474" s="2060"/>
      <c r="Y474" s="805"/>
      <c r="Z474" s="805"/>
      <c r="AA474" s="805"/>
      <c r="AB474" s="805"/>
      <c r="AC474" s="805"/>
      <c r="AD474" s="643"/>
      <c r="AE474" s="643"/>
      <c r="AF474" s="643"/>
      <c r="AG474" s="647">
        <f>IF(AND($C$471="Yes",$V$476="N/A",$V$481="N/A",$V$485="N/A",$V$487="N/A"),(VLOOKUP(V474,$AW$470:$AX$472,2,FALSE)),0)</f>
        <v>0</v>
      </c>
      <c r="AH474" s="674" t="s">
        <v>1437</v>
      </c>
      <c r="AI474" s="585"/>
      <c r="AJ474" s="585"/>
      <c r="AK474" s="766"/>
      <c r="AL474" s="584"/>
      <c r="AM474" s="584"/>
      <c r="AN474" s="631"/>
      <c r="AT474" s="584" t="s">
        <v>598</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1634</v>
      </c>
      <c r="G476" s="584"/>
      <c r="H476" s="584"/>
      <c r="I476" s="805"/>
      <c r="J476" s="805"/>
      <c r="K476" s="805"/>
      <c r="L476" s="805"/>
      <c r="M476" s="805"/>
      <c r="N476" s="805"/>
      <c r="O476" s="805"/>
      <c r="P476" s="805"/>
      <c r="Q476" s="805"/>
      <c r="R476" s="805"/>
      <c r="S476" s="805"/>
      <c r="T476" s="805"/>
      <c r="U476" s="805"/>
      <c r="V476" s="2060" t="s">
        <v>598</v>
      </c>
      <c r="W476" s="2060"/>
      <c r="X476" s="2060"/>
      <c r="Y476" s="805"/>
      <c r="Z476" s="805"/>
      <c r="AA476" s="805"/>
      <c r="AB476" s="805"/>
      <c r="AC476" s="805"/>
      <c r="AD476" s="643"/>
      <c r="AE476" s="643"/>
      <c r="AF476" s="643"/>
      <c r="AG476" s="647">
        <f>IF(AND($C$471="Yes",$V$474="N/A", $V$481="N/A",$V$485="N/A",$V$487="N/A"),(VLOOKUP(V476,$AT$470:$AU$472,2,FALSE)),0)</f>
        <v>0</v>
      </c>
      <c r="AH476" s="674" t="s">
        <v>1437</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598</v>
      </c>
      <c r="AP477" s="584">
        <v>0</v>
      </c>
    </row>
    <row r="478" spans="1:59" s="584" customFormat="1" ht="12.75" hidden="1" customHeight="1">
      <c r="C478" s="796"/>
      <c r="E478" s="797"/>
      <c r="F478" s="810" t="s">
        <v>1635</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1636</v>
      </c>
      <c r="AP478" s="671">
        <v>2</v>
      </c>
    </row>
    <row r="479" spans="1:59" s="584" customFormat="1" ht="12.75" hidden="1" customHeight="1">
      <c r="C479" s="796"/>
      <c r="F479" s="643" t="s">
        <v>1637</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1638</v>
      </c>
      <c r="AP479" s="584">
        <v>2</v>
      </c>
    </row>
    <row r="480" spans="1:59" s="630" customFormat="1" ht="12.75" hidden="1" customHeight="1">
      <c r="A480" s="584"/>
      <c r="B480" s="584"/>
      <c r="C480" s="773"/>
      <c r="D480" s="604"/>
      <c r="E480" s="604"/>
      <c r="F480" s="643" t="s">
        <v>1639</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1640</v>
      </c>
      <c r="AP480" s="584">
        <v>2</v>
      </c>
    </row>
    <row r="481" spans="1:81" s="584" customFormat="1" ht="12.75" hidden="1" customHeight="1">
      <c r="C481" s="811"/>
      <c r="F481" s="809" t="s">
        <v>1641</v>
      </c>
      <c r="M481" s="797"/>
      <c r="N481" s="797"/>
      <c r="O481" s="797"/>
      <c r="P481" s="797"/>
      <c r="Q481" s="585"/>
      <c r="R481" s="585"/>
      <c r="S481" s="585"/>
      <c r="T481" s="585"/>
      <c r="U481" s="585"/>
      <c r="V481" s="2060" t="s">
        <v>598</v>
      </c>
      <c r="W481" s="2060"/>
      <c r="X481" s="2060"/>
      <c r="Y481" s="585"/>
      <c r="Z481" s="585"/>
      <c r="AA481" s="585"/>
      <c r="AB481" s="585"/>
      <c r="AC481" s="585"/>
      <c r="AG481" s="647">
        <f>IF(AND($C$471="Yes",$V$474="N/A",$V$476="N/A", $V$485="N/A",$V$487="N/A"),(VLOOKUP($V$481,$AT$474:$AU$476,2,FALSE)),0)</f>
        <v>0</v>
      </c>
      <c r="AH481" s="674" t="s">
        <v>1437</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1642</v>
      </c>
      <c r="D483" s="748"/>
      <c r="E483" s="748"/>
      <c r="F483" s="814" t="s">
        <v>1643</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598</v>
      </c>
      <c r="AP483" s="584">
        <v>0</v>
      </c>
      <c r="AQ483" s="573"/>
    </row>
    <row r="484" spans="1:81" s="630" customFormat="1" ht="12.75" hidden="1" customHeight="1">
      <c r="A484" s="584"/>
      <c r="B484" s="584"/>
      <c r="C484" s="815"/>
      <c r="D484" s="2059"/>
      <c r="E484" s="2059"/>
      <c r="F484" s="805" t="s">
        <v>1644</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1645</v>
      </c>
      <c r="AP484" s="671">
        <v>5</v>
      </c>
      <c r="AQ484" s="573"/>
    </row>
    <row r="485" spans="1:81" s="604" customFormat="1" ht="12.75" hidden="1" customHeight="1">
      <c r="A485" s="713"/>
      <c r="B485" s="584"/>
      <c r="C485" s="796"/>
      <c r="D485" s="584"/>
      <c r="E485" s="584"/>
      <c r="F485" s="816" t="s">
        <v>1633</v>
      </c>
      <c r="G485" s="584"/>
      <c r="H485" s="584"/>
      <c r="I485" s="584"/>
      <c r="J485" s="584"/>
      <c r="K485" s="584"/>
      <c r="L485" s="584"/>
      <c r="M485" s="584"/>
      <c r="N485" s="584"/>
      <c r="O485" s="584"/>
      <c r="P485" s="584"/>
      <c r="Q485" s="584"/>
      <c r="R485" s="584"/>
      <c r="S485" s="584"/>
      <c r="T485" s="584"/>
      <c r="U485" s="584"/>
      <c r="V485" s="2060" t="s">
        <v>598</v>
      </c>
      <c r="W485" s="2060"/>
      <c r="X485" s="2060"/>
      <c r="Y485" s="584"/>
      <c r="Z485" s="584"/>
      <c r="AA485" s="584"/>
      <c r="AB485" s="584"/>
      <c r="AC485" s="584"/>
      <c r="AD485" s="584"/>
      <c r="AE485" s="584"/>
      <c r="AF485" s="584"/>
      <c r="AG485" s="647">
        <f>IF(AND($C$471="Yes",$V$474="N/A",V476="N/A",$V$481="N/A",$V$487="N/A"),(VLOOKUP($V$485,$BB$470:$BC$473,2,FALSE)),0)</f>
        <v>0</v>
      </c>
      <c r="AH485" s="674" t="s">
        <v>1437</v>
      </c>
      <c r="AI485" s="585"/>
      <c r="AJ485" s="584"/>
      <c r="AK485" s="766"/>
      <c r="AL485" s="584"/>
      <c r="AM485" s="584"/>
      <c r="AN485" s="718"/>
      <c r="AO485" s="584" t="s">
        <v>1646</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1647</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1634</v>
      </c>
      <c r="G487" s="800"/>
      <c r="H487" s="800"/>
      <c r="I487" s="761"/>
      <c r="J487" s="761"/>
      <c r="K487" s="761"/>
      <c r="L487" s="761"/>
      <c r="M487" s="761"/>
      <c r="N487" s="761"/>
      <c r="O487" s="761"/>
      <c r="P487" s="761"/>
      <c r="Q487" s="761"/>
      <c r="R487" s="761"/>
      <c r="S487" s="761"/>
      <c r="T487" s="761"/>
      <c r="U487" s="761"/>
      <c r="V487" s="2060" t="s">
        <v>598</v>
      </c>
      <c r="W487" s="2060"/>
      <c r="X487" s="2060"/>
      <c r="Y487" s="761"/>
      <c r="Z487" s="761"/>
      <c r="AA487" s="761"/>
      <c r="AB487" s="761"/>
      <c r="AC487" s="761"/>
      <c r="AD487" s="761"/>
      <c r="AE487" s="761"/>
      <c r="AF487" s="761"/>
      <c r="AG487" s="817">
        <f>IF(AND($C$471="Yes",$V$474="N/A",$V$476="N/A",$V$481="N/A",$V$485="N/A"),(VLOOKUP($V$487,$BF$470:$BG$472,2,FALSE)),0)</f>
        <v>0</v>
      </c>
      <c r="AH487" s="802" t="s">
        <v>1437</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1648</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48" t="s">
        <v>598</v>
      </c>
      <c r="D490" s="2049"/>
      <c r="E490" s="795" t="s">
        <v>514</v>
      </c>
      <c r="F490" s="2050" t="s">
        <v>1627</v>
      </c>
      <c r="G490" s="2050"/>
      <c r="H490" s="2050"/>
      <c r="I490" s="2050"/>
      <c r="J490" s="2050"/>
      <c r="K490" s="2050"/>
      <c r="L490" s="2050"/>
      <c r="M490" s="2050"/>
      <c r="N490" s="2050"/>
      <c r="O490" s="2050"/>
      <c r="P490" s="2050"/>
      <c r="Q490" s="2050"/>
      <c r="R490" s="2050"/>
      <c r="S490" s="2050"/>
      <c r="T490" s="2050"/>
      <c r="U490" s="2050"/>
      <c r="V490" s="2050"/>
      <c r="W490" s="2050"/>
      <c r="X490" s="2050"/>
      <c r="Y490" s="2050"/>
      <c r="Z490" s="2050"/>
      <c r="AA490" s="2050"/>
      <c r="AB490" s="2050"/>
      <c r="AC490" s="2050"/>
      <c r="AD490" s="2050"/>
      <c r="AE490" s="2050"/>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51"/>
      <c r="G491" s="2051"/>
      <c r="H491" s="2051"/>
      <c r="I491" s="2051"/>
      <c r="J491" s="2051"/>
      <c r="K491" s="2051"/>
      <c r="L491" s="2051"/>
      <c r="M491" s="2051"/>
      <c r="N491" s="2051"/>
      <c r="O491" s="2051"/>
      <c r="P491" s="2051"/>
      <c r="Q491" s="2051"/>
      <c r="R491" s="2051"/>
      <c r="S491" s="2051"/>
      <c r="T491" s="2051"/>
      <c r="U491" s="2051"/>
      <c r="V491" s="2051"/>
      <c r="W491" s="2051"/>
      <c r="X491" s="2051"/>
      <c r="Y491" s="2051"/>
      <c r="Z491" s="2051"/>
      <c r="AA491" s="2051"/>
      <c r="AB491" s="2051"/>
      <c r="AC491" s="2051"/>
      <c r="AD491" s="2051"/>
      <c r="AE491" s="2051"/>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55" t="s">
        <v>598</v>
      </c>
      <c r="G492" s="2055"/>
      <c r="H492" s="2055"/>
      <c r="I492" s="2055"/>
      <c r="J492" s="2055"/>
      <c r="K492" s="2055"/>
      <c r="L492" s="2055"/>
      <c r="M492" s="2055"/>
      <c r="N492" s="2055"/>
      <c r="O492" s="2055"/>
      <c r="P492" s="2055"/>
      <c r="Q492" s="2055"/>
      <c r="R492" s="2055"/>
      <c r="S492" s="2055"/>
      <c r="T492" s="2055"/>
      <c r="U492" s="2055"/>
      <c r="V492" s="2055"/>
      <c r="W492" s="2055"/>
      <c r="X492" s="2055"/>
      <c r="Y492" s="2055"/>
      <c r="Z492" s="2055"/>
      <c r="AA492" s="800"/>
      <c r="AB492" s="692"/>
      <c r="AC492" s="692"/>
      <c r="AD492" s="761"/>
      <c r="AE492" s="761"/>
      <c r="AF492" s="761"/>
      <c r="AG492" s="801">
        <f>IF($C$490="Yes",(VLOOKUP($F$492,$AO$460:$AP$468,2,FALSE)),0)</f>
        <v>0</v>
      </c>
      <c r="AH492" s="802" t="s">
        <v>1437</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48" t="s">
        <v>598</v>
      </c>
      <c r="D494" s="2049"/>
      <c r="E494" s="795" t="s">
        <v>765</v>
      </c>
      <c r="F494" s="2056" t="s">
        <v>1649</v>
      </c>
      <c r="G494" s="2056"/>
      <c r="H494" s="2056"/>
      <c r="I494" s="2056"/>
      <c r="J494" s="2056"/>
      <c r="K494" s="2056"/>
      <c r="L494" s="2056"/>
      <c r="M494" s="2056"/>
      <c r="N494" s="2056"/>
      <c r="O494" s="2056"/>
      <c r="P494" s="2056"/>
      <c r="Q494" s="2056"/>
      <c r="R494" s="2056"/>
      <c r="S494" s="2056"/>
      <c r="T494" s="2056"/>
      <c r="U494" s="2056"/>
      <c r="V494" s="2056"/>
      <c r="W494" s="2056"/>
      <c r="X494" s="2056"/>
      <c r="Y494" s="2056"/>
      <c r="Z494" s="2056"/>
      <c r="AA494" s="2056"/>
      <c r="AB494" s="2056"/>
      <c r="AC494" s="2056"/>
      <c r="AD494" s="2056"/>
      <c r="AE494" s="2056"/>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57"/>
      <c r="G495" s="2057"/>
      <c r="H495" s="2057"/>
      <c r="I495" s="2057"/>
      <c r="J495" s="2057"/>
      <c r="K495" s="2057"/>
      <c r="L495" s="2057"/>
      <c r="M495" s="2057"/>
      <c r="N495" s="2057"/>
      <c r="O495" s="2057"/>
      <c r="P495" s="2057"/>
      <c r="Q495" s="2057"/>
      <c r="R495" s="2057"/>
      <c r="S495" s="2057"/>
      <c r="T495" s="2057"/>
      <c r="U495" s="2057"/>
      <c r="V495" s="2057"/>
      <c r="W495" s="2057"/>
      <c r="X495" s="2057"/>
      <c r="Y495" s="2057"/>
      <c r="Z495" s="2057"/>
      <c r="AA495" s="2057"/>
      <c r="AB495" s="2057"/>
      <c r="AC495" s="2057"/>
      <c r="AD495" s="2057"/>
      <c r="AE495" s="2057"/>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1650</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58" t="s">
        <v>598</v>
      </c>
      <c r="G497" s="2058"/>
      <c r="H497" s="2058"/>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1437</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48" t="s">
        <v>598</v>
      </c>
      <c r="D499" s="2049"/>
      <c r="E499" s="795" t="s">
        <v>1651</v>
      </c>
      <c r="F499" s="814" t="s">
        <v>1652</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71"/>
      <c r="D501" s="2059"/>
      <c r="E501" s="806"/>
      <c r="F501" s="585" t="s">
        <v>1653</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1437</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72" t="s">
        <v>598</v>
      </c>
      <c r="H502" s="2072"/>
      <c r="I502" s="2072"/>
      <c r="J502" s="2072"/>
      <c r="K502" s="2072"/>
      <c r="L502" s="2072"/>
      <c r="M502" s="2072"/>
      <c r="N502" s="2072"/>
      <c r="O502" s="2072"/>
      <c r="P502" s="2072"/>
      <c r="Q502" s="2072"/>
      <c r="R502" s="2072"/>
      <c r="S502" s="2072"/>
      <c r="T502" s="2072"/>
      <c r="U502" s="2072"/>
      <c r="V502" s="2072"/>
      <c r="W502" s="2072"/>
      <c r="X502" s="2072"/>
      <c r="Y502" s="2072"/>
      <c r="Z502" s="2072"/>
      <c r="AA502" s="2072"/>
      <c r="AB502" s="2072"/>
      <c r="AC502" s="2072"/>
      <c r="AD502" s="2072"/>
      <c r="AE502" s="2072"/>
      <c r="AF502" s="2072"/>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73" t="s">
        <v>598</v>
      </c>
      <c r="D504" s="2074"/>
      <c r="F504" s="585" t="s">
        <v>1654</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1437</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1655</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1656</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73" t="s">
        <v>598</v>
      </c>
      <c r="D508" s="2074"/>
      <c r="F508" s="829" t="s">
        <v>1657</v>
      </c>
      <c r="G508" s="2026" t="s">
        <v>1658</v>
      </c>
      <c r="H508" s="2026"/>
      <c r="I508" s="2026"/>
      <c r="J508" s="2026"/>
      <c r="K508" s="2026"/>
      <c r="L508" s="2026"/>
      <c r="M508" s="2026"/>
      <c r="N508" s="2026"/>
      <c r="O508" s="2026"/>
      <c r="P508" s="2026"/>
      <c r="Q508" s="2026"/>
      <c r="R508" s="2026"/>
      <c r="S508" s="2026"/>
      <c r="T508" s="2026"/>
      <c r="U508" s="2026"/>
      <c r="V508" s="2026"/>
      <c r="W508" s="2026"/>
      <c r="X508" s="2026"/>
      <c r="Y508" s="2026"/>
      <c r="Z508" s="2026"/>
      <c r="AA508" s="2026"/>
      <c r="AB508" s="2026"/>
      <c r="AC508" s="2026"/>
      <c r="AD508" s="2026"/>
      <c r="AE508" s="2026"/>
      <c r="AF508" s="2026"/>
      <c r="AG508" s="647">
        <f>IF(AND($C$508="Yes",$C$499="Yes"),2,0)</f>
        <v>0</v>
      </c>
      <c r="AH508" s="674" t="s">
        <v>1437</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45"/>
      <c r="H509" s="2045"/>
      <c r="I509" s="2045"/>
      <c r="J509" s="2045"/>
      <c r="K509" s="2045"/>
      <c r="L509" s="2045"/>
      <c r="M509" s="2045"/>
      <c r="N509" s="2045"/>
      <c r="O509" s="2045"/>
      <c r="P509" s="2045"/>
      <c r="Q509" s="2045"/>
      <c r="R509" s="2045"/>
      <c r="S509" s="2045"/>
      <c r="T509" s="2045"/>
      <c r="U509" s="2045"/>
      <c r="V509" s="2045"/>
      <c r="W509" s="2045"/>
      <c r="X509" s="2045"/>
      <c r="Y509" s="2045"/>
      <c r="Z509" s="2045"/>
      <c r="AA509" s="2045"/>
      <c r="AB509" s="2045"/>
      <c r="AC509" s="2045"/>
      <c r="AD509" s="2045"/>
      <c r="AE509" s="2045"/>
      <c r="AF509" s="2045"/>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1659</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61" t="s">
        <v>598</v>
      </c>
      <c r="D512" s="2062"/>
      <c r="E512" s="836" t="s">
        <v>1660</v>
      </c>
      <c r="F512" s="805" t="s">
        <v>1661</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1437</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63" t="s">
        <v>598</v>
      </c>
      <c r="G513" s="2063"/>
      <c r="H513" s="2063"/>
      <c r="I513" s="2063"/>
      <c r="J513" s="2063"/>
      <c r="K513" s="2063"/>
      <c r="L513" s="2063"/>
      <c r="M513" s="2063"/>
      <c r="N513" s="2063"/>
      <c r="O513" s="2063"/>
      <c r="P513" s="2063"/>
      <c r="Q513" s="2063"/>
      <c r="R513" s="2063"/>
      <c r="S513" s="2063"/>
      <c r="T513" s="2063"/>
      <c r="U513" s="2063"/>
      <c r="V513" s="2063"/>
      <c r="W513" s="2063"/>
      <c r="X513" s="2063"/>
      <c r="Y513" s="2063"/>
      <c r="Z513" s="2063"/>
      <c r="AA513" s="2063"/>
      <c r="AB513" s="2063"/>
      <c r="AC513" s="2063"/>
      <c r="AD513" s="2063"/>
      <c r="AE513" s="2063"/>
      <c r="AF513" s="2063"/>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64"/>
      <c r="G514" s="2064"/>
      <c r="H514" s="2064"/>
      <c r="I514" s="2064"/>
      <c r="J514" s="2064"/>
      <c r="K514" s="2064"/>
      <c r="L514" s="2064"/>
      <c r="M514" s="2064"/>
      <c r="N514" s="2064"/>
      <c r="O514" s="2064"/>
      <c r="P514" s="2064"/>
      <c r="Q514" s="2064"/>
      <c r="R514" s="2064"/>
      <c r="S514" s="2064"/>
      <c r="T514" s="2064"/>
      <c r="U514" s="2064"/>
      <c r="V514" s="2064"/>
      <c r="W514" s="2064"/>
      <c r="X514" s="2064"/>
      <c r="Y514" s="2064"/>
      <c r="Z514" s="2064"/>
      <c r="AA514" s="2064"/>
      <c r="AB514" s="2064"/>
      <c r="AC514" s="2064"/>
      <c r="AD514" s="2064"/>
      <c r="AE514" s="2064"/>
      <c r="AF514" s="2064"/>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1662</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1663</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2341</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1664</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2342</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1665</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1666</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1667</v>
      </c>
      <c r="AK524" s="1982">
        <f>SUM(AG468:AG513)</f>
        <v>0</v>
      </c>
      <c r="AL524" s="1983"/>
      <c r="AM524" s="1984"/>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1668</v>
      </c>
      <c r="B527" s="573" t="s">
        <v>1669</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17" t="s">
        <v>1670</v>
      </c>
      <c r="AF527" s="1917"/>
      <c r="AG527" s="1917"/>
      <c r="AH527" s="1917"/>
      <c r="AI527" s="1917"/>
      <c r="AJ527" s="1917"/>
      <c r="AK527" s="1917"/>
      <c r="AL527" s="629"/>
      <c r="AM527" s="629"/>
      <c r="AN527" s="631"/>
    </row>
    <row r="528" spans="1:81" s="584" customFormat="1" ht="12.75" customHeight="1">
      <c r="A528" s="573"/>
      <c r="B528" s="573" t="s">
        <v>1433</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79" t="s">
        <v>598</v>
      </c>
      <c r="D530" s="1979"/>
      <c r="E530" s="585"/>
      <c r="F530" s="2065" t="s">
        <v>1671</v>
      </c>
      <c r="G530" s="2066"/>
      <c r="H530" s="2066"/>
      <c r="I530" s="2066"/>
      <c r="J530" s="2066"/>
      <c r="K530" s="2066"/>
      <c r="L530" s="2066"/>
      <c r="M530" s="2066"/>
      <c r="N530" s="2066"/>
      <c r="O530" s="2066"/>
      <c r="P530" s="2066"/>
      <c r="Q530" s="2066"/>
      <c r="R530" s="2066"/>
      <c r="S530" s="2066"/>
      <c r="T530" s="2066"/>
      <c r="U530" s="2066"/>
      <c r="V530" s="2066"/>
      <c r="W530" s="2066"/>
      <c r="X530" s="2066"/>
      <c r="Y530" s="2066"/>
      <c r="Z530" s="2066"/>
      <c r="AA530" s="2066"/>
      <c r="AB530" s="2066"/>
      <c r="AC530" s="2066"/>
      <c r="AD530" s="2066"/>
      <c r="AE530" s="2066"/>
      <c r="AF530" s="2066"/>
      <c r="AG530" s="2066"/>
      <c r="AH530" s="2066"/>
      <c r="AI530" s="2066"/>
      <c r="AJ530" s="2066"/>
      <c r="AK530" s="2066"/>
      <c r="AL530" s="2067"/>
      <c r="AM530" s="629"/>
      <c r="AN530" s="631"/>
    </row>
    <row r="531" spans="1:49" s="584" customFormat="1" ht="12.75" customHeight="1">
      <c r="A531" s="573"/>
      <c r="B531" s="573"/>
      <c r="C531" s="585"/>
      <c r="D531" s="585"/>
      <c r="E531" s="585"/>
      <c r="F531" s="2068"/>
      <c r="G531" s="2069"/>
      <c r="H531" s="2069"/>
      <c r="I531" s="2069"/>
      <c r="J531" s="2069"/>
      <c r="K531" s="2069"/>
      <c r="L531" s="2069"/>
      <c r="M531" s="2069"/>
      <c r="N531" s="2069"/>
      <c r="O531" s="2069"/>
      <c r="P531" s="2069"/>
      <c r="Q531" s="2069"/>
      <c r="R531" s="2069"/>
      <c r="S531" s="2069"/>
      <c r="T531" s="2069"/>
      <c r="U531" s="2069"/>
      <c r="V531" s="2069"/>
      <c r="W531" s="2069"/>
      <c r="X531" s="2069"/>
      <c r="Y531" s="2069"/>
      <c r="Z531" s="2069"/>
      <c r="AA531" s="2069"/>
      <c r="AB531" s="2069"/>
      <c r="AC531" s="2069"/>
      <c r="AD531" s="2069"/>
      <c r="AE531" s="2069"/>
      <c r="AF531" s="2069"/>
      <c r="AG531" s="2069"/>
      <c r="AH531" s="2069"/>
      <c r="AI531" s="2069"/>
      <c r="AJ531" s="2069"/>
      <c r="AK531" s="2069"/>
      <c r="AL531" s="2070"/>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79" t="s">
        <v>552</v>
      </c>
      <c r="D533" s="1979"/>
      <c r="E533" s="840"/>
      <c r="F533" s="678" t="s">
        <v>1672</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2001" t="s">
        <v>1673</v>
      </c>
      <c r="G534" s="2002"/>
      <c r="H534" s="2002"/>
      <c r="I534" s="2002"/>
      <c r="J534" s="2002"/>
      <c r="K534" s="2002"/>
      <c r="L534" s="2002"/>
      <c r="M534" s="2002"/>
      <c r="N534" s="2002"/>
      <c r="O534" s="2002"/>
      <c r="P534" s="2002"/>
      <c r="Q534" s="2002"/>
      <c r="R534" s="2002"/>
      <c r="S534" s="2002"/>
      <c r="T534" s="2002"/>
      <c r="U534" s="2002"/>
      <c r="V534" s="2002"/>
      <c r="W534" s="2002"/>
      <c r="X534" s="2002"/>
      <c r="Y534" s="2002"/>
      <c r="Z534" s="2002"/>
      <c r="AA534" s="2002"/>
      <c r="AB534" s="2002"/>
      <c r="AC534" s="2002"/>
      <c r="AD534" s="2002"/>
      <c r="AE534" s="2002"/>
      <c r="AF534" s="2002"/>
      <c r="AG534" s="2002"/>
      <c r="AH534" s="2002"/>
      <c r="AI534" s="2002"/>
      <c r="AJ534" s="2002"/>
      <c r="AK534" s="2002"/>
      <c r="AL534" s="2003"/>
      <c r="AM534" s="629"/>
      <c r="AN534" s="631"/>
      <c r="AS534" s="904"/>
      <c r="AT534" s="904"/>
      <c r="AU534" s="904"/>
      <c r="AV534" s="904"/>
      <c r="AW534" s="904"/>
    </row>
    <row r="535" spans="1:49" s="584" customFormat="1" ht="12.75" customHeight="1">
      <c r="B535" s="840"/>
      <c r="C535" s="840"/>
      <c r="D535" s="840"/>
      <c r="E535" s="840"/>
      <c r="F535" s="2001"/>
      <c r="G535" s="2002"/>
      <c r="H535" s="2002"/>
      <c r="I535" s="2002"/>
      <c r="J535" s="2002"/>
      <c r="K535" s="2002"/>
      <c r="L535" s="2002"/>
      <c r="M535" s="2002"/>
      <c r="N535" s="2002"/>
      <c r="O535" s="2002"/>
      <c r="P535" s="2002"/>
      <c r="Q535" s="2002"/>
      <c r="R535" s="2002"/>
      <c r="S535" s="2002"/>
      <c r="T535" s="2002"/>
      <c r="U535" s="2002"/>
      <c r="V535" s="2002"/>
      <c r="W535" s="2002"/>
      <c r="X535" s="2002"/>
      <c r="Y535" s="2002"/>
      <c r="Z535" s="2002"/>
      <c r="AA535" s="2002"/>
      <c r="AB535" s="2002"/>
      <c r="AC535" s="2002"/>
      <c r="AD535" s="2002"/>
      <c r="AE535" s="2002"/>
      <c r="AF535" s="2002"/>
      <c r="AG535" s="2002"/>
      <c r="AH535" s="2002"/>
      <c r="AI535" s="2002"/>
      <c r="AJ535" s="2002"/>
      <c r="AK535" s="2002"/>
      <c r="AL535" s="2003"/>
      <c r="AM535" s="629"/>
      <c r="AN535" s="631"/>
    </row>
    <row r="536" spans="1:49" s="584" customFormat="1" ht="12.75" customHeight="1">
      <c r="B536" s="840"/>
      <c r="C536" s="840"/>
      <c r="D536" s="840"/>
      <c r="E536" s="840"/>
      <c r="F536" s="845" t="s">
        <v>2343</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2001" t="s">
        <v>1674</v>
      </c>
      <c r="G537" s="2002"/>
      <c r="H537" s="2002"/>
      <c r="I537" s="2002"/>
      <c r="J537" s="2002"/>
      <c r="K537" s="2002"/>
      <c r="L537" s="2002"/>
      <c r="M537" s="2002"/>
      <c r="N537" s="2002"/>
      <c r="O537" s="2002"/>
      <c r="P537" s="2002"/>
      <c r="Q537" s="2002"/>
      <c r="R537" s="2002"/>
      <c r="S537" s="2002"/>
      <c r="T537" s="2002"/>
      <c r="U537" s="2002"/>
      <c r="V537" s="2002"/>
      <c r="W537" s="2002"/>
      <c r="X537" s="2002"/>
      <c r="Y537" s="2002"/>
      <c r="Z537" s="2002"/>
      <c r="AA537" s="2002"/>
      <c r="AB537" s="2002"/>
      <c r="AC537" s="2002"/>
      <c r="AD537" s="2002"/>
      <c r="AE537" s="2002"/>
      <c r="AF537" s="2002"/>
      <c r="AG537" s="2002"/>
      <c r="AH537" s="2002"/>
      <c r="AI537" s="2002"/>
      <c r="AJ537" s="2002"/>
      <c r="AK537" s="2002"/>
      <c r="AL537" s="847"/>
      <c r="AM537" s="629"/>
      <c r="AN537" s="631"/>
    </row>
    <row r="538" spans="1:49" s="584" customFormat="1" ht="12.75" customHeight="1">
      <c r="B538" s="840"/>
      <c r="C538" s="840"/>
      <c r="D538" s="840"/>
      <c r="E538" s="840"/>
      <c r="F538" s="2004"/>
      <c r="G538" s="2005"/>
      <c r="H538" s="2005"/>
      <c r="I538" s="2005"/>
      <c r="J538" s="2005"/>
      <c r="K538" s="2005"/>
      <c r="L538" s="2005"/>
      <c r="M538" s="2005"/>
      <c r="N538" s="2005"/>
      <c r="O538" s="2005"/>
      <c r="P538" s="2005"/>
      <c r="Q538" s="2005"/>
      <c r="R538" s="2005"/>
      <c r="S538" s="2005"/>
      <c r="T538" s="2005"/>
      <c r="U538" s="2005"/>
      <c r="V538" s="2005"/>
      <c r="W538" s="2005"/>
      <c r="X538" s="2005"/>
      <c r="Y538" s="2005"/>
      <c r="Z538" s="2005"/>
      <c r="AA538" s="2005"/>
      <c r="AB538" s="2005"/>
      <c r="AC538" s="2005"/>
      <c r="AD538" s="2005"/>
      <c r="AE538" s="2005"/>
      <c r="AF538" s="2005"/>
      <c r="AG538" s="2005"/>
      <c r="AH538" s="2005"/>
      <c r="AI538" s="2005"/>
      <c r="AJ538" s="2005"/>
      <c r="AK538" s="2005"/>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2129">
        <f>Application!AJ991</f>
        <v>65167422</v>
      </c>
      <c r="AQ539" s="2129"/>
      <c r="AR539" s="2129"/>
      <c r="AS539" s="584" t="s">
        <v>2532</v>
      </c>
    </row>
    <row r="540" spans="1:49" s="584" customFormat="1" ht="12.75" customHeight="1">
      <c r="A540" s="532"/>
      <c r="B540" s="481" t="s">
        <v>1675</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85">
        <f>'Sources and Uses Budget'!S107+'Sources and Uses Budget'!T107</f>
        <v>97706870.200000003</v>
      </c>
      <c r="AG540" s="1985"/>
      <c r="AH540" s="1985"/>
      <c r="AI540" s="1985"/>
      <c r="AJ540" s="1985"/>
      <c r="AK540" s="629"/>
      <c r="AL540" s="629"/>
      <c r="AM540" s="629"/>
      <c r="AN540" s="631"/>
    </row>
    <row r="541" spans="1:49" s="584" customFormat="1" ht="12.75" customHeight="1">
      <c r="A541" s="659"/>
      <c r="B541" s="659" t="s">
        <v>1676</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2134">
        <f>IFERROR(AP548,0)</f>
        <v>145097045.94</v>
      </c>
      <c r="AG541" s="2134"/>
      <c r="AH541" s="2134"/>
      <c r="AI541" s="2134"/>
      <c r="AJ541" s="2134"/>
      <c r="AK541" s="629"/>
      <c r="AL541" s="629"/>
      <c r="AM541" s="629"/>
      <c r="AN541" s="631"/>
      <c r="AP541" s="2129">
        <f>Application!AJ1044</f>
        <v>30628688.34</v>
      </c>
      <c r="AQ541" s="2129"/>
      <c r="AR541" s="2129"/>
      <c r="AS541" s="584" t="s">
        <v>2054</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2135">
        <f>IFERROR(ROUNDDOWN(IF(C533="YES",((1-(AF540/AF541))*2),(1-(AF540/AF541))),2),0)</f>
        <v>0.65</v>
      </c>
      <c r="AG542" s="2135"/>
      <c r="AH542" s="2135"/>
      <c r="AI542" s="2135"/>
      <c r="AJ542" s="2135"/>
      <c r="AK542" s="629"/>
      <c r="AL542" s="629"/>
      <c r="AM542" s="629"/>
      <c r="AN542" s="631"/>
      <c r="AP542" s="2132">
        <f>Application!AJ1048</f>
        <v>19550226.599999998</v>
      </c>
      <c r="AQ542" s="2132"/>
      <c r="AR542" s="2132"/>
      <c r="AS542" s="584" t="s">
        <v>2533</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2128">
        <f>IF(((AP541+AP542)/AP539)&gt;0.8,0.8,((AP541+AP542)/AP539))</f>
        <v>0.77</v>
      </c>
      <c r="AQ543" s="2128"/>
      <c r="AR543" s="2128"/>
      <c r="AS543" s="584" t="s">
        <v>2534</v>
      </c>
    </row>
    <row r="544" spans="1:49" s="584" customFormat="1" ht="12.75" customHeight="1">
      <c r="A544" s="658"/>
      <c r="B544" s="2081" t="s">
        <v>2344</v>
      </c>
      <c r="C544" s="2082"/>
      <c r="D544" s="2082"/>
      <c r="E544" s="2082"/>
      <c r="F544" s="2082"/>
      <c r="G544" s="2082"/>
      <c r="H544" s="2082"/>
      <c r="I544" s="2082"/>
      <c r="J544" s="2082"/>
      <c r="K544" s="2082"/>
      <c r="L544" s="2082"/>
      <c r="M544" s="2082"/>
      <c r="N544" s="2082"/>
      <c r="O544" s="2082"/>
      <c r="P544" s="2082"/>
      <c r="Q544" s="2082"/>
      <c r="R544" s="2082"/>
      <c r="S544" s="2082"/>
      <c r="T544" s="2082"/>
      <c r="U544" s="2082"/>
      <c r="V544" s="2082"/>
      <c r="W544" s="2082"/>
      <c r="X544" s="2082"/>
      <c r="Y544" s="2082"/>
      <c r="Z544" s="2082"/>
      <c r="AA544" s="2082"/>
      <c r="AB544" s="2082"/>
      <c r="AC544" s="2082"/>
      <c r="AD544" s="2082"/>
      <c r="AE544" s="2082"/>
      <c r="AF544" s="2082"/>
      <c r="AG544" s="2082"/>
      <c r="AH544" s="2082"/>
      <c r="AI544" s="2082"/>
      <c r="AJ544" s="2083"/>
      <c r="AK544" s="629"/>
      <c r="AL544" s="629"/>
      <c r="AM544" s="629"/>
      <c r="AN544" s="631"/>
    </row>
    <row r="545" spans="1:45" s="584" customFormat="1" ht="12.75" customHeight="1">
      <c r="A545" s="658"/>
      <c r="B545" s="2084"/>
      <c r="C545" s="2085"/>
      <c r="D545" s="2085"/>
      <c r="E545" s="2085"/>
      <c r="F545" s="2085"/>
      <c r="G545" s="2085"/>
      <c r="H545" s="2085"/>
      <c r="I545" s="2085"/>
      <c r="J545" s="2085"/>
      <c r="K545" s="2085"/>
      <c r="L545" s="2085"/>
      <c r="M545" s="2085"/>
      <c r="N545" s="2085"/>
      <c r="O545" s="2085"/>
      <c r="P545" s="2085"/>
      <c r="Q545" s="2085"/>
      <c r="R545" s="2085"/>
      <c r="S545" s="2085"/>
      <c r="T545" s="2085"/>
      <c r="U545" s="2085"/>
      <c r="V545" s="2085"/>
      <c r="W545" s="2085"/>
      <c r="X545" s="2085"/>
      <c r="Y545" s="2085"/>
      <c r="Z545" s="2085"/>
      <c r="AA545" s="2085"/>
      <c r="AB545" s="2085"/>
      <c r="AC545" s="2085"/>
      <c r="AD545" s="2085"/>
      <c r="AE545" s="2085"/>
      <c r="AF545" s="2085"/>
      <c r="AG545" s="2085"/>
      <c r="AH545" s="2085"/>
      <c r="AI545" s="2085"/>
      <c r="AJ545" s="2086"/>
      <c r="AK545" s="629"/>
      <c r="AL545" s="629"/>
      <c r="AM545" s="629"/>
      <c r="AN545" s="631"/>
      <c r="AP545" s="2129">
        <f>AP546-AP541-AP542</f>
        <v>94918131</v>
      </c>
      <c r="AQ545" s="2037"/>
      <c r="AR545" s="2037"/>
      <c r="AS545" s="584" t="s">
        <v>2536</v>
      </c>
    </row>
    <row r="546" spans="1:45" s="584" customFormat="1" ht="12.75" customHeight="1">
      <c r="A546" s="658"/>
      <c r="B546" s="2087"/>
      <c r="C546" s="2088"/>
      <c r="D546" s="2088"/>
      <c r="E546" s="2088"/>
      <c r="F546" s="2088"/>
      <c r="G546" s="2088"/>
      <c r="H546" s="2088"/>
      <c r="I546" s="2088"/>
      <c r="J546" s="2088"/>
      <c r="K546" s="2088"/>
      <c r="L546" s="2088"/>
      <c r="M546" s="2088"/>
      <c r="N546" s="2088"/>
      <c r="O546" s="2088"/>
      <c r="P546" s="2088"/>
      <c r="Q546" s="2088"/>
      <c r="R546" s="2088"/>
      <c r="S546" s="2088"/>
      <c r="T546" s="2088"/>
      <c r="U546" s="2088"/>
      <c r="V546" s="2088"/>
      <c r="W546" s="2088"/>
      <c r="X546" s="2088"/>
      <c r="Y546" s="2088"/>
      <c r="Z546" s="2088"/>
      <c r="AA546" s="2088"/>
      <c r="AB546" s="2088"/>
      <c r="AC546" s="2088"/>
      <c r="AD546" s="2088"/>
      <c r="AE546" s="2088"/>
      <c r="AF546" s="2088"/>
      <c r="AG546" s="2088"/>
      <c r="AH546" s="2088"/>
      <c r="AI546" s="2088"/>
      <c r="AJ546" s="2089"/>
      <c r="AK546" s="629"/>
      <c r="AL546" s="629"/>
      <c r="AM546" s="629"/>
      <c r="AN546" s="631"/>
      <c r="AP546" s="2129">
        <f>Application!AJ1052</f>
        <v>145097045.94</v>
      </c>
      <c r="AQ546" s="2129"/>
      <c r="AR546" s="2129"/>
      <c r="AS546" s="584" t="s">
        <v>2535</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1677</v>
      </c>
      <c r="AK548" s="2090">
        <f>IFERROR(IF(AND(C530="N/A",C533="N/A"),0,IF(AF542=0,0,IF((AF542*100)&gt;12,12,(AF542*100)))),0)</f>
        <v>12</v>
      </c>
      <c r="AL548" s="2090"/>
      <c r="AM548" s="2091"/>
      <c r="AN548" s="631"/>
      <c r="AP548" s="2145">
        <f>AP545+(AP539*AP543)</f>
        <v>145097045.94</v>
      </c>
      <c r="AQ548" s="2146"/>
      <c r="AR548" s="2147"/>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2334</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17" t="s">
        <v>1423</v>
      </c>
      <c r="AF551" s="1917"/>
      <c r="AG551" s="1917"/>
      <c r="AH551" s="1917"/>
      <c r="AI551" s="1917"/>
      <c r="AJ551" s="1917"/>
      <c r="AK551" s="1917"/>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2002" t="s">
        <v>2335</v>
      </c>
      <c r="C553" s="2002"/>
      <c r="D553" s="2002"/>
      <c r="E553" s="2002"/>
      <c r="F553" s="2002"/>
      <c r="G553" s="2002"/>
      <c r="H553" s="2002"/>
      <c r="I553" s="2002"/>
      <c r="J553" s="2002"/>
      <c r="K553" s="2002"/>
      <c r="L553" s="2002"/>
      <c r="M553" s="2002"/>
      <c r="N553" s="2002"/>
      <c r="O553" s="2002"/>
      <c r="P553" s="2002"/>
      <c r="Q553" s="2002"/>
      <c r="R553" s="2002"/>
      <c r="S553" s="2002"/>
      <c r="T553" s="2002"/>
      <c r="U553" s="2002"/>
      <c r="V553" s="2002"/>
      <c r="W553" s="2002"/>
      <c r="X553" s="2002"/>
      <c r="Y553" s="2002"/>
      <c r="Z553" s="2002"/>
      <c r="AA553" s="2002"/>
      <c r="AB553" s="2002"/>
      <c r="AC553" s="2002"/>
      <c r="AD553" s="2002"/>
      <c r="AE553" s="2002"/>
      <c r="AF553" s="2002"/>
      <c r="AG553" s="2002"/>
      <c r="AH553" s="2002"/>
      <c r="AI553" s="2002"/>
      <c r="AJ553" s="2002"/>
      <c r="AK553" s="676"/>
      <c r="AL553" s="607"/>
      <c r="AM553" s="637"/>
      <c r="AN553" s="631"/>
    </row>
    <row r="554" spans="1:45" s="584" customFormat="1" ht="12.75" customHeight="1">
      <c r="A554" s="637"/>
      <c r="B554" s="2002"/>
      <c r="C554" s="2002"/>
      <c r="D554" s="2002"/>
      <c r="E554" s="2002"/>
      <c r="F554" s="2002"/>
      <c r="G554" s="2002"/>
      <c r="H554" s="2002"/>
      <c r="I554" s="2002"/>
      <c r="J554" s="2002"/>
      <c r="K554" s="2002"/>
      <c r="L554" s="2002"/>
      <c r="M554" s="2002"/>
      <c r="N554" s="2002"/>
      <c r="O554" s="2002"/>
      <c r="P554" s="2002"/>
      <c r="Q554" s="2002"/>
      <c r="R554" s="2002"/>
      <c r="S554" s="2002"/>
      <c r="T554" s="2002"/>
      <c r="U554" s="2002"/>
      <c r="V554" s="2002"/>
      <c r="W554" s="2002"/>
      <c r="X554" s="2002"/>
      <c r="Y554" s="2002"/>
      <c r="Z554" s="2002"/>
      <c r="AA554" s="2002"/>
      <c r="AB554" s="2002"/>
      <c r="AC554" s="2002"/>
      <c r="AD554" s="2002"/>
      <c r="AE554" s="2002"/>
      <c r="AF554" s="2002"/>
      <c r="AG554" s="2002"/>
      <c r="AH554" s="2002"/>
      <c r="AI554" s="2002"/>
      <c r="AJ554" s="2002"/>
      <c r="AK554" s="676"/>
      <c r="AL554" s="607"/>
      <c r="AM554" s="637"/>
      <c r="AN554" s="631"/>
    </row>
    <row r="555" spans="1:45" s="584" customFormat="1" ht="12.75" customHeight="1">
      <c r="A555" s="637"/>
      <c r="B555" s="2002"/>
      <c r="C555" s="2002"/>
      <c r="D555" s="2002"/>
      <c r="E555" s="2002"/>
      <c r="F555" s="2002"/>
      <c r="G555" s="2002"/>
      <c r="H555" s="2002"/>
      <c r="I555" s="2002"/>
      <c r="J555" s="2002"/>
      <c r="K555" s="2002"/>
      <c r="L555" s="2002"/>
      <c r="M555" s="2002"/>
      <c r="N555" s="2002"/>
      <c r="O555" s="2002"/>
      <c r="P555" s="2002"/>
      <c r="Q555" s="2002"/>
      <c r="R555" s="2002"/>
      <c r="S555" s="2002"/>
      <c r="T555" s="2002"/>
      <c r="U555" s="2002"/>
      <c r="V555" s="2002"/>
      <c r="W555" s="2002"/>
      <c r="X555" s="2002"/>
      <c r="Y555" s="2002"/>
      <c r="Z555" s="2002"/>
      <c r="AA555" s="2002"/>
      <c r="AB555" s="2002"/>
      <c r="AC555" s="2002"/>
      <c r="AD555" s="2002"/>
      <c r="AE555" s="2002"/>
      <c r="AF555" s="2002"/>
      <c r="AG555" s="2002"/>
      <c r="AH555" s="2002"/>
      <c r="AI555" s="2002"/>
      <c r="AJ555" s="2002"/>
      <c r="AK555" s="676"/>
      <c r="AL555" s="607"/>
      <c r="AM555" s="637"/>
      <c r="AN555" s="631"/>
    </row>
    <row r="556" spans="1:45" s="584" customFormat="1" ht="12.75" customHeight="1">
      <c r="A556" s="637"/>
      <c r="B556" s="2002"/>
      <c r="C556" s="2002"/>
      <c r="D556" s="2002"/>
      <c r="E556" s="2002"/>
      <c r="F556" s="2002"/>
      <c r="G556" s="2002"/>
      <c r="H556" s="2002"/>
      <c r="I556" s="2002"/>
      <c r="J556" s="2002"/>
      <c r="K556" s="2002"/>
      <c r="L556" s="2002"/>
      <c r="M556" s="2002"/>
      <c r="N556" s="2002"/>
      <c r="O556" s="2002"/>
      <c r="P556" s="2002"/>
      <c r="Q556" s="2002"/>
      <c r="R556" s="2002"/>
      <c r="S556" s="2002"/>
      <c r="T556" s="2002"/>
      <c r="U556" s="2002"/>
      <c r="V556" s="2002"/>
      <c r="W556" s="2002"/>
      <c r="X556" s="2002"/>
      <c r="Y556" s="2002"/>
      <c r="Z556" s="2002"/>
      <c r="AA556" s="2002"/>
      <c r="AB556" s="2002"/>
      <c r="AC556" s="2002"/>
      <c r="AD556" s="2002"/>
      <c r="AE556" s="2002"/>
      <c r="AF556" s="2002"/>
      <c r="AG556" s="2002"/>
      <c r="AH556" s="2002"/>
      <c r="AI556" s="2002"/>
      <c r="AJ556" s="2002"/>
      <c r="AK556" s="676"/>
      <c r="AL556" s="607"/>
      <c r="AM556" s="637"/>
      <c r="AN556" s="631"/>
    </row>
    <row r="557" spans="1:45" s="584" customFormat="1" ht="12.75" customHeight="1">
      <c r="A557" s="637"/>
      <c r="B557" s="2002"/>
      <c r="C557" s="2002"/>
      <c r="D557" s="2002"/>
      <c r="E557" s="2002"/>
      <c r="F557" s="2002"/>
      <c r="G557" s="2002"/>
      <c r="H557" s="2002"/>
      <c r="I557" s="2002"/>
      <c r="J557" s="2002"/>
      <c r="K557" s="2002"/>
      <c r="L557" s="2002"/>
      <c r="M557" s="2002"/>
      <c r="N557" s="2002"/>
      <c r="O557" s="2002"/>
      <c r="P557" s="2002"/>
      <c r="Q557" s="2002"/>
      <c r="R557" s="2002"/>
      <c r="S557" s="2002"/>
      <c r="T557" s="2002"/>
      <c r="U557" s="2002"/>
      <c r="V557" s="2002"/>
      <c r="W557" s="2002"/>
      <c r="X557" s="2002"/>
      <c r="Y557" s="2002"/>
      <c r="Z557" s="2002"/>
      <c r="AA557" s="2002"/>
      <c r="AB557" s="2002"/>
      <c r="AC557" s="2002"/>
      <c r="AD557" s="2002"/>
      <c r="AE557" s="2002"/>
      <c r="AF557" s="2002"/>
      <c r="AG557" s="2002"/>
      <c r="AH557" s="2002"/>
      <c r="AI557" s="2002"/>
      <c r="AJ557" s="2002"/>
      <c r="AK557" s="676"/>
      <c r="AL557" s="607"/>
      <c r="AM557" s="637"/>
      <c r="AN557" s="631"/>
    </row>
    <row r="558" spans="1:45" s="584" customFormat="1" ht="12.75" customHeight="1">
      <c r="A558" s="637"/>
      <c r="B558" s="2002"/>
      <c r="C558" s="2002"/>
      <c r="D558" s="2002"/>
      <c r="E558" s="2002"/>
      <c r="F558" s="2002"/>
      <c r="G558" s="2002"/>
      <c r="H558" s="2002"/>
      <c r="I558" s="2002"/>
      <c r="J558" s="2002"/>
      <c r="K558" s="2002"/>
      <c r="L558" s="2002"/>
      <c r="M558" s="2002"/>
      <c r="N558" s="2002"/>
      <c r="O558" s="2002"/>
      <c r="P558" s="2002"/>
      <c r="Q558" s="2002"/>
      <c r="R558" s="2002"/>
      <c r="S558" s="2002"/>
      <c r="T558" s="2002"/>
      <c r="U558" s="2002"/>
      <c r="V558" s="2002"/>
      <c r="W558" s="2002"/>
      <c r="X558" s="2002"/>
      <c r="Y558" s="2002"/>
      <c r="Z558" s="2002"/>
      <c r="AA558" s="2002"/>
      <c r="AB558" s="2002"/>
      <c r="AC558" s="2002"/>
      <c r="AD558" s="2002"/>
      <c r="AE558" s="2002"/>
      <c r="AF558" s="2002"/>
      <c r="AG558" s="2002"/>
      <c r="AH558" s="2002"/>
      <c r="AI558" s="2002"/>
      <c r="AJ558" s="2002"/>
      <c r="AK558" s="676"/>
      <c r="AL558" s="607"/>
      <c r="AM558" s="637"/>
      <c r="AN558" s="631"/>
    </row>
    <row r="559" spans="1:45" s="584" customFormat="1" ht="12.75" customHeight="1">
      <c r="A559" s="637"/>
      <c r="B559" s="2002"/>
      <c r="C559" s="2002"/>
      <c r="D559" s="2002"/>
      <c r="E559" s="2002"/>
      <c r="F559" s="2002"/>
      <c r="G559" s="2002"/>
      <c r="H559" s="2002"/>
      <c r="I559" s="2002"/>
      <c r="J559" s="2002"/>
      <c r="K559" s="2002"/>
      <c r="L559" s="2002"/>
      <c r="M559" s="2002"/>
      <c r="N559" s="2002"/>
      <c r="O559" s="2002"/>
      <c r="P559" s="2002"/>
      <c r="Q559" s="2002"/>
      <c r="R559" s="2002"/>
      <c r="S559" s="2002"/>
      <c r="T559" s="2002"/>
      <c r="U559" s="2002"/>
      <c r="V559" s="2002"/>
      <c r="W559" s="2002"/>
      <c r="X559" s="2002"/>
      <c r="Y559" s="2002"/>
      <c r="Z559" s="2002"/>
      <c r="AA559" s="2002"/>
      <c r="AB559" s="2002"/>
      <c r="AC559" s="2002"/>
      <c r="AD559" s="2002"/>
      <c r="AE559" s="2002"/>
      <c r="AF559" s="2002"/>
      <c r="AG559" s="2002"/>
      <c r="AH559" s="2002"/>
      <c r="AI559" s="2002"/>
      <c r="AJ559" s="2002"/>
      <c r="AK559" s="676"/>
      <c r="AL559" s="607"/>
      <c r="AM559" s="637"/>
      <c r="AN559" s="631"/>
    </row>
    <row r="560" spans="1:45" ht="12.75" customHeight="1">
      <c r="A560" s="637"/>
      <c r="B560" s="2002"/>
      <c r="C560" s="2002"/>
      <c r="D560" s="2002"/>
      <c r="E560" s="2002"/>
      <c r="F560" s="2002"/>
      <c r="G560" s="2002"/>
      <c r="H560" s="2002"/>
      <c r="I560" s="2002"/>
      <c r="J560" s="2002"/>
      <c r="K560" s="2002"/>
      <c r="L560" s="2002"/>
      <c r="M560" s="2002"/>
      <c r="N560" s="2002"/>
      <c r="O560" s="2002"/>
      <c r="P560" s="2002"/>
      <c r="Q560" s="2002"/>
      <c r="R560" s="2002"/>
      <c r="S560" s="2002"/>
      <c r="T560" s="2002"/>
      <c r="U560" s="2002"/>
      <c r="V560" s="2002"/>
      <c r="W560" s="2002"/>
      <c r="X560" s="2002"/>
      <c r="Y560" s="2002"/>
      <c r="Z560" s="2002"/>
      <c r="AA560" s="2002"/>
      <c r="AB560" s="2002"/>
      <c r="AC560" s="2002"/>
      <c r="AD560" s="2002"/>
      <c r="AE560" s="2002"/>
      <c r="AF560" s="2002"/>
      <c r="AG560" s="2002"/>
      <c r="AH560" s="2002"/>
      <c r="AI560" s="2002"/>
      <c r="AJ560" s="2002"/>
      <c r="AK560" s="676"/>
      <c r="AL560" s="607"/>
      <c r="AM560" s="637"/>
    </row>
    <row r="561" spans="1:42" s="584" customFormat="1" ht="12.75" customHeight="1">
      <c r="B561" s="2002"/>
      <c r="C561" s="2002"/>
      <c r="D561" s="2002"/>
      <c r="E561" s="2002"/>
      <c r="F561" s="2002"/>
      <c r="G561" s="2002"/>
      <c r="H561" s="2002"/>
      <c r="I561" s="2002"/>
      <c r="J561" s="2002"/>
      <c r="K561" s="2002"/>
      <c r="L561" s="2002"/>
      <c r="M561" s="2002"/>
      <c r="N561" s="2002"/>
      <c r="O561" s="2002"/>
      <c r="P561" s="2002"/>
      <c r="Q561" s="2002"/>
      <c r="R561" s="2002"/>
      <c r="S561" s="2002"/>
      <c r="T561" s="2002"/>
      <c r="U561" s="2002"/>
      <c r="V561" s="2002"/>
      <c r="W561" s="2002"/>
      <c r="X561" s="2002"/>
      <c r="Y561" s="2002"/>
      <c r="Z561" s="2002"/>
      <c r="AA561" s="2002"/>
      <c r="AB561" s="2002"/>
      <c r="AC561" s="2002"/>
      <c r="AD561" s="2002"/>
      <c r="AE561" s="2002"/>
      <c r="AF561" s="2002"/>
      <c r="AG561" s="2002"/>
      <c r="AH561" s="2002"/>
      <c r="AI561" s="2002"/>
      <c r="AJ561" s="2002"/>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1503</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598</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552</v>
      </c>
    </row>
    <row r="565" spans="1:42" s="584" customFormat="1" ht="12.75" customHeight="1">
      <c r="C565" s="573" t="s">
        <v>1504</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695</v>
      </c>
      <c r="E567" s="872" t="s">
        <v>1886</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49" t="s">
        <v>1447</v>
      </c>
      <c r="AG567" s="1949"/>
      <c r="AH567" s="1949"/>
      <c r="AI567" s="1949"/>
      <c r="AJ567" s="1949"/>
      <c r="AK567" s="1949"/>
      <c r="AL567" s="1949"/>
      <c r="AN567" s="631"/>
    </row>
    <row r="568" spans="1:42" s="584" customFormat="1" ht="12.75" customHeight="1">
      <c r="B568" s="570"/>
      <c r="C568" s="650"/>
      <c r="D568" s="697"/>
      <c r="E568" s="872" t="s">
        <v>1887</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1888</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1889</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1890</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2537</v>
      </c>
      <c r="AP571" s="584" t="b">
        <f>IF(Application!AF418&gt;=25,TRUE,FALSE)</f>
        <v>1</v>
      </c>
    </row>
    <row r="572" spans="1:42" s="584" customFormat="1" ht="12.75" customHeight="1">
      <c r="B572" s="570"/>
      <c r="C572" s="650"/>
      <c r="D572" s="697"/>
      <c r="E572" s="872" t="s">
        <v>1891</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2538</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516</v>
      </c>
      <c r="E574" s="872" t="s">
        <v>1892</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49" t="s">
        <v>1505</v>
      </c>
      <c r="AG574" s="1949"/>
      <c r="AH574" s="1949"/>
      <c r="AI574" s="1949"/>
      <c r="AJ574" s="1949"/>
      <c r="AK574" s="1949"/>
      <c r="AL574" s="1949"/>
      <c r="AN574" s="631"/>
    </row>
    <row r="575" spans="1:42" s="584" customFormat="1" ht="12.75" customHeight="1">
      <c r="B575" s="570"/>
      <c r="C575" s="968"/>
      <c r="D575" s="697"/>
      <c r="E575" s="872" t="s">
        <v>1893</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598</v>
      </c>
      <c r="AP575" s="707">
        <v>0</v>
      </c>
    </row>
    <row r="576" spans="1:42" s="584" customFormat="1" ht="12.75" customHeight="1">
      <c r="B576" s="644"/>
      <c r="C576" s="966"/>
      <c r="D576" s="697"/>
      <c r="E576" s="872" t="s">
        <v>1894</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695</v>
      </c>
      <c r="AP576" s="584">
        <f>7*AP571</f>
        <v>7</v>
      </c>
    </row>
    <row r="577" spans="1:53" s="584" customFormat="1" ht="12.75" customHeight="1">
      <c r="B577" s="644"/>
      <c r="C577" s="966"/>
      <c r="D577" s="697"/>
      <c r="E577" s="872" t="s">
        <v>1896</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516</v>
      </c>
      <c r="AP577" s="584">
        <v>6</v>
      </c>
    </row>
    <row r="578" spans="1:53" s="584" customFormat="1" ht="12.75" customHeight="1">
      <c r="B578" s="644"/>
      <c r="C578" s="966"/>
      <c r="D578" s="697"/>
      <c r="E578" s="872" t="s">
        <v>1895</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278</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1506</v>
      </c>
      <c r="AP579" s="584">
        <v>4</v>
      </c>
    </row>
    <row r="580" spans="1:53" s="584" customFormat="1" ht="12.75" customHeight="1">
      <c r="B580" s="570"/>
      <c r="C580" s="966"/>
      <c r="D580" s="697" t="s">
        <v>278</v>
      </c>
      <c r="E580" s="872" t="s">
        <v>1897</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49" t="s">
        <v>1487</v>
      </c>
      <c r="AG580" s="1949"/>
      <c r="AH580" s="1949"/>
      <c r="AI580" s="1949"/>
      <c r="AJ580" s="1949"/>
      <c r="AK580" s="1949"/>
      <c r="AL580" s="1949"/>
      <c r="AN580" s="631"/>
      <c r="AO580" s="645" t="s">
        <v>1507</v>
      </c>
      <c r="AP580" s="584">
        <v>3</v>
      </c>
    </row>
    <row r="581" spans="1:53" s="584" customFormat="1" ht="12.75" customHeight="1">
      <c r="B581" s="570"/>
      <c r="C581" s="968"/>
      <c r="D581" s="697"/>
      <c r="E581" s="872" t="s">
        <v>1893</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1894</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2540</v>
      </c>
    </row>
    <row r="583" spans="1:53" s="584" customFormat="1" ht="12.75" customHeight="1">
      <c r="B583" s="570"/>
      <c r="C583" s="968"/>
      <c r="D583" s="697"/>
      <c r="E583" s="872" t="s">
        <v>1896</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2541</v>
      </c>
    </row>
    <row r="584" spans="1:53" s="584" customFormat="1" ht="12.75" customHeight="1">
      <c r="B584" s="570"/>
      <c r="C584" s="968"/>
      <c r="D584" s="697"/>
      <c r="E584" s="872" t="s">
        <v>1895</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2542</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1506</v>
      </c>
      <c r="E586" s="872" t="s">
        <v>1898</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49" t="s">
        <v>1508</v>
      </c>
      <c r="AG586" s="1949"/>
      <c r="AH586" s="1949"/>
      <c r="AI586" s="1949"/>
      <c r="AJ586" s="1949"/>
      <c r="AK586" s="1949"/>
      <c r="AL586" s="1949"/>
      <c r="AN586" s="631"/>
      <c r="AO586" s="584" t="str">
        <f>X623</f>
        <v>N/A</v>
      </c>
    </row>
    <row r="587" spans="1:53" s="584" customFormat="1" ht="12.75" customHeight="1">
      <c r="B587" s="570"/>
      <c r="C587" s="968"/>
      <c r="D587" s="697"/>
      <c r="E587" s="872" t="s">
        <v>1899</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1900</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2543</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2544</v>
      </c>
    </row>
    <row r="590" spans="1:53" s="584" customFormat="1" ht="12.75" customHeight="1">
      <c r="B590" s="644"/>
      <c r="C590" s="966"/>
      <c r="D590" s="697"/>
      <c r="E590" s="570" t="s">
        <v>2055</v>
      </c>
      <c r="O590" s="2033" t="s">
        <v>1288</v>
      </c>
      <c r="P590" s="2033"/>
      <c r="Q590" s="2033"/>
      <c r="R590" s="2033"/>
      <c r="S590" s="2033"/>
      <c r="T590" s="2033"/>
      <c r="U590" s="2033"/>
      <c r="V590" s="2033"/>
      <c r="W590" s="2033"/>
      <c r="X590" s="2033"/>
      <c r="Y590" s="2033"/>
      <c r="Z590" s="2033"/>
      <c r="AA590" s="2033"/>
      <c r="AB590" s="2033"/>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1507</v>
      </c>
      <c r="E592" s="872" t="s">
        <v>1902</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49" t="s">
        <v>1461</v>
      </c>
      <c r="AG592" s="1949"/>
      <c r="AH592" s="1949"/>
      <c r="AI592" s="1949"/>
      <c r="AJ592" s="1949"/>
      <c r="AK592" s="1949"/>
      <c r="AL592" s="1949"/>
      <c r="AN592" s="631"/>
    </row>
    <row r="593" spans="2:47" s="584" customFormat="1" ht="12.75" customHeight="1">
      <c r="B593" s="570"/>
      <c r="C593" s="966"/>
      <c r="D593" s="697"/>
      <c r="E593" s="872" t="s">
        <v>1901</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598</v>
      </c>
      <c r="AP594" s="707">
        <v>0</v>
      </c>
      <c r="AT594" s="584" t="s">
        <v>598</v>
      </c>
      <c r="AU594" s="707">
        <v>0</v>
      </c>
    </row>
    <row r="595" spans="2:47" s="584" customFormat="1" ht="12.75" customHeight="1">
      <c r="B595" s="570"/>
      <c r="C595" s="968"/>
      <c r="D595" s="570" t="s">
        <v>1509</v>
      </c>
      <c r="E595" s="971"/>
      <c r="F595" s="971"/>
      <c r="G595" s="971"/>
      <c r="H595" s="2031" t="s">
        <v>695</v>
      </c>
      <c r="I595" s="2031"/>
      <c r="J595" s="971"/>
      <c r="K595" s="971"/>
      <c r="L595" s="971"/>
      <c r="N595" s="22"/>
      <c r="O595" s="22"/>
      <c r="P595" s="22"/>
      <c r="Q595" s="1195" t="s">
        <v>2539</v>
      </c>
      <c r="R595" s="2034"/>
      <c r="S595" s="2034"/>
      <c r="T595" s="2034"/>
      <c r="U595" s="2034"/>
      <c r="V595" s="2034"/>
      <c r="W595" s="2034"/>
      <c r="X595" s="570"/>
      <c r="Y595" s="570"/>
      <c r="Z595" s="570"/>
      <c r="AA595" s="570"/>
      <c r="AB595" s="570"/>
      <c r="AC595" s="570"/>
      <c r="AD595" s="570"/>
      <c r="AE595" s="570"/>
      <c r="AF595" s="570"/>
      <c r="AG595" s="570"/>
      <c r="AH595" s="570"/>
      <c r="AI595" s="570"/>
      <c r="AJ595" s="570"/>
      <c r="AK595" s="570"/>
      <c r="AL595" s="570"/>
      <c r="AN595" s="631"/>
      <c r="AO595" s="645" t="s">
        <v>695</v>
      </c>
      <c r="AP595" s="584">
        <v>3</v>
      </c>
      <c r="AT595" s="645" t="s">
        <v>695</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35" t="str">
        <f>IF(AND(H595="(i)",NOT(AP571)),AO588,IF(AND(H595="(iv)",OR(R595=AO584,R595=AO583),NOT(AP572)),AO589,""))</f>
        <v/>
      </c>
      <c r="Z596" s="2035"/>
      <c r="AA596" s="2035"/>
      <c r="AB596" s="2035"/>
      <c r="AC596" s="2035"/>
      <c r="AD596" s="2035"/>
      <c r="AE596" s="2035"/>
      <c r="AF596" s="2035"/>
      <c r="AG596" s="2035"/>
      <c r="AH596" s="2035"/>
      <c r="AI596" s="2035"/>
      <c r="AJ596" s="2035"/>
      <c r="AK596" s="2035"/>
      <c r="AL596" s="2035"/>
      <c r="AM596" s="2036"/>
      <c r="AN596" s="631"/>
      <c r="AO596" s="645" t="s">
        <v>516</v>
      </c>
      <c r="AP596" s="584">
        <v>2</v>
      </c>
      <c r="AT596" s="645" t="s">
        <v>516</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35"/>
      <c r="Z597" s="2035"/>
      <c r="AA597" s="2035"/>
      <c r="AB597" s="2035"/>
      <c r="AC597" s="2035"/>
      <c r="AD597" s="2035"/>
      <c r="AE597" s="2035"/>
      <c r="AF597" s="2035"/>
      <c r="AG597" s="2035"/>
      <c r="AH597" s="2035"/>
      <c r="AI597" s="2035"/>
      <c r="AJ597" s="2035"/>
      <c r="AK597" s="2035"/>
      <c r="AL597" s="2035"/>
      <c r="AM597" s="2036"/>
      <c r="AN597" s="631"/>
      <c r="AO597" s="645"/>
      <c r="AT597" s="645"/>
    </row>
    <row r="598" spans="2:47" s="584" customFormat="1" ht="12.75" customHeight="1">
      <c r="B598" s="570"/>
      <c r="C598" s="968"/>
      <c r="D598" s="570" t="s">
        <v>1903</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1904</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1905</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1906</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598</v>
      </c>
      <c r="AP602" s="707">
        <v>0</v>
      </c>
    </row>
    <row r="603" spans="2:47" s="584" customFormat="1" ht="12.75" customHeight="1">
      <c r="B603" s="570"/>
      <c r="C603" s="968"/>
      <c r="D603" s="570"/>
      <c r="E603" s="570" t="s">
        <v>1509</v>
      </c>
      <c r="F603" s="971"/>
      <c r="G603" s="971"/>
      <c r="I603" s="2032" t="s">
        <v>598</v>
      </c>
      <c r="J603" s="2032"/>
      <c r="K603" s="2032"/>
      <c r="L603" s="2032"/>
      <c r="M603" s="2032"/>
      <c r="N603" s="2032"/>
      <c r="O603" s="2032"/>
      <c r="P603" s="2032"/>
      <c r="Q603" s="2032"/>
      <c r="R603" s="2032"/>
      <c r="S603" s="2032"/>
      <c r="T603" s="2032"/>
      <c r="U603" s="2032"/>
      <c r="V603" s="2032"/>
      <c r="W603" s="2032"/>
      <c r="X603" s="2032"/>
      <c r="Y603" s="2032"/>
      <c r="Z603" s="2032"/>
      <c r="AA603" s="2032"/>
      <c r="AB603" s="2032"/>
      <c r="AC603" s="2032"/>
      <c r="AD603" s="2032"/>
      <c r="AE603" s="2032"/>
      <c r="AF603" s="570"/>
      <c r="AG603" s="570"/>
      <c r="AH603" s="570"/>
      <c r="AI603" s="570"/>
      <c r="AJ603" s="570"/>
      <c r="AK603" s="570"/>
      <c r="AL603" s="570"/>
      <c r="AN603" s="631"/>
      <c r="AO603" s="584" t="s">
        <v>1510</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1511</v>
      </c>
      <c r="AP604" s="584">
        <v>2</v>
      </c>
    </row>
    <row r="605" spans="2:47" s="584" customFormat="1" ht="12.75" customHeight="1">
      <c r="B605" s="1976" t="s">
        <v>598</v>
      </c>
      <c r="C605" s="1976"/>
      <c r="D605" s="676"/>
      <c r="E605" s="2002" t="s">
        <v>1512</v>
      </c>
      <c r="F605" s="2002"/>
      <c r="G605" s="2002"/>
      <c r="H605" s="2002"/>
      <c r="I605" s="2002"/>
      <c r="J605" s="2002"/>
      <c r="K605" s="2002"/>
      <c r="L605" s="2002"/>
      <c r="M605" s="2002"/>
      <c r="N605" s="2002"/>
      <c r="O605" s="2002"/>
      <c r="P605" s="2002"/>
      <c r="Q605" s="2002"/>
      <c r="R605" s="2002"/>
      <c r="S605" s="2002"/>
      <c r="T605" s="2002"/>
      <c r="U605" s="2002"/>
      <c r="V605" s="2002"/>
      <c r="W605" s="2002"/>
      <c r="X605" s="2002"/>
      <c r="Y605" s="2002"/>
      <c r="Z605" s="2002"/>
      <c r="AA605" s="2002"/>
      <c r="AB605" s="2002"/>
      <c r="AC605" s="2002"/>
      <c r="AD605" s="2002"/>
      <c r="AE605" s="2002"/>
      <c r="AF605" s="2002"/>
      <c r="AG605" s="2002"/>
      <c r="AH605" s="676"/>
      <c r="AI605" s="676"/>
      <c r="AJ605" s="676"/>
      <c r="AK605" s="676"/>
      <c r="AL605" s="676"/>
      <c r="AN605" s="631"/>
    </row>
    <row r="606" spans="2:47" s="584" customFormat="1" ht="12.75" customHeight="1">
      <c r="B606" s="570"/>
      <c r="C606" s="968"/>
      <c r="D606" s="676"/>
      <c r="E606" s="2002"/>
      <c r="F606" s="2002"/>
      <c r="G606" s="2002"/>
      <c r="H606" s="2002"/>
      <c r="I606" s="2002"/>
      <c r="J606" s="2002"/>
      <c r="K606" s="2002"/>
      <c r="L606" s="2002"/>
      <c r="M606" s="2002"/>
      <c r="N606" s="2002"/>
      <c r="O606" s="2002"/>
      <c r="P606" s="2002"/>
      <c r="Q606" s="2002"/>
      <c r="R606" s="2002"/>
      <c r="S606" s="2002"/>
      <c r="T606" s="2002"/>
      <c r="U606" s="2002"/>
      <c r="V606" s="2002"/>
      <c r="W606" s="2002"/>
      <c r="X606" s="2002"/>
      <c r="Y606" s="2002"/>
      <c r="Z606" s="2002"/>
      <c r="AA606" s="2002"/>
      <c r="AB606" s="2002"/>
      <c r="AC606" s="2002"/>
      <c r="AD606" s="2002"/>
      <c r="AE606" s="2002"/>
      <c r="AF606" s="2002"/>
      <c r="AG606" s="2002"/>
      <c r="AH606" s="676"/>
      <c r="AI606" s="676"/>
      <c r="AJ606" s="676"/>
      <c r="AK606" s="676"/>
      <c r="AL606" s="676"/>
      <c r="AN606" s="631"/>
    </row>
    <row r="607" spans="2:47" s="584" customFormat="1" ht="12.75" customHeight="1">
      <c r="B607" s="570"/>
      <c r="C607" s="968"/>
      <c r="D607" s="676"/>
      <c r="E607" s="2002"/>
      <c r="F607" s="2002"/>
      <c r="G607" s="2002"/>
      <c r="H607" s="2002"/>
      <c r="I607" s="2002"/>
      <c r="J607" s="2002"/>
      <c r="K607" s="2002"/>
      <c r="L607" s="2002"/>
      <c r="M607" s="2002"/>
      <c r="N607" s="2002"/>
      <c r="O607" s="2002"/>
      <c r="P607" s="2002"/>
      <c r="Q607" s="2002"/>
      <c r="R607" s="2002"/>
      <c r="S607" s="2002"/>
      <c r="T607" s="2002"/>
      <c r="U607" s="2002"/>
      <c r="V607" s="2002"/>
      <c r="W607" s="2002"/>
      <c r="X607" s="2002"/>
      <c r="Y607" s="2002"/>
      <c r="Z607" s="2002"/>
      <c r="AA607" s="2002"/>
      <c r="AB607" s="2002"/>
      <c r="AC607" s="2002"/>
      <c r="AD607" s="2002"/>
      <c r="AE607" s="2002"/>
      <c r="AF607" s="2002"/>
      <c r="AG607" s="2002"/>
      <c r="AH607" s="676"/>
      <c r="AI607" s="676"/>
      <c r="AJ607" s="676"/>
      <c r="AK607" s="676"/>
      <c r="AL607" s="676"/>
      <c r="AN607" s="631"/>
    </row>
    <row r="608" spans="2:47" s="584" customFormat="1" ht="12.75" customHeight="1">
      <c r="B608" s="570"/>
      <c r="C608" s="968"/>
      <c r="D608" s="676"/>
      <c r="E608" s="2002"/>
      <c r="F608" s="2002"/>
      <c r="G608" s="2002"/>
      <c r="H608" s="2002"/>
      <c r="I608" s="2002"/>
      <c r="J608" s="2002"/>
      <c r="K608" s="2002"/>
      <c r="L608" s="2002"/>
      <c r="M608" s="2002"/>
      <c r="N608" s="2002"/>
      <c r="O608" s="2002"/>
      <c r="P608" s="2002"/>
      <c r="Q608" s="2002"/>
      <c r="R608" s="2002"/>
      <c r="S608" s="2002"/>
      <c r="T608" s="2002"/>
      <c r="U608" s="2002"/>
      <c r="V608" s="2002"/>
      <c r="W608" s="2002"/>
      <c r="X608" s="2002"/>
      <c r="Y608" s="2002"/>
      <c r="Z608" s="2002"/>
      <c r="AA608" s="2002"/>
      <c r="AB608" s="2002"/>
      <c r="AC608" s="2002"/>
      <c r="AD608" s="2002"/>
      <c r="AE608" s="2002"/>
      <c r="AF608" s="2002"/>
      <c r="AG608" s="2002"/>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1513</v>
      </c>
      <c r="AJ610" s="1982">
        <f>VLOOKUP($H$595,$AO$575:$AP$580,2,FALSE)+IF(R595=AO583,0,VLOOKUP($I$603,$AO$602:$AP$604,2,FALSE))</f>
        <v>7</v>
      </c>
      <c r="AK610" s="1984"/>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1514</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695</v>
      </c>
      <c r="E614" s="2030" t="s">
        <v>1882</v>
      </c>
      <c r="F614" s="2030"/>
      <c r="G614" s="2030"/>
      <c r="H614" s="2030"/>
      <c r="I614" s="2030"/>
      <c r="J614" s="2030"/>
      <c r="K614" s="2030"/>
      <c r="L614" s="2030"/>
      <c r="M614" s="2030"/>
      <c r="N614" s="2030"/>
      <c r="O614" s="2030"/>
      <c r="P614" s="2030"/>
      <c r="Q614" s="2030"/>
      <c r="R614" s="2030"/>
      <c r="S614" s="2030"/>
      <c r="T614" s="2030"/>
      <c r="U614" s="2030"/>
      <c r="V614" s="2030"/>
      <c r="W614" s="2030"/>
      <c r="X614" s="2030"/>
      <c r="Y614" s="2030"/>
      <c r="Z614" s="2030"/>
      <c r="AA614" s="2030"/>
      <c r="AB614" s="2030"/>
      <c r="AC614" s="2030"/>
      <c r="AD614" s="2030"/>
      <c r="AE614" s="573"/>
      <c r="AF614" s="1949" t="s">
        <v>1461</v>
      </c>
      <c r="AG614" s="1949"/>
      <c r="AH614" s="1949"/>
      <c r="AI614" s="1949"/>
      <c r="AJ614" s="1949"/>
      <c r="AK614" s="1949"/>
      <c r="AL614" s="1949"/>
      <c r="AM614" s="584"/>
      <c r="AN614" s="712"/>
    </row>
    <row r="615" spans="1:42" s="584" customFormat="1" ht="12.75" customHeight="1">
      <c r="A615" s="713"/>
      <c r="B615" s="570"/>
      <c r="C615" s="968"/>
      <c r="D615" s="697"/>
      <c r="E615" s="2030"/>
      <c r="F615" s="2030"/>
      <c r="G615" s="2030"/>
      <c r="H615" s="2030"/>
      <c r="I615" s="2030"/>
      <c r="J615" s="2030"/>
      <c r="K615" s="2030"/>
      <c r="L615" s="2030"/>
      <c r="M615" s="2030"/>
      <c r="N615" s="2030"/>
      <c r="O615" s="2030"/>
      <c r="P615" s="2030"/>
      <c r="Q615" s="2030"/>
      <c r="R615" s="2030"/>
      <c r="S615" s="2030"/>
      <c r="T615" s="2030"/>
      <c r="U615" s="2030"/>
      <c r="V615" s="2030"/>
      <c r="W615" s="2030"/>
      <c r="X615" s="2030"/>
      <c r="Y615" s="2030"/>
      <c r="Z615" s="2030"/>
      <c r="AA615" s="2030"/>
      <c r="AB615" s="2030"/>
      <c r="AC615" s="2030"/>
      <c r="AD615" s="2030"/>
      <c r="AE615" s="570"/>
      <c r="AF615" s="570"/>
      <c r="AG615" s="570"/>
      <c r="AH615" s="570"/>
      <c r="AI615" s="570"/>
      <c r="AJ615" s="570"/>
      <c r="AK615" s="570"/>
      <c r="AL615" s="570"/>
      <c r="AN615" s="631"/>
    </row>
    <row r="616" spans="1:42" s="584" customFormat="1" ht="12.75" customHeight="1">
      <c r="B616" s="570"/>
      <c r="C616" s="966"/>
      <c r="D616" s="697"/>
      <c r="E616" s="2030"/>
      <c r="F616" s="2030"/>
      <c r="G616" s="2030"/>
      <c r="H616" s="2030"/>
      <c r="I616" s="2030"/>
      <c r="J616" s="2030"/>
      <c r="K616" s="2030"/>
      <c r="L616" s="2030"/>
      <c r="M616" s="2030"/>
      <c r="N616" s="2030"/>
      <c r="O616" s="2030"/>
      <c r="P616" s="2030"/>
      <c r="Q616" s="2030"/>
      <c r="R616" s="2030"/>
      <c r="S616" s="2030"/>
      <c r="T616" s="2030"/>
      <c r="U616" s="2030"/>
      <c r="V616" s="2030"/>
      <c r="W616" s="2030"/>
      <c r="X616" s="2030"/>
      <c r="Y616" s="2030"/>
      <c r="Z616" s="2030"/>
      <c r="AA616" s="2030"/>
      <c r="AB616" s="2030"/>
      <c r="AC616" s="2030"/>
      <c r="AD616" s="2030"/>
      <c r="AE616" s="570"/>
      <c r="AF616" s="570"/>
      <c r="AG616" s="570"/>
      <c r="AH616" s="570"/>
      <c r="AI616" s="570"/>
      <c r="AJ616" s="570"/>
      <c r="AK616" s="570"/>
      <c r="AL616" s="570"/>
      <c r="AN616" s="631"/>
    </row>
    <row r="617" spans="1:42" s="584" customFormat="1" ht="12.75" customHeight="1">
      <c r="B617" s="570"/>
      <c r="C617" s="966"/>
      <c r="D617" s="697"/>
      <c r="E617" s="2030"/>
      <c r="F617" s="2030"/>
      <c r="G617" s="2030"/>
      <c r="H617" s="2030"/>
      <c r="I617" s="2030"/>
      <c r="J617" s="2030"/>
      <c r="K617" s="2030"/>
      <c r="L617" s="2030"/>
      <c r="M617" s="2030"/>
      <c r="N617" s="2030"/>
      <c r="O617" s="2030"/>
      <c r="P617" s="2030"/>
      <c r="Q617" s="2030"/>
      <c r="R617" s="2030"/>
      <c r="S617" s="2030"/>
      <c r="T617" s="2030"/>
      <c r="U617" s="2030"/>
      <c r="V617" s="2030"/>
      <c r="W617" s="2030"/>
      <c r="X617" s="2030"/>
      <c r="Y617" s="2030"/>
      <c r="Z617" s="2030"/>
      <c r="AA617" s="2030"/>
      <c r="AB617" s="2030"/>
      <c r="AC617" s="2030"/>
      <c r="AD617" s="2030"/>
      <c r="AE617" s="570"/>
      <c r="AF617" s="570"/>
      <c r="AG617" s="570"/>
      <c r="AH617" s="570"/>
      <c r="AI617" s="570"/>
      <c r="AJ617" s="570"/>
      <c r="AK617" s="570"/>
      <c r="AL617" s="570"/>
      <c r="AN617" s="631"/>
    </row>
    <row r="618" spans="1:42" s="584" customFormat="1" ht="12.75" customHeight="1">
      <c r="B618" s="570"/>
      <c r="C618" s="966"/>
      <c r="D618" s="697"/>
      <c r="E618" s="2030"/>
      <c r="F618" s="2030"/>
      <c r="G618" s="2030"/>
      <c r="H618" s="2030"/>
      <c r="I618" s="2030"/>
      <c r="J618" s="2030"/>
      <c r="K618" s="2030"/>
      <c r="L618" s="2030"/>
      <c r="M618" s="2030"/>
      <c r="N618" s="2030"/>
      <c r="O618" s="2030"/>
      <c r="P618" s="2030"/>
      <c r="Q618" s="2030"/>
      <c r="R618" s="2030"/>
      <c r="S618" s="2030"/>
      <c r="T618" s="2030"/>
      <c r="U618" s="2030"/>
      <c r="V618" s="2030"/>
      <c r="W618" s="2030"/>
      <c r="X618" s="2030"/>
      <c r="Y618" s="2030"/>
      <c r="Z618" s="2030"/>
      <c r="AA618" s="2030"/>
      <c r="AB618" s="2030"/>
      <c r="AC618" s="2030"/>
      <c r="AD618" s="2030"/>
      <c r="AE618" s="570"/>
      <c r="AF618" s="570"/>
      <c r="AG618" s="570"/>
      <c r="AH618" s="570"/>
      <c r="AI618" s="570"/>
      <c r="AJ618" s="570"/>
      <c r="AK618" s="570"/>
      <c r="AL618" s="570"/>
      <c r="AN618" s="631"/>
    </row>
    <row r="619" spans="1:42" s="584" customFormat="1" ht="12.75" customHeight="1">
      <c r="B619" s="570"/>
      <c r="C619" s="966"/>
      <c r="D619" s="697"/>
      <c r="E619" s="2030"/>
      <c r="F619" s="2030"/>
      <c r="G619" s="2030"/>
      <c r="H619" s="2030"/>
      <c r="I619" s="2030"/>
      <c r="J619" s="2030"/>
      <c r="K619" s="2030"/>
      <c r="L619" s="2030"/>
      <c r="M619" s="2030"/>
      <c r="N619" s="2030"/>
      <c r="O619" s="2030"/>
      <c r="P619" s="2030"/>
      <c r="Q619" s="2030"/>
      <c r="R619" s="2030"/>
      <c r="S619" s="2030"/>
      <c r="T619" s="2030"/>
      <c r="U619" s="2030"/>
      <c r="V619" s="2030"/>
      <c r="W619" s="2030"/>
      <c r="X619" s="2030"/>
      <c r="Y619" s="2030"/>
      <c r="Z619" s="2030"/>
      <c r="AA619" s="2030"/>
      <c r="AB619" s="2030"/>
      <c r="AC619" s="2030"/>
      <c r="AD619" s="2030"/>
      <c r="AE619" s="570"/>
      <c r="AF619" s="570"/>
      <c r="AG619" s="570"/>
      <c r="AH619" s="570"/>
      <c r="AI619" s="570"/>
      <c r="AJ619" s="570"/>
      <c r="AK619" s="570"/>
      <c r="AL619" s="570"/>
      <c r="AN619" s="631"/>
    </row>
    <row r="620" spans="1:42" s="584" customFormat="1" ht="12.75" customHeight="1">
      <c r="A620" s="671"/>
      <c r="B620" s="650"/>
      <c r="C620" s="975"/>
      <c r="D620" s="697"/>
      <c r="E620" s="2030"/>
      <c r="F620" s="2030"/>
      <c r="G620" s="2030"/>
      <c r="H620" s="2030"/>
      <c r="I620" s="2030"/>
      <c r="J620" s="2030"/>
      <c r="K620" s="2030"/>
      <c r="L620" s="2030"/>
      <c r="M620" s="2030"/>
      <c r="N620" s="2030"/>
      <c r="O620" s="2030"/>
      <c r="P620" s="2030"/>
      <c r="Q620" s="2030"/>
      <c r="R620" s="2030"/>
      <c r="S620" s="2030"/>
      <c r="T620" s="2030"/>
      <c r="U620" s="2030"/>
      <c r="V620" s="2030"/>
      <c r="W620" s="2030"/>
      <c r="X620" s="2030"/>
      <c r="Y620" s="2030"/>
      <c r="Z620" s="2030"/>
      <c r="AA620" s="2030"/>
      <c r="AB620" s="2030"/>
      <c r="AC620" s="2030"/>
      <c r="AD620" s="2030"/>
      <c r="AE620" s="650"/>
      <c r="AF620" s="650"/>
      <c r="AG620" s="650"/>
      <c r="AH620" s="650"/>
      <c r="AI620" s="650"/>
      <c r="AJ620" s="650"/>
      <c r="AK620" s="570"/>
      <c r="AL620" s="570"/>
      <c r="AN620" s="631"/>
    </row>
    <row r="621" spans="1:42" s="584" customFormat="1" ht="12.75" customHeight="1">
      <c r="B621" s="650"/>
      <c r="C621" s="975"/>
      <c r="D621" s="697"/>
      <c r="E621" s="2030"/>
      <c r="F621" s="2030"/>
      <c r="G621" s="2030"/>
      <c r="H621" s="2030"/>
      <c r="I621" s="2030"/>
      <c r="J621" s="2030"/>
      <c r="K621" s="2030"/>
      <c r="L621" s="2030"/>
      <c r="M621" s="2030"/>
      <c r="N621" s="2030"/>
      <c r="O621" s="2030"/>
      <c r="P621" s="2030"/>
      <c r="Q621" s="2030"/>
      <c r="R621" s="2030"/>
      <c r="S621" s="2030"/>
      <c r="T621" s="2030"/>
      <c r="U621" s="2030"/>
      <c r="V621" s="2030"/>
      <c r="W621" s="2030"/>
      <c r="X621" s="2030"/>
      <c r="Y621" s="2030"/>
      <c r="Z621" s="2030"/>
      <c r="AA621" s="2030"/>
      <c r="AB621" s="2030"/>
      <c r="AC621" s="2030"/>
      <c r="AD621" s="2030"/>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598</v>
      </c>
      <c r="AP622" s="707">
        <v>0</v>
      </c>
    </row>
    <row r="623" spans="1:42" s="584" customFormat="1" ht="12.75" customHeight="1">
      <c r="B623" s="650"/>
      <c r="C623" s="966"/>
      <c r="D623" s="697"/>
      <c r="E623" s="650" t="s">
        <v>1515</v>
      </c>
      <c r="F623" s="976"/>
      <c r="G623" s="976"/>
      <c r="H623" s="976"/>
      <c r="I623" s="976"/>
      <c r="J623" s="976"/>
      <c r="K623" s="976"/>
      <c r="L623" s="976"/>
      <c r="M623" s="976"/>
      <c r="N623" s="976"/>
      <c r="O623" s="976"/>
      <c r="P623" s="976"/>
      <c r="Q623" s="976"/>
      <c r="R623" s="976"/>
      <c r="U623" s="976"/>
      <c r="V623" s="976"/>
      <c r="W623" s="976"/>
      <c r="X623" s="1976" t="s">
        <v>598</v>
      </c>
      <c r="Y623" s="1976"/>
      <c r="Z623" s="976"/>
      <c r="AA623" s="976"/>
      <c r="AB623" s="976"/>
      <c r="AC623" s="976"/>
      <c r="AD623" s="976"/>
      <c r="AE623" s="570"/>
      <c r="AF623" s="650"/>
      <c r="AG623" s="650"/>
      <c r="AH623" s="650"/>
      <c r="AI623" s="650"/>
      <c r="AJ623" s="650"/>
      <c r="AK623" s="570"/>
      <c r="AL623" s="570"/>
      <c r="AN623" s="631"/>
      <c r="AO623" s="645" t="s">
        <v>695</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516</v>
      </c>
      <c r="AP624" s="714">
        <v>4</v>
      </c>
    </row>
    <row r="625" spans="1:42" s="584" customFormat="1" ht="12.75" customHeight="1">
      <c r="B625" s="570"/>
      <c r="C625" s="966"/>
      <c r="D625" s="697" t="s">
        <v>516</v>
      </c>
      <c r="E625" s="589" t="s">
        <v>1516</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49" t="s">
        <v>1517</v>
      </c>
      <c r="AG625" s="1949"/>
      <c r="AH625" s="1949"/>
      <c r="AI625" s="1949"/>
      <c r="AJ625" s="1949"/>
      <c r="AK625" s="1949"/>
      <c r="AL625" s="1949"/>
      <c r="AN625" s="631"/>
      <c r="AO625" s="645" t="s">
        <v>278</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1506</v>
      </c>
      <c r="AP626" s="714">
        <v>4</v>
      </c>
    </row>
    <row r="627" spans="1:42" s="584" customFormat="1" ht="12.75" customHeight="1">
      <c r="B627" s="570"/>
      <c r="C627" s="966"/>
      <c r="D627" s="570" t="s">
        <v>1509</v>
      </c>
      <c r="E627" s="971"/>
      <c r="F627" s="971"/>
      <c r="G627" s="971"/>
      <c r="H627" s="2031" t="s">
        <v>695</v>
      </c>
      <c r="I627" s="2031"/>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1507</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1518</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1519</v>
      </c>
      <c r="AJ629" s="1982">
        <f>VLOOKUP($H$627,$AO$594:$AP$596,2,FALSE)</f>
        <v>3</v>
      </c>
      <c r="AK629" s="1984"/>
      <c r="AL629" s="629"/>
      <c r="AN629" s="631"/>
      <c r="AO629" s="645" t="s">
        <v>1520</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1521</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695</v>
      </c>
      <c r="E633" s="2002" t="s">
        <v>2414</v>
      </c>
      <c r="F633" s="2002"/>
      <c r="G633" s="2002"/>
      <c r="H633" s="2002"/>
      <c r="I633" s="2002"/>
      <c r="J633" s="2002"/>
      <c r="K633" s="2002"/>
      <c r="L633" s="2002"/>
      <c r="M633" s="2002"/>
      <c r="N633" s="2002"/>
      <c r="O633" s="2002"/>
      <c r="P633" s="2002"/>
      <c r="Q633" s="2002"/>
      <c r="R633" s="2002"/>
      <c r="S633" s="2002"/>
      <c r="T633" s="2002"/>
      <c r="U633" s="2002"/>
      <c r="V633" s="2002"/>
      <c r="W633" s="2002"/>
      <c r="X633" s="2002"/>
      <c r="Y633" s="2002"/>
      <c r="Z633" s="2002"/>
      <c r="AA633" s="2002"/>
      <c r="AB633" s="2002"/>
      <c r="AC633" s="2002"/>
      <c r="AD633" s="2002"/>
      <c r="AE633" s="570"/>
      <c r="AF633" s="1949" t="s">
        <v>1461</v>
      </c>
      <c r="AG633" s="1949"/>
      <c r="AH633" s="1949"/>
      <c r="AI633" s="1949"/>
      <c r="AJ633" s="1949"/>
      <c r="AK633" s="1949"/>
      <c r="AL633" s="1949"/>
      <c r="AN633" s="631"/>
    </row>
    <row r="634" spans="1:42" s="584" customFormat="1" ht="12.75" customHeight="1">
      <c r="B634" s="570"/>
      <c r="C634" s="570"/>
      <c r="D634" s="697"/>
      <c r="E634" s="2002"/>
      <c r="F634" s="2002"/>
      <c r="G634" s="2002"/>
      <c r="H634" s="2002"/>
      <c r="I634" s="2002"/>
      <c r="J634" s="2002"/>
      <c r="K634" s="2002"/>
      <c r="L634" s="2002"/>
      <c r="M634" s="2002"/>
      <c r="N634" s="2002"/>
      <c r="O634" s="2002"/>
      <c r="P634" s="2002"/>
      <c r="Q634" s="2002"/>
      <c r="R634" s="2002"/>
      <c r="S634" s="2002"/>
      <c r="T634" s="2002"/>
      <c r="U634" s="2002"/>
      <c r="V634" s="2002"/>
      <c r="W634" s="2002"/>
      <c r="X634" s="2002"/>
      <c r="Y634" s="2002"/>
      <c r="Z634" s="2002"/>
      <c r="AA634" s="2002"/>
      <c r="AB634" s="2002"/>
      <c r="AC634" s="2002"/>
      <c r="AD634" s="2002"/>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516</v>
      </c>
      <c r="E636" s="650" t="s">
        <v>1522</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49" t="s">
        <v>1517</v>
      </c>
      <c r="AG636" s="1949"/>
      <c r="AH636" s="1949"/>
      <c r="AI636" s="1949"/>
      <c r="AJ636" s="1949"/>
      <c r="AK636" s="1949"/>
      <c r="AL636" s="1949"/>
      <c r="AN636" s="631"/>
    </row>
    <row r="637" spans="1:42" s="584" customFormat="1" ht="12.75" customHeight="1">
      <c r="B637" s="570"/>
      <c r="C637" s="966"/>
      <c r="D637" s="697"/>
      <c r="E637" s="650" t="s">
        <v>1523</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1509</v>
      </c>
      <c r="E639" s="971"/>
      <c r="F639" s="971"/>
      <c r="G639" s="971"/>
      <c r="H639" s="2031" t="s">
        <v>695</v>
      </c>
      <c r="I639" s="2031"/>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1524</v>
      </c>
      <c r="AJ641" s="1982">
        <f>VLOOKUP(H639,AT594:AU596,2,FALSE)</f>
        <v>3</v>
      </c>
      <c r="AK641" s="1984"/>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1525</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1526</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695</v>
      </c>
      <c r="E646" s="2002" t="s">
        <v>1527</v>
      </c>
      <c r="F646" s="2002"/>
      <c r="G646" s="2002"/>
      <c r="H646" s="2002"/>
      <c r="I646" s="2002"/>
      <c r="J646" s="2002"/>
      <c r="K646" s="2002"/>
      <c r="L646" s="2002"/>
      <c r="M646" s="2002"/>
      <c r="N646" s="2002"/>
      <c r="O646" s="2002"/>
      <c r="P646" s="2002"/>
      <c r="Q646" s="2002"/>
      <c r="R646" s="2002"/>
      <c r="S646" s="2002"/>
      <c r="T646" s="2002"/>
      <c r="U646" s="2002"/>
      <c r="V646" s="2002"/>
      <c r="W646" s="2002"/>
      <c r="X646" s="2002"/>
      <c r="Y646" s="2002"/>
      <c r="Z646" s="2002"/>
      <c r="AA646" s="2002"/>
      <c r="AB646" s="2002"/>
      <c r="AC646" s="2002"/>
      <c r="AD646" s="570"/>
      <c r="AE646" s="570"/>
      <c r="AF646" s="1949" t="s">
        <v>1487</v>
      </c>
      <c r="AG646" s="1949"/>
      <c r="AH646" s="1949"/>
      <c r="AI646" s="1949"/>
      <c r="AJ646" s="1949"/>
      <c r="AK646" s="1949"/>
      <c r="AL646" s="1949"/>
      <c r="AN646" s="631"/>
    </row>
    <row r="647" spans="1:42" s="584" customFormat="1" ht="12.75" customHeight="1">
      <c r="B647" s="570"/>
      <c r="C647" s="573"/>
      <c r="D647" s="570"/>
      <c r="E647" s="2002"/>
      <c r="F647" s="2002"/>
      <c r="G647" s="2002"/>
      <c r="H647" s="2002"/>
      <c r="I647" s="2002"/>
      <c r="J647" s="2002"/>
      <c r="K647" s="2002"/>
      <c r="L647" s="2002"/>
      <c r="M647" s="2002"/>
      <c r="N647" s="2002"/>
      <c r="O647" s="2002"/>
      <c r="P647" s="2002"/>
      <c r="Q647" s="2002"/>
      <c r="R647" s="2002"/>
      <c r="S647" s="2002"/>
      <c r="T647" s="2002"/>
      <c r="U647" s="2002"/>
      <c r="V647" s="2002"/>
      <c r="W647" s="2002"/>
      <c r="X647" s="2002"/>
      <c r="Y647" s="2002"/>
      <c r="Z647" s="2002"/>
      <c r="AA647" s="2002"/>
      <c r="AB647" s="2002"/>
      <c r="AC647" s="2002"/>
      <c r="AD647" s="570"/>
      <c r="AE647" s="570"/>
      <c r="AF647" s="570"/>
      <c r="AG647" s="570"/>
      <c r="AH647" s="570"/>
      <c r="AI647" s="570"/>
      <c r="AJ647" s="570"/>
      <c r="AK647" s="570"/>
      <c r="AL647" s="570"/>
      <c r="AN647" s="631"/>
    </row>
    <row r="648" spans="1:42" s="584" customFormat="1" ht="12.75" customHeight="1">
      <c r="B648" s="570"/>
      <c r="C648" s="573"/>
      <c r="D648" s="697"/>
      <c r="E648" s="2002"/>
      <c r="F648" s="2002"/>
      <c r="G648" s="2002"/>
      <c r="H648" s="2002"/>
      <c r="I648" s="2002"/>
      <c r="J648" s="2002"/>
      <c r="K648" s="2002"/>
      <c r="L648" s="2002"/>
      <c r="M648" s="2002"/>
      <c r="N648" s="2002"/>
      <c r="O648" s="2002"/>
      <c r="P648" s="2002"/>
      <c r="Q648" s="2002"/>
      <c r="R648" s="2002"/>
      <c r="S648" s="2002"/>
      <c r="T648" s="2002"/>
      <c r="U648" s="2002"/>
      <c r="V648" s="2002"/>
      <c r="W648" s="2002"/>
      <c r="X648" s="2002"/>
      <c r="Y648" s="2002"/>
      <c r="Z648" s="2002"/>
      <c r="AA648" s="2002"/>
      <c r="AB648" s="2002"/>
      <c r="AC648" s="2002"/>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516</v>
      </c>
      <c r="E650" s="2002" t="s">
        <v>1528</v>
      </c>
      <c r="F650" s="2002"/>
      <c r="G650" s="2002"/>
      <c r="H650" s="2002"/>
      <c r="I650" s="2002"/>
      <c r="J650" s="2002"/>
      <c r="K650" s="2002"/>
      <c r="L650" s="2002"/>
      <c r="M650" s="2002"/>
      <c r="N650" s="2002"/>
      <c r="O650" s="2002"/>
      <c r="P650" s="2002"/>
      <c r="Q650" s="2002"/>
      <c r="R650" s="2002"/>
      <c r="S650" s="2002"/>
      <c r="T650" s="2002"/>
      <c r="U650" s="2002"/>
      <c r="V650" s="2002"/>
      <c r="W650" s="2002"/>
      <c r="X650" s="2002"/>
      <c r="Y650" s="2002"/>
      <c r="Z650" s="2002"/>
      <c r="AA650" s="2002"/>
      <c r="AB650" s="2002"/>
      <c r="AC650" s="2002"/>
      <c r="AD650" s="570"/>
      <c r="AE650" s="570"/>
      <c r="AF650" s="1949" t="s">
        <v>1508</v>
      </c>
      <c r="AG650" s="1949"/>
      <c r="AH650" s="1949"/>
      <c r="AI650" s="1949"/>
      <c r="AJ650" s="1949"/>
      <c r="AK650" s="1949"/>
      <c r="AL650" s="1949"/>
      <c r="AN650" s="631"/>
    </row>
    <row r="651" spans="1:42" s="584" customFormat="1" ht="12.75" customHeight="1">
      <c r="B651" s="570"/>
      <c r="C651" s="573"/>
      <c r="D651" s="570"/>
      <c r="E651" s="2002"/>
      <c r="F651" s="2002"/>
      <c r="G651" s="2002"/>
      <c r="H651" s="2002"/>
      <c r="I651" s="2002"/>
      <c r="J651" s="2002"/>
      <c r="K651" s="2002"/>
      <c r="L651" s="2002"/>
      <c r="M651" s="2002"/>
      <c r="N651" s="2002"/>
      <c r="O651" s="2002"/>
      <c r="P651" s="2002"/>
      <c r="Q651" s="2002"/>
      <c r="R651" s="2002"/>
      <c r="S651" s="2002"/>
      <c r="T651" s="2002"/>
      <c r="U651" s="2002"/>
      <c r="V651" s="2002"/>
      <c r="W651" s="2002"/>
      <c r="X651" s="2002"/>
      <c r="Y651" s="2002"/>
      <c r="Z651" s="2002"/>
      <c r="AA651" s="2002"/>
      <c r="AB651" s="2002"/>
      <c r="AC651" s="2002"/>
      <c r="AD651" s="570"/>
      <c r="AE651" s="570"/>
      <c r="AF651" s="570"/>
      <c r="AG651" s="570"/>
      <c r="AH651" s="570"/>
      <c r="AI651" s="570"/>
      <c r="AJ651" s="570"/>
      <c r="AK651" s="570"/>
      <c r="AL651" s="570"/>
      <c r="AN651" s="631"/>
    </row>
    <row r="652" spans="1:42" s="584" customFormat="1" ht="15" customHeight="1">
      <c r="B652" s="570"/>
      <c r="C652" s="573"/>
      <c r="D652" s="697"/>
      <c r="E652" s="2002"/>
      <c r="F652" s="2002"/>
      <c r="G652" s="2002"/>
      <c r="H652" s="2002"/>
      <c r="I652" s="2002"/>
      <c r="J652" s="2002"/>
      <c r="K652" s="2002"/>
      <c r="L652" s="2002"/>
      <c r="M652" s="2002"/>
      <c r="N652" s="2002"/>
      <c r="O652" s="2002"/>
      <c r="P652" s="2002"/>
      <c r="Q652" s="2002"/>
      <c r="R652" s="2002"/>
      <c r="S652" s="2002"/>
      <c r="T652" s="2002"/>
      <c r="U652" s="2002"/>
      <c r="V652" s="2002"/>
      <c r="W652" s="2002"/>
      <c r="X652" s="2002"/>
      <c r="Y652" s="2002"/>
      <c r="Z652" s="2002"/>
      <c r="AA652" s="2002"/>
      <c r="AB652" s="2002"/>
      <c r="AC652" s="2002"/>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278</v>
      </c>
      <c r="E654" s="2002" t="s">
        <v>1529</v>
      </c>
      <c r="F654" s="2002"/>
      <c r="G654" s="2002"/>
      <c r="H654" s="2002"/>
      <c r="I654" s="2002"/>
      <c r="J654" s="2002"/>
      <c r="K654" s="2002"/>
      <c r="L654" s="2002"/>
      <c r="M654" s="2002"/>
      <c r="N654" s="2002"/>
      <c r="O654" s="2002"/>
      <c r="P654" s="2002"/>
      <c r="Q654" s="2002"/>
      <c r="R654" s="2002"/>
      <c r="S654" s="2002"/>
      <c r="T654" s="2002"/>
      <c r="U654" s="2002"/>
      <c r="V654" s="2002"/>
      <c r="W654" s="2002"/>
      <c r="X654" s="2002"/>
      <c r="Y654" s="2002"/>
      <c r="Z654" s="2002"/>
      <c r="AA654" s="2002"/>
      <c r="AB654" s="2002"/>
      <c r="AC654" s="2002"/>
      <c r="AD654" s="570"/>
      <c r="AE654" s="570"/>
      <c r="AF654" s="1949" t="s">
        <v>1461</v>
      </c>
      <c r="AG654" s="1949"/>
      <c r="AH654" s="1949"/>
      <c r="AI654" s="1949"/>
      <c r="AJ654" s="1949"/>
      <c r="AK654" s="1949"/>
      <c r="AL654" s="1949"/>
      <c r="AN654" s="631"/>
    </row>
    <row r="655" spans="1:42" s="584" customFormat="1" ht="12.75" customHeight="1">
      <c r="B655" s="570"/>
      <c r="C655" s="966"/>
      <c r="D655" s="570"/>
      <c r="E655" s="2002"/>
      <c r="F655" s="2002"/>
      <c r="G655" s="2002"/>
      <c r="H655" s="2002"/>
      <c r="I655" s="2002"/>
      <c r="J655" s="2002"/>
      <c r="K655" s="2002"/>
      <c r="L655" s="2002"/>
      <c r="M655" s="2002"/>
      <c r="N655" s="2002"/>
      <c r="O655" s="2002"/>
      <c r="P655" s="2002"/>
      <c r="Q655" s="2002"/>
      <c r="R655" s="2002"/>
      <c r="S655" s="2002"/>
      <c r="T655" s="2002"/>
      <c r="U655" s="2002"/>
      <c r="V655" s="2002"/>
      <c r="W655" s="2002"/>
      <c r="X655" s="2002"/>
      <c r="Y655" s="2002"/>
      <c r="Z655" s="2002"/>
      <c r="AA655" s="2002"/>
      <c r="AB655" s="2002"/>
      <c r="AC655" s="2002"/>
      <c r="AD655" s="570"/>
      <c r="AE655" s="1949"/>
      <c r="AF655" s="1949"/>
      <c r="AG655" s="1949"/>
      <c r="AH655" s="1949"/>
      <c r="AI655" s="1949"/>
      <c r="AJ655" s="1949"/>
      <c r="AK655" s="1949"/>
      <c r="AL655" s="628"/>
      <c r="AN655" s="631"/>
      <c r="AO655" s="584" t="s">
        <v>598</v>
      </c>
      <c r="AP655" s="707">
        <v>0</v>
      </c>
    </row>
    <row r="656" spans="1:42" s="584" customFormat="1" ht="12.75" customHeight="1">
      <c r="A656" s="713"/>
      <c r="B656" s="570"/>
      <c r="C656" s="570"/>
      <c r="D656" s="697"/>
      <c r="E656" s="2002"/>
      <c r="F656" s="2002"/>
      <c r="G656" s="2002"/>
      <c r="H656" s="2002"/>
      <c r="I656" s="2002"/>
      <c r="J656" s="2002"/>
      <c r="K656" s="2002"/>
      <c r="L656" s="2002"/>
      <c r="M656" s="2002"/>
      <c r="N656" s="2002"/>
      <c r="O656" s="2002"/>
      <c r="P656" s="2002"/>
      <c r="Q656" s="2002"/>
      <c r="R656" s="2002"/>
      <c r="S656" s="2002"/>
      <c r="T656" s="2002"/>
      <c r="U656" s="2002"/>
      <c r="V656" s="2002"/>
      <c r="W656" s="2002"/>
      <c r="X656" s="2002"/>
      <c r="Y656" s="2002"/>
      <c r="Z656" s="2002"/>
      <c r="AA656" s="2002"/>
      <c r="AB656" s="2002"/>
      <c r="AC656" s="2002"/>
      <c r="AD656" s="570"/>
      <c r="AE656" s="570"/>
      <c r="AF656" s="570"/>
      <c r="AG656" s="570"/>
      <c r="AH656" s="570"/>
      <c r="AI656" s="570"/>
      <c r="AJ656" s="570"/>
      <c r="AK656" s="570"/>
      <c r="AL656" s="570"/>
      <c r="AN656" s="631"/>
      <c r="AO656" s="645" t="s">
        <v>695</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516</v>
      </c>
      <c r="AP657" s="584">
        <v>2</v>
      </c>
    </row>
    <row r="658" spans="1:42" s="584" customFormat="1" ht="12.75" customHeight="1">
      <c r="A658" s="704"/>
      <c r="B658" s="570"/>
      <c r="C658" s="982"/>
      <c r="D658" s="697" t="s">
        <v>1506</v>
      </c>
      <c r="E658" s="2002" t="s">
        <v>1530</v>
      </c>
      <c r="F658" s="2002"/>
      <c r="G658" s="2002"/>
      <c r="H658" s="2002"/>
      <c r="I658" s="2002"/>
      <c r="J658" s="2002"/>
      <c r="K658" s="2002"/>
      <c r="L658" s="2002"/>
      <c r="M658" s="2002"/>
      <c r="N658" s="2002"/>
      <c r="O658" s="2002"/>
      <c r="P658" s="2002"/>
      <c r="Q658" s="2002"/>
      <c r="R658" s="2002"/>
      <c r="S658" s="2002"/>
      <c r="T658" s="2002"/>
      <c r="U658" s="2002"/>
      <c r="V658" s="2002"/>
      <c r="W658" s="2002"/>
      <c r="X658" s="2002"/>
      <c r="Y658" s="2002"/>
      <c r="Z658" s="2002"/>
      <c r="AA658" s="2002"/>
      <c r="AB658" s="2002"/>
      <c r="AC658" s="2002"/>
      <c r="AD658" s="570"/>
      <c r="AE658" s="570"/>
      <c r="AF658" s="1949" t="s">
        <v>1508</v>
      </c>
      <c r="AG658" s="1949"/>
      <c r="AH658" s="1949"/>
      <c r="AI658" s="1949"/>
      <c r="AJ658" s="1949"/>
      <c r="AK658" s="1949"/>
      <c r="AL658" s="1949"/>
      <c r="AN658" s="631"/>
    </row>
    <row r="659" spans="1:42" s="584" customFormat="1" ht="12.75" customHeight="1">
      <c r="A659" s="704"/>
      <c r="B659" s="570"/>
      <c r="C659" s="982"/>
      <c r="D659" s="697"/>
      <c r="E659" s="2002"/>
      <c r="F659" s="2002"/>
      <c r="G659" s="2002"/>
      <c r="H659" s="2002"/>
      <c r="I659" s="2002"/>
      <c r="J659" s="2002"/>
      <c r="K659" s="2002"/>
      <c r="L659" s="2002"/>
      <c r="M659" s="2002"/>
      <c r="N659" s="2002"/>
      <c r="O659" s="2002"/>
      <c r="P659" s="2002"/>
      <c r="Q659" s="2002"/>
      <c r="R659" s="2002"/>
      <c r="S659" s="2002"/>
      <c r="T659" s="2002"/>
      <c r="U659" s="2002"/>
      <c r="V659" s="2002"/>
      <c r="W659" s="2002"/>
      <c r="X659" s="2002"/>
      <c r="Y659" s="2002"/>
      <c r="Z659" s="2002"/>
      <c r="AA659" s="2002"/>
      <c r="AB659" s="2002"/>
      <c r="AC659" s="2002"/>
      <c r="AD659" s="570"/>
      <c r="AE659" s="628"/>
      <c r="AF659" s="628"/>
      <c r="AG659" s="628"/>
      <c r="AH659" s="628"/>
      <c r="AI659" s="628"/>
      <c r="AJ659" s="628"/>
      <c r="AK659" s="628"/>
      <c r="AL659" s="628"/>
      <c r="AM659" s="630"/>
      <c r="AN659" s="631"/>
    </row>
    <row r="660" spans="1:42" s="584" customFormat="1" ht="12.75" customHeight="1">
      <c r="A660" s="704"/>
      <c r="B660" s="570"/>
      <c r="C660" s="982"/>
      <c r="D660" s="697"/>
      <c r="E660" s="2002"/>
      <c r="F660" s="2002"/>
      <c r="G660" s="2002"/>
      <c r="H660" s="2002"/>
      <c r="I660" s="2002"/>
      <c r="J660" s="2002"/>
      <c r="K660" s="2002"/>
      <c r="L660" s="2002"/>
      <c r="M660" s="2002"/>
      <c r="N660" s="2002"/>
      <c r="O660" s="2002"/>
      <c r="P660" s="2002"/>
      <c r="Q660" s="2002"/>
      <c r="R660" s="2002"/>
      <c r="S660" s="2002"/>
      <c r="T660" s="2002"/>
      <c r="U660" s="2002"/>
      <c r="V660" s="2002"/>
      <c r="W660" s="2002"/>
      <c r="X660" s="2002"/>
      <c r="Y660" s="2002"/>
      <c r="Z660" s="2002"/>
      <c r="AA660" s="2002"/>
      <c r="AB660" s="2002"/>
      <c r="AC660" s="2002"/>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1507</v>
      </c>
      <c r="E662" s="2002" t="s">
        <v>1531</v>
      </c>
      <c r="F662" s="2002"/>
      <c r="G662" s="2002"/>
      <c r="H662" s="2002"/>
      <c r="I662" s="2002"/>
      <c r="J662" s="2002"/>
      <c r="K662" s="2002"/>
      <c r="L662" s="2002"/>
      <c r="M662" s="2002"/>
      <c r="N662" s="2002"/>
      <c r="O662" s="2002"/>
      <c r="P662" s="2002"/>
      <c r="Q662" s="2002"/>
      <c r="R662" s="2002"/>
      <c r="S662" s="2002"/>
      <c r="T662" s="2002"/>
      <c r="U662" s="2002"/>
      <c r="V662" s="2002"/>
      <c r="W662" s="2002"/>
      <c r="X662" s="2002"/>
      <c r="Y662" s="2002"/>
      <c r="Z662" s="2002"/>
      <c r="AA662" s="2002"/>
      <c r="AB662" s="2002"/>
      <c r="AC662" s="2002"/>
      <c r="AD662" s="570"/>
      <c r="AE662" s="570"/>
      <c r="AF662" s="1949" t="s">
        <v>1461</v>
      </c>
      <c r="AG662" s="1949"/>
      <c r="AH662" s="1949"/>
      <c r="AI662" s="1949"/>
      <c r="AJ662" s="1949"/>
      <c r="AK662" s="1949"/>
      <c r="AL662" s="1949"/>
      <c r="AM662" s="630"/>
      <c r="AN662" s="631"/>
    </row>
    <row r="663" spans="1:42" s="584" customFormat="1" ht="12.75" customHeight="1">
      <c r="B663" s="570"/>
      <c r="C663" s="966"/>
      <c r="D663" s="697"/>
      <c r="E663" s="2002"/>
      <c r="F663" s="2002"/>
      <c r="G663" s="2002"/>
      <c r="H663" s="2002"/>
      <c r="I663" s="2002"/>
      <c r="J663" s="2002"/>
      <c r="K663" s="2002"/>
      <c r="L663" s="2002"/>
      <c r="M663" s="2002"/>
      <c r="N663" s="2002"/>
      <c r="O663" s="2002"/>
      <c r="P663" s="2002"/>
      <c r="Q663" s="2002"/>
      <c r="R663" s="2002"/>
      <c r="S663" s="2002"/>
      <c r="T663" s="2002"/>
      <c r="U663" s="2002"/>
      <c r="V663" s="2002"/>
      <c r="W663" s="2002"/>
      <c r="X663" s="2002"/>
      <c r="Y663" s="2002"/>
      <c r="Z663" s="2002"/>
      <c r="AA663" s="2002"/>
      <c r="AB663" s="2002"/>
      <c r="AC663" s="2002"/>
      <c r="AD663" s="570"/>
      <c r="AE663" s="570"/>
      <c r="AF663" s="570"/>
      <c r="AG663" s="570"/>
      <c r="AH663" s="570"/>
      <c r="AI663" s="570"/>
      <c r="AJ663" s="570"/>
      <c r="AK663" s="570"/>
      <c r="AL663" s="570"/>
      <c r="AM663" s="630"/>
      <c r="AN663" s="631"/>
    </row>
    <row r="664" spans="1:42" s="584" customFormat="1" ht="12.75" customHeight="1">
      <c r="B664" s="570"/>
      <c r="C664" s="966"/>
      <c r="D664" s="697"/>
      <c r="E664" s="2002"/>
      <c r="F664" s="2002"/>
      <c r="G664" s="2002"/>
      <c r="H664" s="2002"/>
      <c r="I664" s="2002"/>
      <c r="J664" s="2002"/>
      <c r="K664" s="2002"/>
      <c r="L664" s="2002"/>
      <c r="M664" s="2002"/>
      <c r="N664" s="2002"/>
      <c r="O664" s="2002"/>
      <c r="P664" s="2002"/>
      <c r="Q664" s="2002"/>
      <c r="R664" s="2002"/>
      <c r="S664" s="2002"/>
      <c r="T664" s="2002"/>
      <c r="U664" s="2002"/>
      <c r="V664" s="2002"/>
      <c r="W664" s="2002"/>
      <c r="X664" s="2002"/>
      <c r="Y664" s="2002"/>
      <c r="Z664" s="2002"/>
      <c r="AA664" s="2002"/>
      <c r="AB664" s="2002"/>
      <c r="AC664" s="2002"/>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1518</v>
      </c>
      <c r="E666" s="2002" t="s">
        <v>1532</v>
      </c>
      <c r="F666" s="2002"/>
      <c r="G666" s="2002"/>
      <c r="H666" s="2002"/>
      <c r="I666" s="2002"/>
      <c r="J666" s="2002"/>
      <c r="K666" s="2002"/>
      <c r="L666" s="2002"/>
      <c r="M666" s="2002"/>
      <c r="N666" s="2002"/>
      <c r="O666" s="2002"/>
      <c r="P666" s="2002"/>
      <c r="Q666" s="2002"/>
      <c r="R666" s="2002"/>
      <c r="S666" s="2002"/>
      <c r="T666" s="2002"/>
      <c r="U666" s="2002"/>
      <c r="V666" s="2002"/>
      <c r="W666" s="2002"/>
      <c r="X666" s="2002"/>
      <c r="Y666" s="2002"/>
      <c r="Z666" s="2002"/>
      <c r="AA666" s="2002"/>
      <c r="AB666" s="2002"/>
      <c r="AC666" s="2002"/>
      <c r="AD666" s="570"/>
      <c r="AE666" s="570"/>
      <c r="AF666" s="1949" t="s">
        <v>1517</v>
      </c>
      <c r="AG666" s="1949"/>
      <c r="AH666" s="1949"/>
      <c r="AI666" s="1949"/>
      <c r="AJ666" s="1949"/>
      <c r="AK666" s="1949"/>
      <c r="AL666" s="1949"/>
      <c r="AM666" s="630"/>
      <c r="AN666" s="631"/>
    </row>
    <row r="667" spans="1:42" s="584" customFormat="1" ht="12.75" customHeight="1">
      <c r="A667" s="713"/>
      <c r="B667" s="570"/>
      <c r="C667" s="966"/>
      <c r="D667" s="697"/>
      <c r="E667" s="2002"/>
      <c r="F667" s="2002"/>
      <c r="G667" s="2002"/>
      <c r="H667" s="2002"/>
      <c r="I667" s="2002"/>
      <c r="J667" s="2002"/>
      <c r="K667" s="2002"/>
      <c r="L667" s="2002"/>
      <c r="M667" s="2002"/>
      <c r="N667" s="2002"/>
      <c r="O667" s="2002"/>
      <c r="P667" s="2002"/>
      <c r="Q667" s="2002"/>
      <c r="R667" s="2002"/>
      <c r="S667" s="2002"/>
      <c r="T667" s="2002"/>
      <c r="U667" s="2002"/>
      <c r="V667" s="2002"/>
      <c r="W667" s="2002"/>
      <c r="X667" s="2002"/>
      <c r="Y667" s="2002"/>
      <c r="Z667" s="2002"/>
      <c r="AA667" s="2002"/>
      <c r="AB667" s="2002"/>
      <c r="AC667" s="2002"/>
      <c r="AD667" s="570"/>
      <c r="AE667" s="570"/>
      <c r="AF667" s="628"/>
      <c r="AG667" s="628"/>
      <c r="AH667" s="628"/>
      <c r="AI667" s="628"/>
      <c r="AJ667" s="628"/>
      <c r="AK667" s="628"/>
      <c r="AL667" s="628"/>
      <c r="AM667" s="630"/>
      <c r="AN667" s="631"/>
    </row>
    <row r="668" spans="1:42" s="584" customFormat="1" ht="12.75" customHeight="1">
      <c r="A668" s="713"/>
      <c r="B668" s="570"/>
      <c r="C668" s="966"/>
      <c r="D668" s="697"/>
      <c r="E668" s="2002"/>
      <c r="F668" s="2002"/>
      <c r="G668" s="2002"/>
      <c r="H668" s="2002"/>
      <c r="I668" s="2002"/>
      <c r="J668" s="2002"/>
      <c r="K668" s="2002"/>
      <c r="L668" s="2002"/>
      <c r="M668" s="2002"/>
      <c r="N668" s="2002"/>
      <c r="O668" s="2002"/>
      <c r="P668" s="2002"/>
      <c r="Q668" s="2002"/>
      <c r="R668" s="2002"/>
      <c r="S668" s="2002"/>
      <c r="T668" s="2002"/>
      <c r="U668" s="2002"/>
      <c r="V668" s="2002"/>
      <c r="W668" s="2002"/>
      <c r="X668" s="2002"/>
      <c r="Y668" s="2002"/>
      <c r="Z668" s="2002"/>
      <c r="AA668" s="2002"/>
      <c r="AB668" s="2002"/>
      <c r="AC668" s="2002"/>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598</v>
      </c>
      <c r="AP669" s="671">
        <v>0</v>
      </c>
    </row>
    <row r="670" spans="1:42" s="584" customFormat="1" ht="12.75" customHeight="1">
      <c r="A670" s="713"/>
      <c r="B670" s="570"/>
      <c r="C670" s="966"/>
      <c r="D670" s="697" t="s">
        <v>1520</v>
      </c>
      <c r="E670" s="2002" t="s">
        <v>1533</v>
      </c>
      <c r="F670" s="2002"/>
      <c r="G670" s="2002"/>
      <c r="H670" s="2002"/>
      <c r="I670" s="2002"/>
      <c r="J670" s="2002"/>
      <c r="K670" s="2002"/>
      <c r="L670" s="2002"/>
      <c r="M670" s="2002"/>
      <c r="N670" s="2002"/>
      <c r="O670" s="2002"/>
      <c r="P670" s="2002"/>
      <c r="Q670" s="2002"/>
      <c r="R670" s="2002"/>
      <c r="S670" s="2002"/>
      <c r="T670" s="2002"/>
      <c r="U670" s="2002"/>
      <c r="V670" s="2002"/>
      <c r="W670" s="2002"/>
      <c r="X670" s="2002"/>
      <c r="Y670" s="2002"/>
      <c r="Z670" s="2002"/>
      <c r="AA670" s="2002"/>
      <c r="AB670" s="2002"/>
      <c r="AC670" s="2002"/>
      <c r="AD670" s="570"/>
      <c r="AE670" s="570"/>
      <c r="AF670" s="1949" t="s">
        <v>1534</v>
      </c>
      <c r="AG670" s="1949"/>
      <c r="AH670" s="1949"/>
      <c r="AI670" s="1949"/>
      <c r="AJ670" s="1949"/>
      <c r="AK670" s="1949"/>
      <c r="AL670" s="1949"/>
      <c r="AM670" s="630"/>
      <c r="AN670" s="631"/>
      <c r="AO670" s="645" t="s">
        <v>695</v>
      </c>
      <c r="AP670" s="584">
        <v>3</v>
      </c>
    </row>
    <row r="671" spans="1:42" s="584" customFormat="1" ht="12.75" customHeight="1">
      <c r="A671" s="713"/>
      <c r="B671" s="570"/>
      <c r="C671" s="966"/>
      <c r="D671" s="697"/>
      <c r="E671" s="2002"/>
      <c r="F671" s="2002"/>
      <c r="G671" s="2002"/>
      <c r="H671" s="2002"/>
      <c r="I671" s="2002"/>
      <c r="J671" s="2002"/>
      <c r="K671" s="2002"/>
      <c r="L671" s="2002"/>
      <c r="M671" s="2002"/>
      <c r="N671" s="2002"/>
      <c r="O671" s="2002"/>
      <c r="P671" s="2002"/>
      <c r="Q671" s="2002"/>
      <c r="R671" s="2002"/>
      <c r="S671" s="2002"/>
      <c r="T671" s="2002"/>
      <c r="U671" s="2002"/>
      <c r="V671" s="2002"/>
      <c r="W671" s="2002"/>
      <c r="X671" s="2002"/>
      <c r="Y671" s="2002"/>
      <c r="Z671" s="2002"/>
      <c r="AA671" s="2002"/>
      <c r="AB671" s="2002"/>
      <c r="AC671" s="2002"/>
      <c r="AD671" s="570"/>
      <c r="AE671" s="570"/>
      <c r="AF671" s="628"/>
      <c r="AG671" s="628"/>
      <c r="AH671" s="628"/>
      <c r="AI671" s="628"/>
      <c r="AJ671" s="628"/>
      <c r="AK671" s="628"/>
      <c r="AL671" s="628"/>
      <c r="AM671" s="630"/>
      <c r="AN671" s="631"/>
      <c r="AO671" s="645" t="s">
        <v>516</v>
      </c>
      <c r="AP671" s="584">
        <v>2</v>
      </c>
    </row>
    <row r="672" spans="1:42" s="584" customFormat="1" ht="12.75" customHeight="1">
      <c r="A672" s="713"/>
      <c r="B672" s="570"/>
      <c r="C672" s="966"/>
      <c r="D672" s="697"/>
      <c r="E672" s="2002"/>
      <c r="F672" s="2002"/>
      <c r="G672" s="2002"/>
      <c r="H672" s="2002"/>
      <c r="I672" s="2002"/>
      <c r="J672" s="2002"/>
      <c r="K672" s="2002"/>
      <c r="L672" s="2002"/>
      <c r="M672" s="2002"/>
      <c r="N672" s="2002"/>
      <c r="O672" s="2002"/>
      <c r="P672" s="2002"/>
      <c r="Q672" s="2002"/>
      <c r="R672" s="2002"/>
      <c r="S672" s="2002"/>
      <c r="T672" s="2002"/>
      <c r="U672" s="2002"/>
      <c r="V672" s="2002"/>
      <c r="W672" s="2002"/>
      <c r="X672" s="2002"/>
      <c r="Y672" s="2002"/>
      <c r="Z672" s="2002"/>
      <c r="AA672" s="2002"/>
      <c r="AB672" s="2002"/>
      <c r="AC672" s="2002"/>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1509</v>
      </c>
      <c r="E674" s="971"/>
      <c r="F674" s="971"/>
      <c r="G674" s="971"/>
      <c r="H674" s="2031" t="s">
        <v>1506</v>
      </c>
      <c r="I674" s="2031"/>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1535</v>
      </c>
      <c r="AJ676" s="1982">
        <f>VLOOKUP($H$674,$AO$622:$AP$629,2,FALSE)</f>
        <v>4</v>
      </c>
      <c r="AK676" s="1984"/>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2453</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2545</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2546</v>
      </c>
      <c r="AX679" s="1196">
        <f>Application!G753</f>
        <v>123</v>
      </c>
    </row>
    <row r="680" spans="1:51" s="584" customFormat="1" ht="12.75" customHeight="1">
      <c r="A680" s="713"/>
      <c r="B680" s="570"/>
      <c r="C680" s="983"/>
      <c r="D680" s="697" t="s">
        <v>695</v>
      </c>
      <c r="E680" s="2038" t="s">
        <v>2552</v>
      </c>
      <c r="F680" s="2038"/>
      <c r="G680" s="2038"/>
      <c r="H680" s="2038"/>
      <c r="I680" s="2038"/>
      <c r="J680" s="2038"/>
      <c r="K680" s="2038"/>
      <c r="L680" s="2038"/>
      <c r="M680" s="2038"/>
      <c r="N680" s="2038"/>
      <c r="O680" s="2038"/>
      <c r="P680" s="2038"/>
      <c r="Q680" s="2038"/>
      <c r="R680" s="2038"/>
      <c r="S680" s="2038"/>
      <c r="T680" s="2038"/>
      <c r="U680" s="2038"/>
      <c r="V680" s="2038"/>
      <c r="W680" s="2038"/>
      <c r="X680" s="2038"/>
      <c r="Y680" s="2038"/>
      <c r="Z680" s="2038"/>
      <c r="AA680" s="2038"/>
      <c r="AB680" s="2038"/>
      <c r="AC680" s="570"/>
      <c r="AD680" s="570"/>
      <c r="AE680" s="570"/>
      <c r="AF680" s="1949" t="s">
        <v>1461</v>
      </c>
      <c r="AG680" s="1949"/>
      <c r="AH680" s="1949"/>
      <c r="AI680" s="1949"/>
      <c r="AJ680" s="1949"/>
      <c r="AK680" s="1949"/>
      <c r="AL680" s="1949"/>
      <c r="AN680" s="631"/>
      <c r="AW680" s="22" t="s">
        <v>2547</v>
      </c>
      <c r="AX680" s="584">
        <f>Application!CC632</f>
        <v>31</v>
      </c>
    </row>
    <row r="681" spans="1:51" s="584" customFormat="1" ht="12.75" customHeight="1">
      <c r="A681" s="713"/>
      <c r="B681" s="570"/>
      <c r="C681" s="983"/>
      <c r="D681" s="697"/>
      <c r="E681" s="2038"/>
      <c r="F681" s="2038"/>
      <c r="G681" s="2038"/>
      <c r="H681" s="2038"/>
      <c r="I681" s="2038"/>
      <c r="J681" s="2038"/>
      <c r="K681" s="2038"/>
      <c r="L681" s="2038"/>
      <c r="M681" s="2038"/>
      <c r="N681" s="2038"/>
      <c r="O681" s="2038"/>
      <c r="P681" s="2038"/>
      <c r="Q681" s="2038"/>
      <c r="R681" s="2038"/>
      <c r="S681" s="2038"/>
      <c r="T681" s="2038"/>
      <c r="U681" s="2038"/>
      <c r="V681" s="2038"/>
      <c r="W681" s="2038"/>
      <c r="X681" s="2038"/>
      <c r="Y681" s="2038"/>
      <c r="Z681" s="2038"/>
      <c r="AA681" s="2038"/>
      <c r="AB681" s="2038"/>
      <c r="AC681" s="570"/>
      <c r="AD681" s="570"/>
      <c r="AE681" s="570"/>
      <c r="AF681" s="570"/>
      <c r="AG681" s="570"/>
      <c r="AH681" s="570"/>
      <c r="AI681" s="570"/>
      <c r="AJ681" s="570"/>
      <c r="AK681" s="570"/>
      <c r="AL681" s="570"/>
      <c r="AN681" s="631"/>
      <c r="AW681" s="22" t="s">
        <v>2548</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2549</v>
      </c>
      <c r="AX682" s="584">
        <f>Application!CM632</f>
        <v>0</v>
      </c>
    </row>
    <row r="683" spans="1:51" s="584" customFormat="1" ht="12.75" customHeight="1">
      <c r="B683" s="570"/>
      <c r="C683" s="966"/>
      <c r="D683" s="697" t="s">
        <v>516</v>
      </c>
      <c r="E683" s="2002" t="s">
        <v>2451</v>
      </c>
      <c r="F683" s="2002"/>
      <c r="G683" s="2002"/>
      <c r="H683" s="2002"/>
      <c r="I683" s="2002"/>
      <c r="J683" s="2002"/>
      <c r="K683" s="2002"/>
      <c r="L683" s="2002"/>
      <c r="M683" s="2002"/>
      <c r="N683" s="2002"/>
      <c r="O683" s="2002"/>
      <c r="P683" s="2002"/>
      <c r="Q683" s="2002"/>
      <c r="R683" s="2002"/>
      <c r="S683" s="2002"/>
      <c r="T683" s="2002"/>
      <c r="U683" s="2002"/>
      <c r="V683" s="2002"/>
      <c r="W683" s="2002"/>
      <c r="X683" s="2002"/>
      <c r="Y683" s="2002"/>
      <c r="Z683" s="2002"/>
      <c r="AA683" s="2002"/>
      <c r="AB683" s="2002"/>
      <c r="AC683" s="570"/>
      <c r="AD683" s="570"/>
      <c r="AE683" s="570"/>
      <c r="AF683" s="1949" t="s">
        <v>1461</v>
      </c>
      <c r="AG683" s="1949"/>
      <c r="AH683" s="1949"/>
      <c r="AI683" s="1949"/>
      <c r="AJ683" s="1949"/>
      <c r="AK683" s="1949"/>
      <c r="AL683" s="1949"/>
      <c r="AN683" s="631"/>
      <c r="AW683" s="22" t="s">
        <v>2550</v>
      </c>
      <c r="AX683" s="584">
        <f>AX680+AX681+AX682</f>
        <v>31</v>
      </c>
    </row>
    <row r="684" spans="1:51" s="584" customFormat="1" ht="12.75" customHeight="1">
      <c r="B684" s="570"/>
      <c r="C684" s="975"/>
      <c r="D684" s="697"/>
      <c r="E684" s="2002"/>
      <c r="F684" s="2002"/>
      <c r="G684" s="2002"/>
      <c r="H684" s="2002"/>
      <c r="I684" s="2002"/>
      <c r="J684" s="2002"/>
      <c r="K684" s="2002"/>
      <c r="L684" s="2002"/>
      <c r="M684" s="2002"/>
      <c r="N684" s="2002"/>
      <c r="O684" s="2002"/>
      <c r="P684" s="2002"/>
      <c r="Q684" s="2002"/>
      <c r="R684" s="2002"/>
      <c r="S684" s="2002"/>
      <c r="T684" s="2002"/>
      <c r="U684" s="2002"/>
      <c r="V684" s="2002"/>
      <c r="W684" s="2002"/>
      <c r="X684" s="2002"/>
      <c r="Y684" s="2002"/>
      <c r="Z684" s="2002"/>
      <c r="AA684" s="2002"/>
      <c r="AB684" s="2002"/>
      <c r="AC684" s="570"/>
      <c r="AD684" s="570"/>
      <c r="AE684" s="650"/>
      <c r="AF684" s="570"/>
      <c r="AG684" s="570"/>
      <c r="AH684" s="570"/>
      <c r="AI684" s="570"/>
      <c r="AJ684" s="570"/>
      <c r="AK684" s="570"/>
      <c r="AL684" s="570"/>
      <c r="AN684" s="631"/>
      <c r="AO684" s="2037" t="b">
        <f>IF(Application!D211="Special Needs",IF(AY684&gt;=0.25,TRUE,FALSE),IF(AX684&gt;=0.25,TRUE,FALSE))</f>
        <v>1</v>
      </c>
      <c r="AP684" s="2037"/>
      <c r="AW684" s="22" t="s">
        <v>2551</v>
      </c>
      <c r="AX684" s="584">
        <f>IFERROR(AX683/AX679,0)</f>
        <v>0.25203252032520324</v>
      </c>
      <c r="AY684" s="584">
        <f>IFERROR(AX683/(AX679-AX678),0)</f>
        <v>0.25203252032520324</v>
      </c>
    </row>
    <row r="685" spans="1:51" s="584" customFormat="1" ht="12.75" customHeight="1">
      <c r="B685" s="570"/>
      <c r="C685" s="975"/>
      <c r="E685" s="2002"/>
      <c r="F685" s="2002"/>
      <c r="G685" s="2002"/>
      <c r="H685" s="2002"/>
      <c r="I685" s="2002"/>
      <c r="J685" s="2002"/>
      <c r="K685" s="2002"/>
      <c r="L685" s="2002"/>
      <c r="M685" s="2002"/>
      <c r="N685" s="2002"/>
      <c r="O685" s="2002"/>
      <c r="P685" s="2002"/>
      <c r="Q685" s="2002"/>
      <c r="R685" s="2002"/>
      <c r="S685" s="2002"/>
      <c r="T685" s="2002"/>
      <c r="U685" s="2002"/>
      <c r="V685" s="2002"/>
      <c r="W685" s="2002"/>
      <c r="X685" s="2002"/>
      <c r="Y685" s="2002"/>
      <c r="Z685" s="2002"/>
      <c r="AA685" s="2002"/>
      <c r="AB685" s="2002"/>
      <c r="AC685" s="570"/>
      <c r="AD685" s="570"/>
      <c r="AE685" s="650"/>
      <c r="AF685" s="650"/>
      <c r="AG685" s="650"/>
      <c r="AH685" s="650"/>
      <c r="AI685" s="650"/>
      <c r="AJ685" s="650"/>
      <c r="AK685" s="650"/>
      <c r="AL685" s="650"/>
      <c r="AN685" s="631"/>
      <c r="AW685" s="14"/>
    </row>
    <row r="686" spans="1:51" s="584" customFormat="1" ht="28.5" customHeight="1">
      <c r="B686" s="570"/>
      <c r="C686" s="975"/>
      <c r="D686" s="570"/>
      <c r="E686" s="2002"/>
      <c r="F686" s="2002"/>
      <c r="G686" s="2002"/>
      <c r="H686" s="2002"/>
      <c r="I686" s="2002"/>
      <c r="J686" s="2002"/>
      <c r="K686" s="2002"/>
      <c r="L686" s="2002"/>
      <c r="M686" s="2002"/>
      <c r="N686" s="2002"/>
      <c r="O686" s="2002"/>
      <c r="P686" s="2002"/>
      <c r="Q686" s="2002"/>
      <c r="R686" s="2002"/>
      <c r="S686" s="2002"/>
      <c r="T686" s="2002"/>
      <c r="U686" s="2002"/>
      <c r="V686" s="2002"/>
      <c r="W686" s="2002"/>
      <c r="X686" s="2002"/>
      <c r="Y686" s="2002"/>
      <c r="Z686" s="2002"/>
      <c r="AA686" s="2002"/>
      <c r="AB686" s="2002"/>
      <c r="AC686" s="570"/>
      <c r="AD686" s="570"/>
      <c r="AE686" s="650"/>
      <c r="AF686" s="650"/>
      <c r="AG686" s="650"/>
      <c r="AH686" s="650"/>
      <c r="AI686" s="650"/>
      <c r="AJ686" s="650"/>
      <c r="AK686" s="650"/>
      <c r="AL686" s="650"/>
      <c r="AN686" s="631"/>
      <c r="AO686" s="584" t="s">
        <v>598</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695</v>
      </c>
      <c r="AP687" s="584">
        <v>2</v>
      </c>
    </row>
    <row r="688" spans="1:51" s="584" customFormat="1" ht="12.75" customHeight="1">
      <c r="B688" s="570"/>
      <c r="C688" s="966"/>
      <c r="D688" s="697" t="s">
        <v>278</v>
      </c>
      <c r="E688" s="2002" t="s">
        <v>2452</v>
      </c>
      <c r="F688" s="2002"/>
      <c r="G688" s="2002"/>
      <c r="H688" s="2002"/>
      <c r="I688" s="2002"/>
      <c r="J688" s="2002"/>
      <c r="K688" s="2002"/>
      <c r="L688" s="2002"/>
      <c r="M688" s="2002"/>
      <c r="N688" s="2002"/>
      <c r="O688" s="2002"/>
      <c r="P688" s="2002"/>
      <c r="Q688" s="2002"/>
      <c r="R688" s="2002"/>
      <c r="S688" s="2002"/>
      <c r="T688" s="2002"/>
      <c r="U688" s="2002"/>
      <c r="V688" s="2002"/>
      <c r="W688" s="2002"/>
      <c r="X688" s="2002"/>
      <c r="Y688" s="2002"/>
      <c r="Z688" s="2002"/>
      <c r="AA688" s="2002"/>
      <c r="AB688" s="2002"/>
      <c r="AC688" s="570"/>
      <c r="AD688" s="570"/>
      <c r="AE688" s="570"/>
      <c r="AF688" s="1949" t="s">
        <v>1517</v>
      </c>
      <c r="AG688" s="1949"/>
      <c r="AH688" s="1949"/>
      <c r="AI688" s="1949"/>
      <c r="AJ688" s="1949"/>
      <c r="AK688" s="1949"/>
      <c r="AL688" s="1949"/>
      <c r="AN688" s="631"/>
      <c r="AO688" s="645" t="s">
        <v>516</v>
      </c>
      <c r="AP688" s="584">
        <v>1</v>
      </c>
    </row>
    <row r="689" spans="1:42" s="584" customFormat="1" ht="12" customHeight="1">
      <c r="B689" s="570"/>
      <c r="C689" s="966"/>
      <c r="E689" s="2002"/>
      <c r="F689" s="2002"/>
      <c r="G689" s="2002"/>
      <c r="H689" s="2002"/>
      <c r="I689" s="2002"/>
      <c r="J689" s="2002"/>
      <c r="K689" s="2002"/>
      <c r="L689" s="2002"/>
      <c r="M689" s="2002"/>
      <c r="N689" s="2002"/>
      <c r="O689" s="2002"/>
      <c r="P689" s="2002"/>
      <c r="Q689" s="2002"/>
      <c r="R689" s="2002"/>
      <c r="S689" s="2002"/>
      <c r="T689" s="2002"/>
      <c r="U689" s="2002"/>
      <c r="V689" s="2002"/>
      <c r="W689" s="2002"/>
      <c r="X689" s="2002"/>
      <c r="Y689" s="2002"/>
      <c r="Z689" s="2002"/>
      <c r="AA689" s="2002"/>
      <c r="AB689" s="2002"/>
      <c r="AC689" s="570"/>
      <c r="AD689" s="570"/>
      <c r="AE689" s="650"/>
      <c r="AF689" s="570"/>
      <c r="AG689" s="570"/>
      <c r="AH689" s="570"/>
      <c r="AI689" s="570"/>
      <c r="AJ689" s="570"/>
      <c r="AK689" s="570"/>
      <c r="AL689" s="570"/>
      <c r="AN689" s="631"/>
    </row>
    <row r="690" spans="1:42" s="584" customFormat="1" ht="12" customHeight="1">
      <c r="B690" s="570"/>
      <c r="C690" s="966"/>
      <c r="D690" s="570"/>
      <c r="E690" s="2002"/>
      <c r="F690" s="2002"/>
      <c r="G690" s="2002"/>
      <c r="H690" s="2002"/>
      <c r="I690" s="2002"/>
      <c r="J690" s="2002"/>
      <c r="K690" s="2002"/>
      <c r="L690" s="2002"/>
      <c r="M690" s="2002"/>
      <c r="N690" s="2002"/>
      <c r="O690" s="2002"/>
      <c r="P690" s="2002"/>
      <c r="Q690" s="2002"/>
      <c r="R690" s="2002"/>
      <c r="S690" s="2002"/>
      <c r="T690" s="2002"/>
      <c r="U690" s="2002"/>
      <c r="V690" s="2002"/>
      <c r="W690" s="2002"/>
      <c r="X690" s="2002"/>
      <c r="Y690" s="2002"/>
      <c r="Z690" s="2002"/>
      <c r="AA690" s="2002"/>
      <c r="AB690" s="2002"/>
      <c r="AC690" s="570"/>
      <c r="AD690" s="570"/>
      <c r="AE690" s="650"/>
      <c r="AF690" s="570"/>
      <c r="AG690" s="570"/>
      <c r="AH690" s="570"/>
      <c r="AI690" s="570"/>
      <c r="AJ690" s="570"/>
      <c r="AK690" s="570"/>
      <c r="AL690" s="570"/>
      <c r="AN690" s="631"/>
    </row>
    <row r="691" spans="1:42" s="584" customFormat="1" ht="12" customHeight="1">
      <c r="B691" s="570"/>
      <c r="C691" s="966"/>
      <c r="D691" s="570"/>
      <c r="E691" s="2002"/>
      <c r="F691" s="2002"/>
      <c r="G691" s="2002"/>
      <c r="H691" s="2002"/>
      <c r="I691" s="2002"/>
      <c r="J691" s="2002"/>
      <c r="K691" s="2002"/>
      <c r="L691" s="2002"/>
      <c r="M691" s="2002"/>
      <c r="N691" s="2002"/>
      <c r="O691" s="2002"/>
      <c r="P691" s="2002"/>
      <c r="Q691" s="2002"/>
      <c r="R691" s="2002"/>
      <c r="S691" s="2002"/>
      <c r="T691" s="2002"/>
      <c r="U691" s="2002"/>
      <c r="V691" s="2002"/>
      <c r="W691" s="2002"/>
      <c r="X691" s="2002"/>
      <c r="Y691" s="2002"/>
      <c r="Z691" s="2002"/>
      <c r="AA691" s="2002"/>
      <c r="AB691" s="2002"/>
      <c r="AC691" s="570"/>
      <c r="AD691" s="570"/>
      <c r="AE691" s="650"/>
      <c r="AF691" s="570"/>
      <c r="AG691" s="570"/>
      <c r="AH691" s="570"/>
      <c r="AI691" s="570"/>
      <c r="AJ691" s="570"/>
      <c r="AK691" s="570"/>
      <c r="AL691" s="570"/>
      <c r="AN691" s="631"/>
    </row>
    <row r="692" spans="1:42" s="604" customFormat="1" ht="12.95" customHeight="1">
      <c r="A692" s="584"/>
      <c r="B692" s="570"/>
      <c r="C692" s="966"/>
      <c r="D692" s="570"/>
      <c r="E692" s="2002"/>
      <c r="F692" s="2002"/>
      <c r="G692" s="2002"/>
      <c r="H692" s="2002"/>
      <c r="I692" s="2002"/>
      <c r="J692" s="2002"/>
      <c r="K692" s="2002"/>
      <c r="L692" s="2002"/>
      <c r="M692" s="2002"/>
      <c r="N692" s="2002"/>
      <c r="O692" s="2002"/>
      <c r="P692" s="2002"/>
      <c r="Q692" s="2002"/>
      <c r="R692" s="2002"/>
      <c r="S692" s="2002"/>
      <c r="T692" s="2002"/>
      <c r="U692" s="2002"/>
      <c r="V692" s="2002"/>
      <c r="W692" s="2002"/>
      <c r="X692" s="2002"/>
      <c r="Y692" s="2002"/>
      <c r="Z692" s="2002"/>
      <c r="AA692" s="2002"/>
      <c r="AB692" s="2002"/>
      <c r="AC692" s="570"/>
      <c r="AD692" s="570"/>
      <c r="AE692" s="650"/>
      <c r="AF692" s="650"/>
      <c r="AG692" s="650"/>
      <c r="AH692" s="650"/>
      <c r="AI692" s="650"/>
      <c r="AJ692" s="570"/>
      <c r="AK692" s="570"/>
      <c r="AL692" s="570"/>
      <c r="AM692" s="584"/>
      <c r="AN692" s="718"/>
      <c r="AO692" s="584" t="s">
        <v>598</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695</v>
      </c>
      <c r="AP693" s="584">
        <v>3</v>
      </c>
    </row>
    <row r="694" spans="1:42" s="604" customFormat="1" ht="12.75" customHeight="1">
      <c r="A694" s="584"/>
      <c r="B694" s="570"/>
      <c r="C694" s="966"/>
      <c r="D694" s="570"/>
      <c r="E694" s="2002" t="s">
        <v>1881</v>
      </c>
      <c r="F694" s="2002"/>
      <c r="G694" s="2002"/>
      <c r="H694" s="2002"/>
      <c r="I694" s="2002"/>
      <c r="J694" s="2002"/>
      <c r="K694" s="2002"/>
      <c r="L694" s="2002"/>
      <c r="M694" s="2002"/>
      <c r="N694" s="2002"/>
      <c r="O694" s="2002"/>
      <c r="P694" s="2002"/>
      <c r="Q694" s="2002"/>
      <c r="R694" s="2002"/>
      <c r="S694" s="2002"/>
      <c r="T694" s="2002"/>
      <c r="U694" s="2002"/>
      <c r="V694" s="2002"/>
      <c r="W694" s="2002"/>
      <c r="X694" s="2002"/>
      <c r="Y694" s="2002"/>
      <c r="Z694" s="2002"/>
      <c r="AA694" s="2002"/>
      <c r="AB694" s="2002"/>
      <c r="AC694" s="570"/>
      <c r="AD694" s="570"/>
      <c r="AE694" s="650"/>
      <c r="AF694" s="650"/>
      <c r="AG694" s="650"/>
      <c r="AH694" s="650"/>
      <c r="AI694" s="650"/>
      <c r="AJ694" s="570"/>
      <c r="AK694" s="570"/>
      <c r="AL694" s="570"/>
      <c r="AM694" s="584"/>
      <c r="AN694" s="718"/>
      <c r="AO694" s="645" t="s">
        <v>516</v>
      </c>
      <c r="AP694" s="584">
        <f>3*$AO$684</f>
        <v>3</v>
      </c>
    </row>
    <row r="695" spans="1:42" s="604" customFormat="1" ht="12.75" customHeight="1">
      <c r="A695" s="584"/>
      <c r="B695" s="570"/>
      <c r="C695" s="966"/>
      <c r="D695" s="570"/>
      <c r="E695" s="2002"/>
      <c r="F695" s="2002"/>
      <c r="G695" s="2002"/>
      <c r="H695" s="2002"/>
      <c r="I695" s="2002"/>
      <c r="J695" s="2002"/>
      <c r="K695" s="2002"/>
      <c r="L695" s="2002"/>
      <c r="M695" s="2002"/>
      <c r="N695" s="2002"/>
      <c r="O695" s="2002"/>
      <c r="P695" s="2002"/>
      <c r="Q695" s="2002"/>
      <c r="R695" s="2002"/>
      <c r="S695" s="2002"/>
      <c r="T695" s="2002"/>
      <c r="U695" s="2002"/>
      <c r="V695" s="2002"/>
      <c r="W695" s="2002"/>
      <c r="X695" s="2002"/>
      <c r="Y695" s="2002"/>
      <c r="Z695" s="2002"/>
      <c r="AA695" s="2002"/>
      <c r="AB695" s="2002"/>
      <c r="AC695" s="570"/>
      <c r="AD695" s="570"/>
      <c r="AE695" s="650"/>
      <c r="AF695" s="650"/>
      <c r="AG695" s="650"/>
      <c r="AH695" s="650"/>
      <c r="AI695" s="650"/>
      <c r="AJ695" s="570"/>
      <c r="AK695" s="570"/>
      <c r="AL695" s="570"/>
      <c r="AM695" s="584"/>
      <c r="AN695" s="718"/>
      <c r="AO695" s="645" t="s">
        <v>278</v>
      </c>
      <c r="AP695" s="584">
        <f>2*$AO$684</f>
        <v>2</v>
      </c>
    </row>
    <row r="696" spans="1:42" s="604" customFormat="1" ht="12.75" customHeight="1">
      <c r="A696" s="584"/>
      <c r="B696" s="570"/>
      <c r="C696" s="966"/>
      <c r="D696" s="570"/>
      <c r="E696" s="2002"/>
      <c r="F696" s="2002"/>
      <c r="G696" s="2002"/>
      <c r="H696" s="2002"/>
      <c r="I696" s="2002"/>
      <c r="J696" s="2002"/>
      <c r="K696" s="2002"/>
      <c r="L696" s="2002"/>
      <c r="M696" s="2002"/>
      <c r="N696" s="2002"/>
      <c r="O696" s="2002"/>
      <c r="P696" s="2002"/>
      <c r="Q696" s="2002"/>
      <c r="R696" s="2002"/>
      <c r="S696" s="2002"/>
      <c r="T696" s="2002"/>
      <c r="U696" s="2002"/>
      <c r="V696" s="2002"/>
      <c r="W696" s="2002"/>
      <c r="X696" s="2002"/>
      <c r="Y696" s="2002"/>
      <c r="Z696" s="2002"/>
      <c r="AA696" s="2002"/>
      <c r="AB696" s="2002"/>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1509</v>
      </c>
      <c r="E698" s="971"/>
      <c r="F698" s="971"/>
      <c r="G698" s="971"/>
      <c r="H698" s="2031" t="s">
        <v>516</v>
      </c>
      <c r="I698" s="2031"/>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1536</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1514</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2454</v>
      </c>
      <c r="AJ700" s="1982">
        <f>VLOOKUP($H$698,$AO$692:$AP$694,2,FALSE)</f>
        <v>3</v>
      </c>
      <c r="AK700" s="1984"/>
      <c r="AL700" s="629"/>
      <c r="AM700" s="584"/>
      <c r="AN700" s="718"/>
      <c r="AP700" s="604" t="s">
        <v>1521</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1537</v>
      </c>
    </row>
    <row r="702" spans="1:42" s="604" customFormat="1" ht="12.75" customHeight="1">
      <c r="A702" s="584"/>
      <c r="B702" s="570"/>
      <c r="C702" s="573" t="s">
        <v>1538</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1539</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1540</v>
      </c>
    </row>
    <row r="704" spans="1:42" s="604" customFormat="1" ht="12.75" customHeight="1">
      <c r="A704" s="671"/>
      <c r="B704" s="570"/>
      <c r="C704" s="966"/>
      <c r="D704" s="697" t="s">
        <v>695</v>
      </c>
      <c r="E704" s="2039" t="s">
        <v>1883</v>
      </c>
      <c r="F704" s="2039"/>
      <c r="G704" s="2039"/>
      <c r="H704" s="2039"/>
      <c r="I704" s="2039"/>
      <c r="J704" s="2039"/>
      <c r="K704" s="2039"/>
      <c r="L704" s="2039"/>
      <c r="M704" s="2039"/>
      <c r="N704" s="2039"/>
      <c r="O704" s="2039"/>
      <c r="P704" s="2039"/>
      <c r="Q704" s="2039"/>
      <c r="R704" s="2039"/>
      <c r="S704" s="2039"/>
      <c r="T704" s="2039"/>
      <c r="U704" s="2039"/>
      <c r="V704" s="2039"/>
      <c r="W704" s="2039"/>
      <c r="X704" s="2039"/>
      <c r="Y704" s="2039"/>
      <c r="Z704" s="2039"/>
      <c r="AA704" s="2039"/>
      <c r="AB704" s="2039"/>
      <c r="AC704" s="570"/>
      <c r="AD704" s="570"/>
      <c r="AE704" s="570"/>
      <c r="AF704" s="1949" t="s">
        <v>1461</v>
      </c>
      <c r="AG704" s="1949"/>
      <c r="AH704" s="1949"/>
      <c r="AI704" s="1949"/>
      <c r="AJ704" s="1949"/>
      <c r="AK704" s="1949"/>
      <c r="AL704" s="1949"/>
      <c r="AM704" s="584"/>
      <c r="AN704" s="718"/>
      <c r="AP704" s="604" t="s">
        <v>1541</v>
      </c>
    </row>
    <row r="705" spans="1:52" s="604" customFormat="1" ht="11.85" customHeight="1">
      <c r="A705" s="584"/>
      <c r="B705" s="570"/>
      <c r="C705" s="968"/>
      <c r="D705" s="697"/>
      <c r="E705" s="2039"/>
      <c r="F705" s="2039"/>
      <c r="G705" s="2039"/>
      <c r="H705" s="2039"/>
      <c r="I705" s="2039"/>
      <c r="J705" s="2039"/>
      <c r="K705" s="2039"/>
      <c r="L705" s="2039"/>
      <c r="M705" s="2039"/>
      <c r="N705" s="2039"/>
      <c r="O705" s="2039"/>
      <c r="P705" s="2039"/>
      <c r="Q705" s="2039"/>
      <c r="R705" s="2039"/>
      <c r="S705" s="2039"/>
      <c r="T705" s="2039"/>
      <c r="U705" s="2039"/>
      <c r="V705" s="2039"/>
      <c r="W705" s="2039"/>
      <c r="X705" s="2039"/>
      <c r="Y705" s="2039"/>
      <c r="Z705" s="2039"/>
      <c r="AA705" s="2039"/>
      <c r="AB705" s="2039"/>
      <c r="AC705" s="570"/>
      <c r="AD705" s="570"/>
      <c r="AE705" s="570"/>
      <c r="AF705" s="570"/>
      <c r="AG705" s="570"/>
      <c r="AH705" s="570"/>
      <c r="AI705" s="570"/>
      <c r="AJ705" s="570"/>
      <c r="AK705" s="570"/>
      <c r="AL705" s="570"/>
      <c r="AM705" s="584"/>
      <c r="AN705" s="718"/>
      <c r="AP705" s="604" t="s">
        <v>1542</v>
      </c>
    </row>
    <row r="706" spans="1:52" s="604" customFormat="1" ht="14.1" customHeight="1">
      <c r="A706" s="584"/>
      <c r="B706" s="644"/>
      <c r="C706" s="966"/>
      <c r="D706" s="697"/>
      <c r="E706" s="2039"/>
      <c r="F706" s="2039"/>
      <c r="G706" s="2039"/>
      <c r="H706" s="2039"/>
      <c r="I706" s="2039"/>
      <c r="J706" s="2039"/>
      <c r="K706" s="2039"/>
      <c r="L706" s="2039"/>
      <c r="M706" s="2039"/>
      <c r="N706" s="2039"/>
      <c r="O706" s="2039"/>
      <c r="P706" s="2039"/>
      <c r="Q706" s="2039"/>
      <c r="R706" s="2039"/>
      <c r="S706" s="2039"/>
      <c r="T706" s="2039"/>
      <c r="U706" s="2039"/>
      <c r="V706" s="2039"/>
      <c r="W706" s="2039"/>
      <c r="X706" s="2039"/>
      <c r="Y706" s="2039"/>
      <c r="Z706" s="2039"/>
      <c r="AA706" s="2039"/>
      <c r="AB706" s="2039"/>
      <c r="AC706" s="570"/>
      <c r="AD706" s="570"/>
      <c r="AE706" s="650"/>
      <c r="AF706" s="570"/>
      <c r="AG706" s="570"/>
      <c r="AH706" s="570"/>
      <c r="AI706" s="570"/>
      <c r="AJ706" s="570"/>
      <c r="AK706" s="570"/>
      <c r="AL706" s="570"/>
      <c r="AM706" s="584"/>
      <c r="AN706" s="718"/>
      <c r="AP706" s="604" t="s">
        <v>1543</v>
      </c>
    </row>
    <row r="707" spans="1:52" s="604" customFormat="1" ht="14.1"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1545</v>
      </c>
    </row>
    <row r="708" spans="1:52" s="604" customFormat="1" ht="14.1" customHeight="1">
      <c r="A708" s="584"/>
      <c r="B708" s="570"/>
      <c r="C708" s="966"/>
      <c r="D708" s="697" t="s">
        <v>516</v>
      </c>
      <c r="E708" s="2040" t="s">
        <v>1544</v>
      </c>
      <c r="F708" s="2040"/>
      <c r="G708" s="2040"/>
      <c r="H708" s="2040"/>
      <c r="I708" s="2040"/>
      <c r="J708" s="2040"/>
      <c r="K708" s="2040"/>
      <c r="L708" s="2040"/>
      <c r="M708" s="2040"/>
      <c r="N708" s="2040"/>
      <c r="O708" s="2040"/>
      <c r="P708" s="2040"/>
      <c r="Q708" s="2040"/>
      <c r="R708" s="2040"/>
      <c r="S708" s="2040"/>
      <c r="T708" s="2040"/>
      <c r="U708" s="2040"/>
      <c r="V708" s="2040"/>
      <c r="W708" s="2040"/>
      <c r="X708" s="2040"/>
      <c r="Y708" s="2040"/>
      <c r="Z708" s="2040"/>
      <c r="AA708" s="2040"/>
      <c r="AB708" s="2040"/>
      <c r="AC708" s="570"/>
      <c r="AD708" s="570"/>
      <c r="AE708" s="570"/>
      <c r="AF708" s="1949" t="s">
        <v>1517</v>
      </c>
      <c r="AG708" s="1949"/>
      <c r="AH708" s="1949"/>
      <c r="AI708" s="1949"/>
      <c r="AJ708" s="1949"/>
      <c r="AK708" s="1949"/>
      <c r="AL708" s="1949"/>
      <c r="AM708" s="584"/>
      <c r="AN708" s="719"/>
    </row>
    <row r="709" spans="1:52" s="604" customFormat="1" ht="12.75" customHeight="1">
      <c r="A709" s="584"/>
      <c r="B709" s="570"/>
      <c r="C709" s="968"/>
      <c r="D709" s="570"/>
      <c r="E709" s="2040"/>
      <c r="F709" s="2040"/>
      <c r="G709" s="2040"/>
      <c r="H709" s="2040"/>
      <c r="I709" s="2040"/>
      <c r="J709" s="2040"/>
      <c r="K709" s="2040"/>
      <c r="L709" s="2040"/>
      <c r="M709" s="2040"/>
      <c r="N709" s="2040"/>
      <c r="O709" s="2040"/>
      <c r="P709" s="2040"/>
      <c r="Q709" s="2040"/>
      <c r="R709" s="2040"/>
      <c r="S709" s="2040"/>
      <c r="T709" s="2040"/>
      <c r="U709" s="2040"/>
      <c r="V709" s="2040"/>
      <c r="W709" s="2040"/>
      <c r="X709" s="2040"/>
      <c r="Y709" s="2040"/>
      <c r="Z709" s="2040"/>
      <c r="AA709" s="2040"/>
      <c r="AB709" s="2040"/>
      <c r="AC709" s="570"/>
      <c r="AD709" s="570"/>
      <c r="AE709" s="570"/>
      <c r="AF709" s="570"/>
      <c r="AG709" s="570"/>
      <c r="AH709" s="570"/>
      <c r="AI709" s="570"/>
      <c r="AJ709" s="570"/>
      <c r="AK709" s="570"/>
      <c r="AL709" s="570"/>
      <c r="AM709" s="584"/>
      <c r="AN709" s="718"/>
      <c r="AP709" s="584" t="s">
        <v>598</v>
      </c>
      <c r="AQ709" s="707">
        <v>0</v>
      </c>
    </row>
    <row r="710" spans="1:52" s="604" customFormat="1" ht="14.1" customHeight="1">
      <c r="A710" s="584"/>
      <c r="B710" s="570"/>
      <c r="C710" s="968"/>
      <c r="D710" s="570"/>
      <c r="E710" s="2040"/>
      <c r="F710" s="2040"/>
      <c r="G710" s="2040"/>
      <c r="H710" s="2040"/>
      <c r="I710" s="2040"/>
      <c r="J710" s="2040"/>
      <c r="K710" s="2040"/>
      <c r="L710" s="2040"/>
      <c r="M710" s="2040"/>
      <c r="N710" s="2040"/>
      <c r="O710" s="2040"/>
      <c r="P710" s="2040"/>
      <c r="Q710" s="2040"/>
      <c r="R710" s="2040"/>
      <c r="S710" s="2040"/>
      <c r="T710" s="2040"/>
      <c r="U710" s="2040"/>
      <c r="V710" s="2040"/>
      <c r="W710" s="2040"/>
      <c r="X710" s="2040"/>
      <c r="Y710" s="2040"/>
      <c r="Z710" s="2040"/>
      <c r="AA710" s="2040"/>
      <c r="AB710" s="2040"/>
      <c r="AC710" s="570"/>
      <c r="AD710" s="570"/>
      <c r="AE710" s="570"/>
      <c r="AF710" s="570"/>
      <c r="AG710" s="570"/>
      <c r="AH710" s="570"/>
      <c r="AI710" s="570"/>
      <c r="AJ710" s="570"/>
      <c r="AK710" s="570"/>
      <c r="AL710" s="570"/>
      <c r="AM710" s="584"/>
      <c r="AN710" s="718"/>
      <c r="AP710" s="645" t="s">
        <v>695</v>
      </c>
      <c r="AQ710" s="584">
        <v>3</v>
      </c>
    </row>
    <row r="711" spans="1:52" s="604" customFormat="1" ht="14.1"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516</v>
      </c>
      <c r="AQ711" s="584">
        <v>2</v>
      </c>
    </row>
    <row r="712" spans="1:52" s="604" customFormat="1" ht="14.1" customHeight="1">
      <c r="A712" s="584"/>
      <c r="B712" s="570"/>
      <c r="C712" s="968"/>
      <c r="D712" s="570" t="s">
        <v>1509</v>
      </c>
      <c r="E712" s="971"/>
      <c r="F712" s="971"/>
      <c r="G712" s="971"/>
      <c r="H712" s="2031" t="s">
        <v>598</v>
      </c>
      <c r="I712" s="2031"/>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1546</v>
      </c>
      <c r="AJ714" s="1982">
        <f>VLOOKUP($H$712,$AP$709:$AQ$711,2,FALSE)</f>
        <v>0</v>
      </c>
      <c r="AK714" s="1984"/>
      <c r="AL714" s="629"/>
      <c r="AM714" s="584"/>
      <c r="AN714" s="718"/>
      <c r="AP714" s="1982"/>
      <c r="AQ714" s="1984"/>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1547</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695</v>
      </c>
      <c r="E718" s="2002" t="s">
        <v>1884</v>
      </c>
      <c r="F718" s="2002"/>
      <c r="G718" s="2002"/>
      <c r="H718" s="2002"/>
      <c r="I718" s="2002"/>
      <c r="J718" s="2002"/>
      <c r="K718" s="2002"/>
      <c r="L718" s="2002"/>
      <c r="M718" s="2002"/>
      <c r="N718" s="2002"/>
      <c r="O718" s="2002"/>
      <c r="P718" s="2002"/>
      <c r="Q718" s="2002"/>
      <c r="R718" s="2002"/>
      <c r="S718" s="2002"/>
      <c r="T718" s="2002"/>
      <c r="U718" s="2002"/>
      <c r="V718" s="2002"/>
      <c r="W718" s="2002"/>
      <c r="X718" s="2002"/>
      <c r="Y718" s="2002"/>
      <c r="Z718" s="2002"/>
      <c r="AA718" s="2002"/>
      <c r="AB718" s="2002"/>
      <c r="AC718" s="570"/>
      <c r="AD718" s="570"/>
      <c r="AE718" s="570"/>
      <c r="AF718" s="1949" t="s">
        <v>1461</v>
      </c>
      <c r="AG718" s="1949"/>
      <c r="AH718" s="1949"/>
      <c r="AI718" s="1949"/>
      <c r="AJ718" s="1949"/>
      <c r="AK718" s="1949"/>
      <c r="AL718" s="1949"/>
      <c r="AM718" s="584"/>
      <c r="AN718" s="718"/>
      <c r="AT718" s="14"/>
      <c r="AU718" s="14"/>
      <c r="AV718" s="14"/>
      <c r="AW718" s="14"/>
      <c r="AX718" s="14"/>
      <c r="AY718" s="14"/>
      <c r="AZ718" s="14"/>
    </row>
    <row r="719" spans="1:52" s="604" customFormat="1">
      <c r="A719" s="584"/>
      <c r="B719" s="570"/>
      <c r="C719" s="968"/>
      <c r="D719" s="697"/>
      <c r="E719" s="2002"/>
      <c r="F719" s="2002"/>
      <c r="G719" s="2002"/>
      <c r="H719" s="2002"/>
      <c r="I719" s="2002"/>
      <c r="J719" s="2002"/>
      <c r="K719" s="2002"/>
      <c r="L719" s="2002"/>
      <c r="M719" s="2002"/>
      <c r="N719" s="2002"/>
      <c r="O719" s="2002"/>
      <c r="P719" s="2002"/>
      <c r="Q719" s="2002"/>
      <c r="R719" s="2002"/>
      <c r="S719" s="2002"/>
      <c r="T719" s="2002"/>
      <c r="U719" s="2002"/>
      <c r="V719" s="2002"/>
      <c r="W719" s="2002"/>
      <c r="X719" s="2002"/>
      <c r="Y719" s="2002"/>
      <c r="Z719" s="2002"/>
      <c r="AA719" s="2002"/>
      <c r="AB719" s="2002"/>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516</v>
      </c>
      <c r="E721" s="2002" t="s">
        <v>1548</v>
      </c>
      <c r="F721" s="2002"/>
      <c r="G721" s="2002"/>
      <c r="H721" s="2002"/>
      <c r="I721" s="2002"/>
      <c r="J721" s="2002"/>
      <c r="K721" s="2002"/>
      <c r="L721" s="2002"/>
      <c r="M721" s="2002"/>
      <c r="N721" s="2002"/>
      <c r="O721" s="2002"/>
      <c r="P721" s="2002"/>
      <c r="Q721" s="2002"/>
      <c r="R721" s="2002"/>
      <c r="S721" s="2002"/>
      <c r="T721" s="2002"/>
      <c r="U721" s="2002"/>
      <c r="V721" s="2002"/>
      <c r="W721" s="2002"/>
      <c r="X721" s="2002"/>
      <c r="Y721" s="2002"/>
      <c r="Z721" s="2002"/>
      <c r="AA721" s="2002"/>
      <c r="AB721" s="2002"/>
      <c r="AC721" s="570"/>
      <c r="AD721" s="570"/>
      <c r="AE721" s="570"/>
      <c r="AF721" s="1949" t="s">
        <v>1517</v>
      </c>
      <c r="AG721" s="1949"/>
      <c r="AH721" s="1949"/>
      <c r="AI721" s="1949"/>
      <c r="AJ721" s="1949"/>
      <c r="AK721" s="1949"/>
      <c r="AL721" s="1949"/>
      <c r="AM721" s="584"/>
      <c r="AN721" s="718"/>
      <c r="AT721" s="14"/>
      <c r="AU721" s="14"/>
      <c r="AV721" s="14"/>
      <c r="AW721" s="14"/>
      <c r="AX721" s="14"/>
      <c r="AY721" s="14"/>
      <c r="AZ721" s="14"/>
    </row>
    <row r="722" spans="1:81" s="604" customFormat="1">
      <c r="A722" s="584"/>
      <c r="B722" s="570"/>
      <c r="C722" s="968"/>
      <c r="D722" s="570"/>
      <c r="E722" s="2002"/>
      <c r="F722" s="2002"/>
      <c r="G722" s="2002"/>
      <c r="H722" s="2002"/>
      <c r="I722" s="2002"/>
      <c r="J722" s="2002"/>
      <c r="K722" s="2002"/>
      <c r="L722" s="2002"/>
      <c r="M722" s="2002"/>
      <c r="N722" s="2002"/>
      <c r="O722" s="2002"/>
      <c r="P722" s="2002"/>
      <c r="Q722" s="2002"/>
      <c r="R722" s="2002"/>
      <c r="S722" s="2002"/>
      <c r="T722" s="2002"/>
      <c r="U722" s="2002"/>
      <c r="V722" s="2002"/>
      <c r="W722" s="2002"/>
      <c r="X722" s="2002"/>
      <c r="Y722" s="2002"/>
      <c r="Z722" s="2002"/>
      <c r="AA722" s="2002"/>
      <c r="AB722" s="2002"/>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1509</v>
      </c>
      <c r="E724" s="971"/>
      <c r="F724" s="971"/>
      <c r="G724" s="971"/>
      <c r="H724" s="2031" t="s">
        <v>598</v>
      </c>
      <c r="I724" s="2031"/>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1549</v>
      </c>
      <c r="AJ726" s="1982">
        <f>VLOOKUP($H$724,$AO$655:$AP$657,2,FALSE)</f>
        <v>0</v>
      </c>
      <c r="AK726" s="1984"/>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1550</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695</v>
      </c>
      <c r="E730" s="2002" t="s">
        <v>1551</v>
      </c>
      <c r="F730" s="2002"/>
      <c r="G730" s="2002"/>
      <c r="H730" s="2002"/>
      <c r="I730" s="2002"/>
      <c r="J730" s="2002"/>
      <c r="K730" s="2002"/>
      <c r="L730" s="2002"/>
      <c r="M730" s="2002"/>
      <c r="N730" s="2002"/>
      <c r="O730" s="2002"/>
      <c r="P730" s="2002"/>
      <c r="Q730" s="2002"/>
      <c r="R730" s="2002"/>
      <c r="S730" s="2002"/>
      <c r="T730" s="2002"/>
      <c r="U730" s="2002"/>
      <c r="V730" s="2002"/>
      <c r="W730" s="2002"/>
      <c r="X730" s="2002"/>
      <c r="Y730" s="2002"/>
      <c r="Z730" s="2002"/>
      <c r="AA730" s="2002"/>
      <c r="AB730" s="2002"/>
      <c r="AC730" s="570"/>
      <c r="AD730" s="570"/>
      <c r="AE730" s="570"/>
      <c r="AF730" s="1949" t="s">
        <v>1461</v>
      </c>
      <c r="AG730" s="1949"/>
      <c r="AH730" s="1949"/>
      <c r="AI730" s="1949"/>
      <c r="AJ730" s="1949"/>
      <c r="AK730" s="1949"/>
      <c r="AL730" s="1949"/>
      <c r="AM730" s="584"/>
      <c r="AN730" s="718"/>
      <c r="AT730" s="14"/>
      <c r="AU730" s="14"/>
      <c r="AV730" s="14"/>
      <c r="AW730" s="14"/>
      <c r="AX730" s="14"/>
      <c r="AY730" s="14"/>
      <c r="AZ730" s="14"/>
    </row>
    <row r="731" spans="1:81" s="604" customFormat="1">
      <c r="A731" s="584"/>
      <c r="B731" s="570"/>
      <c r="C731" s="966"/>
      <c r="D731" s="697"/>
      <c r="E731" s="2002"/>
      <c r="F731" s="2002"/>
      <c r="G731" s="2002"/>
      <c r="H731" s="2002"/>
      <c r="I731" s="2002"/>
      <c r="J731" s="2002"/>
      <c r="K731" s="2002"/>
      <c r="L731" s="2002"/>
      <c r="M731" s="2002"/>
      <c r="N731" s="2002"/>
      <c r="O731" s="2002"/>
      <c r="P731" s="2002"/>
      <c r="Q731" s="2002"/>
      <c r="R731" s="2002"/>
      <c r="S731" s="2002"/>
      <c r="T731" s="2002"/>
      <c r="U731" s="2002"/>
      <c r="V731" s="2002"/>
      <c r="W731" s="2002"/>
      <c r="X731" s="2002"/>
      <c r="Y731" s="2002"/>
      <c r="Z731" s="2002"/>
      <c r="AA731" s="2002"/>
      <c r="AB731" s="2002"/>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2002"/>
      <c r="F732" s="2002"/>
      <c r="G732" s="2002"/>
      <c r="H732" s="2002"/>
      <c r="I732" s="2002"/>
      <c r="J732" s="2002"/>
      <c r="K732" s="2002"/>
      <c r="L732" s="2002"/>
      <c r="M732" s="2002"/>
      <c r="N732" s="2002"/>
      <c r="O732" s="2002"/>
      <c r="P732" s="2002"/>
      <c r="Q732" s="2002"/>
      <c r="R732" s="2002"/>
      <c r="S732" s="2002"/>
      <c r="T732" s="2002"/>
      <c r="U732" s="2002"/>
      <c r="V732" s="2002"/>
      <c r="W732" s="2002"/>
      <c r="X732" s="2002"/>
      <c r="Y732" s="2002"/>
      <c r="Z732" s="2002"/>
      <c r="AA732" s="2002"/>
      <c r="AB732" s="2002"/>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2002"/>
      <c r="F733" s="2002"/>
      <c r="G733" s="2002"/>
      <c r="H733" s="2002"/>
      <c r="I733" s="2002"/>
      <c r="J733" s="2002"/>
      <c r="K733" s="2002"/>
      <c r="L733" s="2002"/>
      <c r="M733" s="2002"/>
      <c r="N733" s="2002"/>
      <c r="O733" s="2002"/>
      <c r="P733" s="2002"/>
      <c r="Q733" s="2002"/>
      <c r="R733" s="2002"/>
      <c r="S733" s="2002"/>
      <c r="T733" s="2002"/>
      <c r="U733" s="2002"/>
      <c r="V733" s="2002"/>
      <c r="W733" s="2002"/>
      <c r="X733" s="2002"/>
      <c r="Y733" s="2002"/>
      <c r="Z733" s="2002"/>
      <c r="AA733" s="2002"/>
      <c r="AB733" s="2002"/>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516</v>
      </c>
      <c r="E735" s="2002" t="s">
        <v>1552</v>
      </c>
      <c r="F735" s="2002"/>
      <c r="G735" s="2002"/>
      <c r="H735" s="2002"/>
      <c r="I735" s="2002"/>
      <c r="J735" s="2002"/>
      <c r="K735" s="2002"/>
      <c r="L735" s="2002"/>
      <c r="M735" s="2002"/>
      <c r="N735" s="2002"/>
      <c r="O735" s="2002"/>
      <c r="P735" s="2002"/>
      <c r="Q735" s="2002"/>
      <c r="R735" s="2002"/>
      <c r="S735" s="2002"/>
      <c r="T735" s="2002"/>
      <c r="U735" s="2002"/>
      <c r="V735" s="2002"/>
      <c r="W735" s="2002"/>
      <c r="X735" s="2002"/>
      <c r="Y735" s="2002"/>
      <c r="Z735" s="2002"/>
      <c r="AA735" s="2002"/>
      <c r="AB735" s="609"/>
      <c r="AC735" s="570"/>
      <c r="AD735" s="570"/>
      <c r="AE735" s="570"/>
      <c r="AF735" s="1949" t="s">
        <v>1517</v>
      </c>
      <c r="AG735" s="1949"/>
      <c r="AH735" s="1949"/>
      <c r="AI735" s="1949"/>
      <c r="AJ735" s="1949"/>
      <c r="AK735" s="1949"/>
      <c r="AL735" s="1949"/>
      <c r="AM735" s="584"/>
      <c r="AN735" s="718"/>
      <c r="AO735" s="30"/>
      <c r="AP735" s="14"/>
    </row>
    <row r="736" spans="1:81" s="604" customFormat="1">
      <c r="A736" s="584"/>
      <c r="B736" s="570"/>
      <c r="C736" s="966"/>
      <c r="D736" s="697"/>
      <c r="E736" s="2002"/>
      <c r="F736" s="2002"/>
      <c r="G736" s="2002"/>
      <c r="H736" s="2002"/>
      <c r="I736" s="2002"/>
      <c r="J736" s="2002"/>
      <c r="K736" s="2002"/>
      <c r="L736" s="2002"/>
      <c r="M736" s="2002"/>
      <c r="N736" s="2002"/>
      <c r="O736" s="2002"/>
      <c r="P736" s="2002"/>
      <c r="Q736" s="2002"/>
      <c r="R736" s="2002"/>
      <c r="S736" s="2002"/>
      <c r="T736" s="2002"/>
      <c r="U736" s="2002"/>
      <c r="V736" s="2002"/>
      <c r="W736" s="2002"/>
      <c r="X736" s="2002"/>
      <c r="Y736" s="2002"/>
      <c r="Z736" s="2002"/>
      <c r="AA736" s="2002"/>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2002"/>
      <c r="F737" s="2002"/>
      <c r="G737" s="2002"/>
      <c r="H737" s="2002"/>
      <c r="I737" s="2002"/>
      <c r="J737" s="2002"/>
      <c r="K737" s="2002"/>
      <c r="L737" s="2002"/>
      <c r="M737" s="2002"/>
      <c r="N737" s="2002"/>
      <c r="O737" s="2002"/>
      <c r="P737" s="2002"/>
      <c r="Q737" s="2002"/>
      <c r="R737" s="2002"/>
      <c r="S737" s="2002"/>
      <c r="T737" s="2002"/>
      <c r="U737" s="2002"/>
      <c r="V737" s="2002"/>
      <c r="W737" s="2002"/>
      <c r="X737" s="2002"/>
      <c r="Y737" s="2002"/>
      <c r="Z737" s="2002"/>
      <c r="AA737" s="2002"/>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2002"/>
      <c r="F738" s="2002"/>
      <c r="G738" s="2002"/>
      <c r="H738" s="2002"/>
      <c r="I738" s="2002"/>
      <c r="J738" s="2002"/>
      <c r="K738" s="2002"/>
      <c r="L738" s="2002"/>
      <c r="M738" s="2002"/>
      <c r="N738" s="2002"/>
      <c r="O738" s="2002"/>
      <c r="P738" s="2002"/>
      <c r="Q738" s="2002"/>
      <c r="R738" s="2002"/>
      <c r="S738" s="2002"/>
      <c r="T738" s="2002"/>
      <c r="U738" s="2002"/>
      <c r="V738" s="2002"/>
      <c r="W738" s="2002"/>
      <c r="X738" s="2002"/>
      <c r="Y738" s="2002"/>
      <c r="Z738" s="2002"/>
      <c r="AA738" s="2002"/>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1509</v>
      </c>
      <c r="E740" s="971"/>
      <c r="F740" s="971"/>
      <c r="G740" s="971"/>
      <c r="H740" s="2031" t="s">
        <v>695</v>
      </c>
      <c r="I740" s="2031"/>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1553</v>
      </c>
      <c r="AJ742" s="1982">
        <f>VLOOKUP($H$740,$AO$669:$AP$671,2,FALSE)</f>
        <v>3</v>
      </c>
      <c r="AK742" s="1984"/>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1543</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695</v>
      </c>
      <c r="E746" s="2002" t="s">
        <v>1554</v>
      </c>
      <c r="F746" s="2002"/>
      <c r="G746" s="2002"/>
      <c r="H746" s="2002"/>
      <c r="I746" s="2002"/>
      <c r="J746" s="2002"/>
      <c r="K746" s="2002"/>
      <c r="L746" s="2002"/>
      <c r="M746" s="2002"/>
      <c r="N746" s="2002"/>
      <c r="O746" s="2002"/>
      <c r="P746" s="2002"/>
      <c r="Q746" s="2002"/>
      <c r="R746" s="2002"/>
      <c r="S746" s="2002"/>
      <c r="T746" s="2002"/>
      <c r="U746" s="2002"/>
      <c r="V746" s="2002"/>
      <c r="W746" s="2002"/>
      <c r="X746" s="2002"/>
      <c r="Y746" s="2002"/>
      <c r="Z746" s="2002"/>
      <c r="AA746" s="2002"/>
      <c r="AB746" s="2002"/>
      <c r="AC746" s="570"/>
      <c r="AD746" s="570"/>
      <c r="AE746" s="570"/>
      <c r="AF746" s="1949" t="s">
        <v>1517</v>
      </c>
      <c r="AG746" s="1949"/>
      <c r="AH746" s="1949"/>
      <c r="AI746" s="1949"/>
      <c r="AJ746" s="1949"/>
      <c r="AK746" s="1949"/>
      <c r="AL746" s="1949"/>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2002"/>
      <c r="F747" s="2002"/>
      <c r="G747" s="2002"/>
      <c r="H747" s="2002"/>
      <c r="I747" s="2002"/>
      <c r="J747" s="2002"/>
      <c r="K747" s="2002"/>
      <c r="L747" s="2002"/>
      <c r="M747" s="2002"/>
      <c r="N747" s="2002"/>
      <c r="O747" s="2002"/>
      <c r="P747" s="2002"/>
      <c r="Q747" s="2002"/>
      <c r="R747" s="2002"/>
      <c r="S747" s="2002"/>
      <c r="T747" s="2002"/>
      <c r="U747" s="2002"/>
      <c r="V747" s="2002"/>
      <c r="W747" s="2002"/>
      <c r="X747" s="2002"/>
      <c r="Y747" s="2002"/>
      <c r="Z747" s="2002"/>
      <c r="AA747" s="2002"/>
      <c r="AB747" s="2002"/>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516</v>
      </c>
      <c r="E749" s="2002" t="s">
        <v>1555</v>
      </c>
      <c r="F749" s="2002"/>
      <c r="G749" s="2002"/>
      <c r="H749" s="2002"/>
      <c r="I749" s="2002"/>
      <c r="J749" s="2002"/>
      <c r="K749" s="2002"/>
      <c r="L749" s="2002"/>
      <c r="M749" s="2002"/>
      <c r="N749" s="2002"/>
      <c r="O749" s="2002"/>
      <c r="P749" s="2002"/>
      <c r="Q749" s="2002"/>
      <c r="R749" s="2002"/>
      <c r="S749" s="2002"/>
      <c r="T749" s="2002"/>
      <c r="U749" s="2002"/>
      <c r="V749" s="2002"/>
      <c r="W749" s="2002"/>
      <c r="X749" s="2002"/>
      <c r="Y749" s="2002"/>
      <c r="Z749" s="2002"/>
      <c r="AA749" s="2002"/>
      <c r="AB749" s="2002"/>
      <c r="AC749" s="570"/>
      <c r="AD749" s="570"/>
      <c r="AE749" s="570"/>
      <c r="AF749" s="1949" t="s">
        <v>1534</v>
      </c>
      <c r="AG749" s="1949"/>
      <c r="AH749" s="1949"/>
      <c r="AI749" s="1949"/>
      <c r="AJ749" s="1949"/>
      <c r="AK749" s="1949"/>
      <c r="AL749" s="1949"/>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2002"/>
      <c r="F750" s="2002"/>
      <c r="G750" s="2002"/>
      <c r="H750" s="2002"/>
      <c r="I750" s="2002"/>
      <c r="J750" s="2002"/>
      <c r="K750" s="2002"/>
      <c r="L750" s="2002"/>
      <c r="M750" s="2002"/>
      <c r="N750" s="2002"/>
      <c r="O750" s="2002"/>
      <c r="P750" s="2002"/>
      <c r="Q750" s="2002"/>
      <c r="R750" s="2002"/>
      <c r="S750" s="2002"/>
      <c r="T750" s="2002"/>
      <c r="U750" s="2002"/>
      <c r="V750" s="2002"/>
      <c r="W750" s="2002"/>
      <c r="X750" s="2002"/>
      <c r="Y750" s="2002"/>
      <c r="Z750" s="2002"/>
      <c r="AA750" s="2002"/>
      <c r="AB750" s="2002"/>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1509</v>
      </c>
      <c r="E752" s="971"/>
      <c r="F752" s="971"/>
      <c r="G752" s="971"/>
      <c r="H752" s="2031" t="s">
        <v>695</v>
      </c>
      <c r="I752" s="2031"/>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4.1"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1556</v>
      </c>
      <c r="AJ754" s="1982">
        <f>VLOOKUP($H$752,$AO$686:$AP$688,2,FALSE)</f>
        <v>2</v>
      </c>
      <c r="AK754" s="1984"/>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1545</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695</v>
      </c>
      <c r="E758" s="2002" t="s">
        <v>1880</v>
      </c>
      <c r="F758" s="2002"/>
      <c r="G758" s="2002"/>
      <c r="H758" s="2002"/>
      <c r="I758" s="2002"/>
      <c r="J758" s="2002"/>
      <c r="K758" s="2002"/>
      <c r="L758" s="2002"/>
      <c r="M758" s="2002"/>
      <c r="N758" s="2002"/>
      <c r="O758" s="2002"/>
      <c r="P758" s="2002"/>
      <c r="Q758" s="2002"/>
      <c r="R758" s="2002"/>
      <c r="S758" s="2002"/>
      <c r="T758" s="2002"/>
      <c r="U758" s="2002"/>
      <c r="V758" s="2002"/>
      <c r="W758" s="2002"/>
      <c r="X758" s="2002"/>
      <c r="Y758" s="2002"/>
      <c r="Z758" s="2002"/>
      <c r="AA758" s="2002"/>
      <c r="AB758" s="2002"/>
      <c r="AC758" s="2002"/>
      <c r="AD758" s="2002"/>
      <c r="AE758" s="570"/>
      <c r="AF758" s="1949" t="s">
        <v>1517</v>
      </c>
      <c r="AG758" s="1949"/>
      <c r="AH758" s="1949"/>
      <c r="AI758" s="1949"/>
      <c r="AJ758" s="1949"/>
      <c r="AK758" s="1949"/>
      <c r="AL758" s="1949"/>
      <c r="AM758" s="647"/>
      <c r="AN758" s="718"/>
      <c r="AO758" s="584" t="s">
        <v>598</v>
      </c>
      <c r="AP758" s="707">
        <v>0</v>
      </c>
    </row>
    <row r="759" spans="1:74" s="604" customFormat="1" ht="13.7" customHeight="1">
      <c r="A759" s="584"/>
      <c r="B759" s="650"/>
      <c r="C759" s="975"/>
      <c r="D759" s="697"/>
      <c r="E759" s="2002"/>
      <c r="F759" s="2002"/>
      <c r="G759" s="2002"/>
      <c r="H759" s="2002"/>
      <c r="I759" s="2002"/>
      <c r="J759" s="2002"/>
      <c r="K759" s="2002"/>
      <c r="L759" s="2002"/>
      <c r="M759" s="2002"/>
      <c r="N759" s="2002"/>
      <c r="O759" s="2002"/>
      <c r="P759" s="2002"/>
      <c r="Q759" s="2002"/>
      <c r="R759" s="2002"/>
      <c r="S759" s="2002"/>
      <c r="T759" s="2002"/>
      <c r="U759" s="2002"/>
      <c r="V759" s="2002"/>
      <c r="W759" s="2002"/>
      <c r="X759" s="2002"/>
      <c r="Y759" s="2002"/>
      <c r="Z759" s="2002"/>
      <c r="AA759" s="2002"/>
      <c r="AB759" s="2002"/>
      <c r="AC759" s="2002"/>
      <c r="AD759" s="2002"/>
      <c r="AE759" s="570"/>
      <c r="AF759" s="628"/>
      <c r="AG759" s="628"/>
      <c r="AH759" s="628"/>
      <c r="AI759" s="628"/>
      <c r="AJ759" s="628"/>
      <c r="AK759" s="628"/>
      <c r="AL759" s="628"/>
      <c r="AM759" s="647"/>
      <c r="AN759" s="718"/>
      <c r="AO759" s="645" t="s">
        <v>695</v>
      </c>
      <c r="AP759" s="584">
        <v>2</v>
      </c>
    </row>
    <row r="760" spans="1:74" s="604" customFormat="1">
      <c r="A760" s="584"/>
      <c r="B760" s="650"/>
      <c r="C760" s="975"/>
      <c r="D760" s="697"/>
      <c r="E760" s="2002"/>
      <c r="F760" s="2002"/>
      <c r="G760" s="2002"/>
      <c r="H760" s="2002"/>
      <c r="I760" s="2002"/>
      <c r="J760" s="2002"/>
      <c r="K760" s="2002"/>
      <c r="L760" s="2002"/>
      <c r="M760" s="2002"/>
      <c r="N760" s="2002"/>
      <c r="O760" s="2002"/>
      <c r="P760" s="2002"/>
      <c r="Q760" s="2002"/>
      <c r="R760" s="2002"/>
      <c r="S760" s="2002"/>
      <c r="T760" s="2002"/>
      <c r="U760" s="2002"/>
      <c r="V760" s="2002"/>
      <c r="W760" s="2002"/>
      <c r="X760" s="2002"/>
      <c r="Y760" s="2002"/>
      <c r="Z760" s="2002"/>
      <c r="AA760" s="2002"/>
      <c r="AB760" s="2002"/>
      <c r="AC760" s="2002"/>
      <c r="AD760" s="2002"/>
      <c r="AE760" s="570"/>
      <c r="AF760" s="570"/>
      <c r="AG760" s="570"/>
      <c r="AH760" s="570"/>
      <c r="AI760" s="570"/>
      <c r="AJ760" s="570"/>
      <c r="AK760" s="570"/>
      <c r="AL760" s="628"/>
      <c r="AM760" s="647"/>
      <c r="AN760" s="568"/>
      <c r="AO760" s="645" t="s">
        <v>516</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2002"/>
      <c r="F761" s="2002"/>
      <c r="G761" s="2002"/>
      <c r="H761" s="2002"/>
      <c r="I761" s="2002"/>
      <c r="J761" s="2002"/>
      <c r="K761" s="2002"/>
      <c r="L761" s="2002"/>
      <c r="M761" s="2002"/>
      <c r="N761" s="2002"/>
      <c r="O761" s="2002"/>
      <c r="P761" s="2002"/>
      <c r="Q761" s="2002"/>
      <c r="R761" s="2002"/>
      <c r="S761" s="2002"/>
      <c r="T761" s="2002"/>
      <c r="U761" s="2002"/>
      <c r="V761" s="2002"/>
      <c r="W761" s="2002"/>
      <c r="X761" s="2002"/>
      <c r="Y761" s="2002"/>
      <c r="Z761" s="2002"/>
      <c r="AA761" s="2002"/>
      <c r="AB761" s="2002"/>
      <c r="AC761" s="2002"/>
      <c r="AD761" s="2002"/>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516</v>
      </c>
      <c r="E763" s="2041" t="s">
        <v>1885</v>
      </c>
      <c r="F763" s="2041"/>
      <c r="G763" s="2041"/>
      <c r="H763" s="2041"/>
      <c r="I763" s="2041"/>
      <c r="J763" s="2041"/>
      <c r="K763" s="2041"/>
      <c r="L763" s="2041"/>
      <c r="M763" s="2041"/>
      <c r="N763" s="2041"/>
      <c r="O763" s="2041"/>
      <c r="P763" s="2041"/>
      <c r="Q763" s="2041"/>
      <c r="R763" s="2041"/>
      <c r="S763" s="2041"/>
      <c r="T763" s="2041"/>
      <c r="U763" s="2041"/>
      <c r="V763" s="2041"/>
      <c r="W763" s="2041"/>
      <c r="X763" s="2041"/>
      <c r="Y763" s="2041"/>
      <c r="Z763" s="2041"/>
      <c r="AA763" s="2041"/>
      <c r="AB763" s="2041"/>
      <c r="AC763" s="2041"/>
      <c r="AD763" s="2041"/>
      <c r="AE763" s="570"/>
      <c r="AF763" s="1949" t="s">
        <v>1461</v>
      </c>
      <c r="AG763" s="1949"/>
      <c r="AH763" s="1949"/>
      <c r="AI763" s="1949"/>
      <c r="AJ763" s="1949"/>
      <c r="AK763" s="1949"/>
      <c r="AL763" s="1949"/>
      <c r="AM763" s="647"/>
      <c r="AN763" s="631"/>
    </row>
    <row r="764" spans="1:74" s="584" customFormat="1" ht="12.75" customHeight="1">
      <c r="B764" s="650"/>
      <c r="C764" s="975"/>
      <c r="D764" s="697"/>
      <c r="E764" s="2041"/>
      <c r="F764" s="2041"/>
      <c r="G764" s="2041"/>
      <c r="H764" s="2041"/>
      <c r="I764" s="2041"/>
      <c r="J764" s="2041"/>
      <c r="K764" s="2041"/>
      <c r="L764" s="2041"/>
      <c r="M764" s="2041"/>
      <c r="N764" s="2041"/>
      <c r="O764" s="2041"/>
      <c r="P764" s="2041"/>
      <c r="Q764" s="2041"/>
      <c r="R764" s="2041"/>
      <c r="S764" s="2041"/>
      <c r="T764" s="2041"/>
      <c r="U764" s="2041"/>
      <c r="V764" s="2041"/>
      <c r="W764" s="2041"/>
      <c r="X764" s="2041"/>
      <c r="Y764" s="2041"/>
      <c r="Z764" s="2041"/>
      <c r="AA764" s="2041"/>
      <c r="AB764" s="2041"/>
      <c r="AC764" s="2041"/>
      <c r="AD764" s="2041"/>
      <c r="AE764" s="628"/>
      <c r="AF764" s="628"/>
      <c r="AG764" s="628"/>
      <c r="AH764" s="628"/>
      <c r="AI764" s="628"/>
      <c r="AJ764" s="628"/>
      <c r="AK764" s="628"/>
      <c r="AL764" s="628"/>
      <c r="AM764" s="647"/>
      <c r="AN764" s="631"/>
    </row>
    <row r="765" spans="1:74" s="584" customFormat="1" ht="12.75" customHeight="1">
      <c r="B765" s="650"/>
      <c r="C765" s="975"/>
      <c r="D765" s="697"/>
      <c r="E765" s="2041"/>
      <c r="F765" s="2041"/>
      <c r="G765" s="2041"/>
      <c r="H765" s="2041"/>
      <c r="I765" s="2041"/>
      <c r="J765" s="2041"/>
      <c r="K765" s="2041"/>
      <c r="L765" s="2041"/>
      <c r="M765" s="2041"/>
      <c r="N765" s="2041"/>
      <c r="O765" s="2041"/>
      <c r="P765" s="2041"/>
      <c r="Q765" s="2041"/>
      <c r="R765" s="2041"/>
      <c r="S765" s="2041"/>
      <c r="T765" s="2041"/>
      <c r="U765" s="2041"/>
      <c r="V765" s="2041"/>
      <c r="W765" s="2041"/>
      <c r="X765" s="2041"/>
      <c r="Y765" s="2041"/>
      <c r="Z765" s="2041"/>
      <c r="AA765" s="2041"/>
      <c r="AB765" s="2041"/>
      <c r="AC765" s="2041"/>
      <c r="AD765" s="2041"/>
      <c r="AE765" s="628"/>
      <c r="AF765" s="628"/>
      <c r="AG765" s="628"/>
      <c r="AH765" s="628"/>
      <c r="AI765" s="628"/>
      <c r="AJ765" s="628"/>
      <c r="AK765" s="628"/>
      <c r="AL765" s="628"/>
      <c r="AM765" s="647"/>
      <c r="AN765" s="631"/>
    </row>
    <row r="766" spans="1:74" s="584" customFormat="1" ht="12.75" customHeight="1">
      <c r="B766" s="650"/>
      <c r="C766" s="975"/>
      <c r="D766" s="697"/>
      <c r="E766" s="2041"/>
      <c r="F766" s="2041"/>
      <c r="G766" s="2041"/>
      <c r="H766" s="2041"/>
      <c r="I766" s="2041"/>
      <c r="J766" s="2041"/>
      <c r="K766" s="2041"/>
      <c r="L766" s="2041"/>
      <c r="M766" s="2041"/>
      <c r="N766" s="2041"/>
      <c r="O766" s="2041"/>
      <c r="P766" s="2041"/>
      <c r="Q766" s="2041"/>
      <c r="R766" s="2041"/>
      <c r="S766" s="2041"/>
      <c r="T766" s="2041"/>
      <c r="U766" s="2041"/>
      <c r="V766" s="2041"/>
      <c r="W766" s="2041"/>
      <c r="X766" s="2041"/>
      <c r="Y766" s="2041"/>
      <c r="Z766" s="2041"/>
      <c r="AA766" s="2041"/>
      <c r="AB766" s="2041"/>
      <c r="AC766" s="2041"/>
      <c r="AD766" s="2041"/>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1509</v>
      </c>
      <c r="E768" s="971"/>
      <c r="F768" s="971"/>
      <c r="G768" s="971"/>
      <c r="H768" s="2031" t="s">
        <v>598</v>
      </c>
      <c r="I768" s="2031"/>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1557</v>
      </c>
      <c r="AJ770" s="1982">
        <f>VLOOKUP($H$768,$AO$758:$AP$760,2,FALSE)</f>
        <v>0</v>
      </c>
      <c r="AK770" s="1984"/>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1558</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598</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695</v>
      </c>
      <c r="E774" s="2002" t="s">
        <v>2345</v>
      </c>
      <c r="F774" s="2002"/>
      <c r="G774" s="2002"/>
      <c r="H774" s="2002"/>
      <c r="I774" s="2002"/>
      <c r="J774" s="2002"/>
      <c r="K774" s="2002"/>
      <c r="L774" s="2002"/>
      <c r="M774" s="2002"/>
      <c r="N774" s="2002"/>
      <c r="O774" s="2002"/>
      <c r="P774" s="2002"/>
      <c r="Q774" s="2002"/>
      <c r="R774" s="2002"/>
      <c r="S774" s="2002"/>
      <c r="T774" s="2002"/>
      <c r="U774" s="2002"/>
      <c r="V774" s="2002"/>
      <c r="W774" s="2002"/>
      <c r="X774" s="2002"/>
      <c r="Y774" s="2002"/>
      <c r="Z774" s="2002"/>
      <c r="AA774" s="2002"/>
      <c r="AB774" s="2002"/>
      <c r="AC774" s="2002"/>
      <c r="AD774" s="2002"/>
      <c r="AE774" s="570"/>
      <c r="AF774" s="1949" t="s">
        <v>1461</v>
      </c>
      <c r="AG774" s="1949"/>
      <c r="AH774" s="1949"/>
      <c r="AI774" s="1949"/>
      <c r="AJ774" s="1949"/>
      <c r="AK774" s="1949"/>
      <c r="AL774" s="1949"/>
      <c r="AM774" s="647"/>
      <c r="AN774" s="718"/>
      <c r="AO774" s="645" t="s">
        <v>552</v>
      </c>
      <c r="AP774" s="584">
        <v>3</v>
      </c>
      <c r="AT774" s="708"/>
      <c r="AU774" s="708"/>
      <c r="AV774" s="708"/>
      <c r="AW774" s="708"/>
      <c r="AX774" s="708"/>
      <c r="AY774" s="708"/>
      <c r="AZ774" s="708"/>
    </row>
    <row r="775" spans="1:81" s="604" customFormat="1" ht="13.7" customHeight="1">
      <c r="A775" s="584"/>
      <c r="B775" s="650"/>
      <c r="C775" s="975"/>
      <c r="D775" s="697"/>
      <c r="E775" s="2002"/>
      <c r="F775" s="2002"/>
      <c r="G775" s="2002"/>
      <c r="H775" s="2002"/>
      <c r="I775" s="2002"/>
      <c r="J775" s="2002"/>
      <c r="K775" s="2002"/>
      <c r="L775" s="2002"/>
      <c r="M775" s="2002"/>
      <c r="N775" s="2002"/>
      <c r="O775" s="2002"/>
      <c r="P775" s="2002"/>
      <c r="Q775" s="2002"/>
      <c r="R775" s="2002"/>
      <c r="S775" s="2002"/>
      <c r="T775" s="2002"/>
      <c r="U775" s="2002"/>
      <c r="V775" s="2002"/>
      <c r="W775" s="2002"/>
      <c r="X775" s="2002"/>
      <c r="Y775" s="2002"/>
      <c r="Z775" s="2002"/>
      <c r="AA775" s="2002"/>
      <c r="AB775" s="2002"/>
      <c r="AC775" s="2002"/>
      <c r="AD775" s="2002"/>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2002"/>
      <c r="F776" s="2002"/>
      <c r="G776" s="2002"/>
      <c r="H776" s="2002"/>
      <c r="I776" s="2002"/>
      <c r="J776" s="2002"/>
      <c r="K776" s="2002"/>
      <c r="L776" s="2002"/>
      <c r="M776" s="2002"/>
      <c r="N776" s="2002"/>
      <c r="O776" s="2002"/>
      <c r="P776" s="2002"/>
      <c r="Q776" s="2002"/>
      <c r="R776" s="2002"/>
      <c r="S776" s="2002"/>
      <c r="T776" s="2002"/>
      <c r="U776" s="2002"/>
      <c r="V776" s="2002"/>
      <c r="W776" s="2002"/>
      <c r="X776" s="2002"/>
      <c r="Y776" s="2002"/>
      <c r="Z776" s="2002"/>
      <c r="AA776" s="2002"/>
      <c r="AB776" s="2002"/>
      <c r="AC776" s="2002"/>
      <c r="AD776" s="2002"/>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2002"/>
      <c r="F777" s="2002"/>
      <c r="G777" s="2002"/>
      <c r="H777" s="2002"/>
      <c r="I777" s="2002"/>
      <c r="J777" s="2002"/>
      <c r="K777" s="2002"/>
      <c r="L777" s="2002"/>
      <c r="M777" s="2002"/>
      <c r="N777" s="2002"/>
      <c r="O777" s="2002"/>
      <c r="P777" s="2002"/>
      <c r="Q777" s="2002"/>
      <c r="R777" s="2002"/>
      <c r="S777" s="2002"/>
      <c r="T777" s="2002"/>
      <c r="U777" s="2002"/>
      <c r="V777" s="2002"/>
      <c r="W777" s="2002"/>
      <c r="X777" s="2002"/>
      <c r="Y777" s="2002"/>
      <c r="Z777" s="2002"/>
      <c r="AA777" s="2002"/>
      <c r="AB777" s="2002"/>
      <c r="AC777" s="2002"/>
      <c r="AD777" s="2002"/>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1509</v>
      </c>
      <c r="E779" s="971"/>
      <c r="F779" s="971"/>
      <c r="G779" s="971"/>
      <c r="H779" s="2031" t="s">
        <v>552</v>
      </c>
      <c r="I779" s="2031"/>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1559</v>
      </c>
      <c r="AJ781" s="1982">
        <f>VLOOKUP($H$779,$AO$773:$AP$774,2,FALSE)</f>
        <v>3</v>
      </c>
      <c r="AK781" s="1984"/>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1560</v>
      </c>
      <c r="AK783" s="1982">
        <f>IF(($AJ$610+$AJ$629+$AJ$641+$AJ$676+$AJ$700+$AJ$714+$AJ$726+$AJ$742+$AJ$754+$AJ$770+AJ781)&gt;10,10,($AJ$610+$AJ$629+$AJ$641+$AJ$676+$AJ$700+$AJ$714+$AJ$726+$AJ$742+$AJ$754+$AJ$770+AJ781))</f>
        <v>10</v>
      </c>
      <c r="AL783" s="1983"/>
      <c r="AM783" s="1984"/>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2092" t="s">
        <v>1678</v>
      </c>
      <c r="B786" s="2093"/>
      <c r="C786" s="2093"/>
      <c r="D786" s="2093"/>
      <c r="E786" s="2093"/>
      <c r="F786" s="2093"/>
      <c r="G786" s="2093"/>
      <c r="H786" s="2093"/>
      <c r="I786" s="2093"/>
      <c r="J786" s="2093"/>
      <c r="K786" s="2093"/>
      <c r="L786" s="2093"/>
      <c r="M786" s="2093"/>
      <c r="N786" s="2093"/>
      <c r="O786" s="2093"/>
      <c r="P786" s="2093"/>
      <c r="Q786" s="2093"/>
      <c r="R786" s="2093"/>
      <c r="S786" s="2093"/>
      <c r="T786" s="2093"/>
      <c r="U786" s="2093"/>
      <c r="V786" s="2093"/>
      <c r="W786" s="2093"/>
      <c r="X786" s="2093"/>
      <c r="Y786" s="2093"/>
      <c r="Z786" s="2093"/>
      <c r="AA786" s="2093"/>
      <c r="AB786" s="2093"/>
      <c r="AC786" s="2093"/>
      <c r="AD786" s="2093"/>
      <c r="AE786" s="2093"/>
      <c r="AF786" s="2093"/>
      <c r="AG786" s="2093"/>
      <c r="AH786" s="2093"/>
      <c r="AI786" s="2093"/>
      <c r="AJ786" s="2093"/>
      <c r="AK786" s="2093"/>
      <c r="AL786" s="2093"/>
      <c r="AM786" s="2093"/>
    </row>
    <row r="787" spans="1:43">
      <c r="A787" s="2094"/>
      <c r="B787" s="2094"/>
      <c r="C787" s="2094"/>
      <c r="D787" s="2094"/>
      <c r="E787" s="2094"/>
      <c r="F787" s="2094"/>
      <c r="G787" s="2094"/>
      <c r="H787" s="2094"/>
      <c r="I787" s="2094"/>
      <c r="J787" s="2094"/>
      <c r="K787" s="2094"/>
      <c r="L787" s="2094"/>
      <c r="M787" s="2094"/>
      <c r="N787" s="2094"/>
      <c r="O787" s="2094"/>
      <c r="P787" s="2094"/>
      <c r="Q787" s="2094"/>
      <c r="R787" s="2094"/>
      <c r="S787" s="2094"/>
      <c r="T787" s="2094"/>
      <c r="U787" s="2094"/>
      <c r="V787" s="2094"/>
      <c r="W787" s="2094"/>
      <c r="X787" s="2094"/>
      <c r="Y787" s="2094"/>
      <c r="Z787" s="2094"/>
      <c r="AA787" s="2094"/>
      <c r="AB787" s="2094"/>
      <c r="AC787" s="2094"/>
      <c r="AD787" s="2094"/>
      <c r="AE787" s="2094"/>
      <c r="AF787" s="2094"/>
      <c r="AG787" s="2094"/>
      <c r="AH787" s="2094"/>
      <c r="AI787" s="2094"/>
      <c r="AJ787" s="2094"/>
      <c r="AK787" s="2094"/>
      <c r="AL787" s="2094"/>
      <c r="AM787" s="2094"/>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2023"/>
      <c r="B789" s="2023"/>
      <c r="C789" s="2023"/>
      <c r="D789" s="2023"/>
      <c r="E789" s="2023"/>
      <c r="F789" s="2023"/>
      <c r="G789" s="2023"/>
      <c r="H789" s="2023"/>
      <c r="I789" s="2023"/>
      <c r="J789" s="2023"/>
      <c r="K789" s="2023"/>
      <c r="L789" s="2023"/>
      <c r="M789" s="2023"/>
      <c r="N789" s="2023"/>
      <c r="O789" s="2023"/>
      <c r="P789" s="2023"/>
      <c r="Q789" s="2023"/>
      <c r="R789" s="2023"/>
      <c r="S789" s="2023"/>
      <c r="T789" s="2023"/>
      <c r="U789" s="2023"/>
      <c r="V789" s="2023"/>
      <c r="W789" s="2023"/>
      <c r="X789" s="2023"/>
      <c r="Y789" s="2023"/>
      <c r="Z789" s="2023"/>
      <c r="AA789" s="2023"/>
      <c r="AB789" s="2023"/>
      <c r="AC789" s="2023"/>
      <c r="AD789" s="2023"/>
      <c r="AE789" s="2023"/>
      <c r="AF789" s="2023"/>
      <c r="AG789" s="2023"/>
      <c r="AH789" s="2023"/>
      <c r="AI789" s="2023"/>
      <c r="AJ789" s="2023"/>
      <c r="AK789" s="2023"/>
      <c r="AL789" s="2023"/>
      <c r="AM789" s="2023"/>
      <c r="AP789" s="850"/>
      <c r="AQ789" s="850"/>
    </row>
    <row r="790" spans="1:43">
      <c r="A790" s="2023"/>
      <c r="B790" s="2023"/>
      <c r="C790" s="2023"/>
      <c r="D790" s="2023"/>
      <c r="E790" s="2023"/>
      <c r="F790" s="2023"/>
      <c r="G790" s="2023"/>
      <c r="H790" s="2023"/>
      <c r="I790" s="2023"/>
      <c r="J790" s="2023"/>
      <c r="K790" s="2023"/>
      <c r="L790" s="2023"/>
      <c r="M790" s="2023"/>
      <c r="N790" s="2023"/>
      <c r="O790" s="2023"/>
      <c r="P790" s="2023"/>
      <c r="Q790" s="2023"/>
      <c r="R790" s="2023"/>
      <c r="S790" s="2023"/>
      <c r="T790" s="2023"/>
      <c r="U790" s="2023"/>
      <c r="V790" s="2023"/>
      <c r="W790" s="2023"/>
      <c r="X790" s="2023"/>
      <c r="Y790" s="2023"/>
      <c r="Z790" s="2023"/>
      <c r="AA790" s="2023"/>
      <c r="AB790" s="2023"/>
      <c r="AC790" s="2023"/>
      <c r="AD790" s="2023"/>
      <c r="AE790" s="2023"/>
      <c r="AF790" s="2023"/>
      <c r="AG790" s="2023"/>
      <c r="AH790" s="2023"/>
      <c r="AI790" s="2023"/>
      <c r="AJ790" s="2023"/>
      <c r="AK790" s="2023"/>
      <c r="AL790" s="2023"/>
      <c r="AM790" s="2023"/>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2095" t="s">
        <v>1679</v>
      </c>
      <c r="U791" s="2096"/>
      <c r="V791" s="2096"/>
      <c r="W791" s="2096"/>
      <c r="X791" s="2096"/>
      <c r="Y791" s="2097"/>
      <c r="Z791" s="2095" t="s">
        <v>1680</v>
      </c>
      <c r="AA791" s="2096"/>
      <c r="AB791" s="2096"/>
      <c r="AC791" s="2096"/>
      <c r="AD791" s="2096"/>
      <c r="AE791" s="2097"/>
      <c r="AF791" s="2095" t="s">
        <v>1681</v>
      </c>
      <c r="AG791" s="2096"/>
      <c r="AH791" s="2096"/>
      <c r="AI791" s="2096"/>
      <c r="AJ791" s="2096"/>
      <c r="AK791" s="2097"/>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2098"/>
      <c r="U792" s="2099"/>
      <c r="V792" s="2099"/>
      <c r="W792" s="2099"/>
      <c r="X792" s="2099"/>
      <c r="Y792" s="2100"/>
      <c r="Z792" s="2098"/>
      <c r="AA792" s="2099"/>
      <c r="AB792" s="2099"/>
      <c r="AC792" s="2099"/>
      <c r="AD792" s="2099"/>
      <c r="AE792" s="2100"/>
      <c r="AF792" s="2098"/>
      <c r="AG792" s="2099"/>
      <c r="AH792" s="2099"/>
      <c r="AI792" s="2099"/>
      <c r="AJ792" s="2099"/>
      <c r="AK792" s="2100"/>
      <c r="AL792" s="852"/>
      <c r="AM792" s="630"/>
      <c r="AO792" s="850"/>
      <c r="AP792" s="850"/>
      <c r="AQ792" s="850"/>
    </row>
    <row r="793" spans="1:43">
      <c r="A793" s="853" t="s">
        <v>765</v>
      </c>
      <c r="B793" s="2075" t="s">
        <v>1413</v>
      </c>
      <c r="C793" s="2075"/>
      <c r="D793" s="2075"/>
      <c r="E793" s="2075"/>
      <c r="F793" s="2075"/>
      <c r="G793" s="2075"/>
      <c r="H793" s="2075"/>
      <c r="I793" s="2075"/>
      <c r="J793" s="2075"/>
      <c r="K793" s="2075"/>
      <c r="L793" s="2075"/>
      <c r="M793" s="2075"/>
      <c r="N793" s="2075"/>
      <c r="O793" s="2075"/>
      <c r="P793" s="2075"/>
      <c r="Q793" s="2075"/>
      <c r="R793" s="2075"/>
      <c r="S793" s="2076"/>
      <c r="T793" s="2077">
        <f>AK56</f>
        <v>0</v>
      </c>
      <c r="U793" s="2078"/>
      <c r="V793" s="2078"/>
      <c r="W793" s="2078"/>
      <c r="X793" s="2078"/>
      <c r="Y793" s="2079"/>
      <c r="Z793" s="2080">
        <v>20</v>
      </c>
      <c r="AA793" s="2078"/>
      <c r="AB793" s="2078"/>
      <c r="AC793" s="2078"/>
      <c r="AD793" s="2078"/>
      <c r="AE793" s="2079"/>
      <c r="AF793" s="2044">
        <f>IF(T793&gt;Z793,Z793,T793)</f>
        <v>0</v>
      </c>
      <c r="AG793" s="2044"/>
      <c r="AH793" s="2044"/>
      <c r="AI793" s="2044"/>
      <c r="AJ793" s="2044"/>
      <c r="AK793" s="2044"/>
      <c r="AL793" s="852"/>
      <c r="AM793" s="630"/>
      <c r="AO793" s="850"/>
      <c r="AP793" s="850"/>
      <c r="AQ793" s="850"/>
    </row>
    <row r="794" spans="1:43">
      <c r="A794" s="853" t="s">
        <v>1651</v>
      </c>
      <c r="B794" s="2075" t="s">
        <v>1422</v>
      </c>
      <c r="C794" s="2075"/>
      <c r="D794" s="2075"/>
      <c r="E794" s="2075"/>
      <c r="F794" s="2075"/>
      <c r="G794" s="2075"/>
      <c r="H794" s="2075"/>
      <c r="I794" s="2075"/>
      <c r="J794" s="2075"/>
      <c r="K794" s="2075"/>
      <c r="L794" s="2075"/>
      <c r="M794" s="2075"/>
      <c r="N794" s="2075"/>
      <c r="O794" s="2075"/>
      <c r="P794" s="2075"/>
      <c r="Q794" s="2075"/>
      <c r="R794" s="2075"/>
      <c r="S794" s="2076"/>
      <c r="T794" s="2077">
        <f>AK78</f>
        <v>10</v>
      </c>
      <c r="U794" s="2078"/>
      <c r="V794" s="2078"/>
      <c r="W794" s="2078"/>
      <c r="X794" s="2078"/>
      <c r="Y794" s="2079"/>
      <c r="Z794" s="2080">
        <v>10</v>
      </c>
      <c r="AA794" s="2078"/>
      <c r="AB794" s="2078"/>
      <c r="AC794" s="2078"/>
      <c r="AD794" s="2078"/>
      <c r="AE794" s="2079"/>
      <c r="AF794" s="2044">
        <f>IF(T794&gt;Z794,Z794,T794)</f>
        <v>10</v>
      </c>
      <c r="AG794" s="2044"/>
      <c r="AH794" s="2044"/>
      <c r="AI794" s="2044"/>
      <c r="AJ794" s="2044"/>
      <c r="AK794" s="2044"/>
      <c r="AL794" s="852"/>
      <c r="AM794" s="630"/>
      <c r="AO794" s="850"/>
      <c r="AP794" s="850"/>
      <c r="AQ794" s="850"/>
    </row>
    <row r="795" spans="1:43">
      <c r="A795" s="853" t="s">
        <v>1660</v>
      </c>
      <c r="B795" s="2075" t="s">
        <v>1432</v>
      </c>
      <c r="C795" s="2075"/>
      <c r="D795" s="2075"/>
      <c r="E795" s="2075"/>
      <c r="F795" s="2075"/>
      <c r="G795" s="2075"/>
      <c r="H795" s="2075"/>
      <c r="I795" s="2075"/>
      <c r="J795" s="2075"/>
      <c r="K795" s="2075"/>
      <c r="L795" s="2075"/>
      <c r="M795" s="2075"/>
      <c r="N795" s="2075"/>
      <c r="O795" s="2075"/>
      <c r="P795" s="2075"/>
      <c r="Q795" s="2075"/>
      <c r="R795" s="2075"/>
      <c r="S795" s="2076"/>
      <c r="T795" s="2077">
        <f ca="1">AK103</f>
        <v>20</v>
      </c>
      <c r="U795" s="2078"/>
      <c r="V795" s="2078"/>
      <c r="W795" s="2078"/>
      <c r="X795" s="2078"/>
      <c r="Y795" s="2079"/>
      <c r="Z795" s="2080">
        <v>20</v>
      </c>
      <c r="AA795" s="2078"/>
      <c r="AB795" s="2078"/>
      <c r="AC795" s="2078"/>
      <c r="AD795" s="2078"/>
      <c r="AE795" s="2079"/>
      <c r="AF795" s="2044">
        <f ca="1">IF(T795&gt;Z795,Z795,T795)</f>
        <v>20</v>
      </c>
      <c r="AG795" s="2044"/>
      <c r="AH795" s="2044"/>
      <c r="AI795" s="2044"/>
      <c r="AJ795" s="2044"/>
      <c r="AK795" s="2044"/>
      <c r="AL795" s="852"/>
      <c r="AM795" s="630"/>
      <c r="AO795" s="850"/>
      <c r="AP795" s="850"/>
      <c r="AQ795" s="850"/>
    </row>
    <row r="796" spans="1:43">
      <c r="A796" s="853" t="s">
        <v>1682</v>
      </c>
      <c r="B796" s="2075" t="s">
        <v>1442</v>
      </c>
      <c r="C796" s="2075"/>
      <c r="D796" s="2075"/>
      <c r="E796" s="2075"/>
      <c r="F796" s="2075"/>
      <c r="G796" s="2075"/>
      <c r="H796" s="2075"/>
      <c r="I796" s="2075"/>
      <c r="J796" s="2075"/>
      <c r="K796" s="2075"/>
      <c r="L796" s="2075"/>
      <c r="M796" s="2075"/>
      <c r="N796" s="2075"/>
      <c r="O796" s="2075"/>
      <c r="P796" s="2075"/>
      <c r="Q796" s="2075"/>
      <c r="R796" s="2075"/>
      <c r="S796" s="2076"/>
      <c r="T796" s="2077">
        <f>AK137</f>
        <v>10</v>
      </c>
      <c r="U796" s="2078"/>
      <c r="V796" s="2078"/>
      <c r="W796" s="2078"/>
      <c r="X796" s="2078"/>
      <c r="Y796" s="2079"/>
      <c r="Z796" s="2080">
        <v>10</v>
      </c>
      <c r="AA796" s="2078"/>
      <c r="AB796" s="2078"/>
      <c r="AC796" s="2078"/>
      <c r="AD796" s="2078"/>
      <c r="AE796" s="2079"/>
      <c r="AF796" s="2044">
        <f>IF(T796&gt;Z796,Z796,T796)</f>
        <v>10</v>
      </c>
      <c r="AG796" s="2044"/>
      <c r="AH796" s="2044"/>
      <c r="AI796" s="2044"/>
      <c r="AJ796" s="2044"/>
      <c r="AK796" s="2044"/>
      <c r="AL796" s="852"/>
      <c r="AM796" s="630"/>
      <c r="AO796" s="850"/>
      <c r="AP796" s="850"/>
      <c r="AQ796" s="850"/>
    </row>
    <row r="797" spans="1:43">
      <c r="A797" s="854" t="s">
        <v>1683</v>
      </c>
      <c r="B797" s="2075" t="s">
        <v>1684</v>
      </c>
      <c r="C797" s="2075"/>
      <c r="D797" s="2075"/>
      <c r="E797" s="2075"/>
      <c r="F797" s="2075"/>
      <c r="G797" s="2075"/>
      <c r="H797" s="2075"/>
      <c r="I797" s="2075"/>
      <c r="J797" s="2075"/>
      <c r="K797" s="2075"/>
      <c r="L797" s="2075"/>
      <c r="M797" s="2075"/>
      <c r="N797" s="2075"/>
      <c r="O797" s="2075"/>
      <c r="P797" s="2075"/>
      <c r="Q797" s="2075"/>
      <c r="R797" s="2075"/>
      <c r="S797" s="2076"/>
      <c r="T797" s="2101">
        <f>SUM(T798:Y799)</f>
        <v>10</v>
      </c>
      <c r="U797" s="2101"/>
      <c r="V797" s="2101"/>
      <c r="W797" s="2101"/>
      <c r="X797" s="2101"/>
      <c r="Y797" s="2101"/>
      <c r="Z797" s="2044">
        <v>10</v>
      </c>
      <c r="AA797" s="2044"/>
      <c r="AB797" s="2044"/>
      <c r="AC797" s="2044"/>
      <c r="AD797" s="2044"/>
      <c r="AE797" s="2044"/>
      <c r="AF797" s="2044">
        <f>IF(T797&gt;Z797,Z797,T797)</f>
        <v>10</v>
      </c>
      <c r="AG797" s="2044"/>
      <c r="AH797" s="2044"/>
      <c r="AI797" s="2044"/>
      <c r="AJ797" s="2044"/>
      <c r="AK797" s="2044"/>
      <c r="AL797" s="852"/>
      <c r="AM797" s="630"/>
    </row>
    <row r="798" spans="1:43">
      <c r="A798" s="569"/>
      <c r="B798" s="635"/>
      <c r="C798" s="2102" t="s">
        <v>1685</v>
      </c>
      <c r="D798" s="2102"/>
      <c r="E798" s="2102"/>
      <c r="F798" s="2102"/>
      <c r="G798" s="2102"/>
      <c r="H798" s="2102"/>
      <c r="I798" s="2102"/>
      <c r="J798" s="2102"/>
      <c r="K798" s="2102"/>
      <c r="L798" s="2102"/>
      <c r="M798" s="2102"/>
      <c r="N798" s="2102"/>
      <c r="O798" s="2102"/>
      <c r="P798" s="2102"/>
      <c r="Q798" s="2102"/>
      <c r="R798" s="2102"/>
      <c r="S798" s="2103"/>
      <c r="T798" s="1977">
        <f>AJ155</f>
        <v>7</v>
      </c>
      <c r="U798" s="1977"/>
      <c r="V798" s="1977"/>
      <c r="W798" s="1977"/>
      <c r="X798" s="1977"/>
      <c r="Y798" s="1977"/>
      <c r="Z798" s="1978">
        <v>7</v>
      </c>
      <c r="AA798" s="1978"/>
      <c r="AB798" s="1978"/>
      <c r="AC798" s="1978"/>
      <c r="AD798" s="1978"/>
      <c r="AE798" s="1978"/>
      <c r="AF798" s="2104"/>
      <c r="AG798" s="2104"/>
      <c r="AH798" s="2104"/>
      <c r="AI798" s="2104"/>
      <c r="AJ798" s="2104"/>
      <c r="AK798" s="2104"/>
      <c r="AL798" s="852"/>
      <c r="AM798" s="630"/>
    </row>
    <row r="799" spans="1:43">
      <c r="A799" s="634"/>
      <c r="B799" s="635"/>
      <c r="C799" s="2102" t="s">
        <v>1686</v>
      </c>
      <c r="D799" s="2102"/>
      <c r="E799" s="2102"/>
      <c r="F799" s="2102"/>
      <c r="G799" s="2102"/>
      <c r="H799" s="2102"/>
      <c r="I799" s="2102"/>
      <c r="J799" s="2102"/>
      <c r="K799" s="2102"/>
      <c r="L799" s="2102"/>
      <c r="M799" s="2102"/>
      <c r="N799" s="2102"/>
      <c r="O799" s="2102"/>
      <c r="P799" s="2102"/>
      <c r="Q799" s="2102"/>
      <c r="R799" s="2102"/>
      <c r="S799" s="2103"/>
      <c r="T799" s="1977">
        <f>AJ169</f>
        <v>3</v>
      </c>
      <c r="U799" s="1977"/>
      <c r="V799" s="1977"/>
      <c r="W799" s="1977"/>
      <c r="X799" s="1977"/>
      <c r="Y799" s="1977"/>
      <c r="Z799" s="1978">
        <v>3</v>
      </c>
      <c r="AA799" s="1978"/>
      <c r="AB799" s="1978"/>
      <c r="AC799" s="1978"/>
      <c r="AD799" s="1978"/>
      <c r="AE799" s="1978"/>
      <c r="AF799" s="2104"/>
      <c r="AG799" s="2104"/>
      <c r="AH799" s="2104"/>
      <c r="AI799" s="2104"/>
      <c r="AJ799" s="2104"/>
      <c r="AK799" s="2104"/>
      <c r="AL799" s="852"/>
      <c r="AM799" s="630"/>
      <c r="AO799" s="584"/>
    </row>
    <row r="800" spans="1:43">
      <c r="A800" s="854" t="s">
        <v>1470</v>
      </c>
      <c r="B800" s="2075" t="s">
        <v>1687</v>
      </c>
      <c r="C800" s="2075"/>
      <c r="D800" s="2075"/>
      <c r="E800" s="2075"/>
      <c r="F800" s="2075"/>
      <c r="G800" s="2075"/>
      <c r="H800" s="2075"/>
      <c r="I800" s="2075"/>
      <c r="J800" s="2075"/>
      <c r="K800" s="2075"/>
      <c r="L800" s="2075"/>
      <c r="M800" s="2075"/>
      <c r="N800" s="2075"/>
      <c r="O800" s="2075"/>
      <c r="P800" s="2075"/>
      <c r="Q800" s="2075"/>
      <c r="R800" s="2075"/>
      <c r="S800" s="2076"/>
      <c r="T800" s="2101">
        <f>AK180</f>
        <v>10</v>
      </c>
      <c r="U800" s="2101"/>
      <c r="V800" s="2101"/>
      <c r="W800" s="2101"/>
      <c r="X800" s="2101"/>
      <c r="Y800" s="2101"/>
      <c r="Z800" s="2044">
        <v>10</v>
      </c>
      <c r="AA800" s="2044"/>
      <c r="AB800" s="2044"/>
      <c r="AC800" s="2044"/>
      <c r="AD800" s="2044"/>
      <c r="AE800" s="2044"/>
      <c r="AF800" s="2044">
        <f>IF(T800&gt;Z800,Z800,T800)</f>
        <v>10</v>
      </c>
      <c r="AG800" s="2044"/>
      <c r="AH800" s="2044"/>
      <c r="AI800" s="2044"/>
      <c r="AJ800" s="2044"/>
      <c r="AK800" s="2044"/>
      <c r="AL800" s="852"/>
      <c r="AM800" s="630"/>
    </row>
    <row r="801" spans="1:81">
      <c r="A801" s="853" t="s">
        <v>1479</v>
      </c>
      <c r="B801" s="2075" t="s">
        <v>1480</v>
      </c>
      <c r="C801" s="2075"/>
      <c r="D801" s="2075"/>
      <c r="E801" s="2075"/>
      <c r="F801" s="2075"/>
      <c r="G801" s="2075"/>
      <c r="H801" s="2075"/>
      <c r="I801" s="2075"/>
      <c r="J801" s="2075"/>
      <c r="K801" s="2075"/>
      <c r="L801" s="2075"/>
      <c r="M801" s="2075"/>
      <c r="N801" s="2075"/>
      <c r="O801" s="2075"/>
      <c r="P801" s="2075"/>
      <c r="Q801" s="2075"/>
      <c r="R801" s="2075"/>
      <c r="S801" s="2076"/>
      <c r="T801" s="2101">
        <f>AK262</f>
        <v>8</v>
      </c>
      <c r="U801" s="2101"/>
      <c r="V801" s="2101"/>
      <c r="W801" s="2101"/>
      <c r="X801" s="2101"/>
      <c r="Y801" s="2101"/>
      <c r="Z801" s="2080">
        <v>8</v>
      </c>
      <c r="AA801" s="2078"/>
      <c r="AB801" s="2078"/>
      <c r="AC801" s="2078"/>
      <c r="AD801" s="2078"/>
      <c r="AE801" s="2079"/>
      <c r="AF801" s="2044">
        <f>IF(T801&gt;Z801,Z801,T801)</f>
        <v>8</v>
      </c>
      <c r="AG801" s="2044"/>
      <c r="AH801" s="2044"/>
      <c r="AI801" s="2044"/>
      <c r="AJ801" s="2044"/>
      <c r="AK801" s="2044"/>
      <c r="AL801" s="852"/>
      <c r="AM801" s="630"/>
    </row>
    <row r="802" spans="1:81" s="568" customFormat="1" hidden="1">
      <c r="A802" s="854" t="s">
        <v>596</v>
      </c>
      <c r="B802" s="2075" t="s">
        <v>1688</v>
      </c>
      <c r="C802" s="2075"/>
      <c r="D802" s="2075"/>
      <c r="E802" s="2075"/>
      <c r="F802" s="2075"/>
      <c r="G802" s="2075"/>
      <c r="H802" s="2075"/>
      <c r="I802" s="2075"/>
      <c r="J802" s="2075"/>
      <c r="K802" s="2075"/>
      <c r="L802" s="2075"/>
      <c r="M802" s="2075"/>
      <c r="N802" s="2075"/>
      <c r="O802" s="2075"/>
      <c r="P802" s="2075"/>
      <c r="Q802" s="2075"/>
      <c r="R802" s="2075"/>
      <c r="S802" s="2076"/>
      <c r="T802" s="2101">
        <f>IF(AK524&gt;5,5,AK524)</f>
        <v>0</v>
      </c>
      <c r="U802" s="2101"/>
      <c r="V802" s="2101"/>
      <c r="W802" s="2101"/>
      <c r="X802" s="2101"/>
      <c r="Y802" s="2101"/>
      <c r="Z802" s="2044">
        <v>5</v>
      </c>
      <c r="AA802" s="2044"/>
      <c r="AB802" s="2044"/>
      <c r="AC802" s="2044"/>
      <c r="AD802" s="2044"/>
      <c r="AE802" s="2044"/>
      <c r="AF802" s="2044">
        <f>IF(T802&gt;Z802,5,T802)</f>
        <v>0</v>
      </c>
      <c r="AG802" s="2044"/>
      <c r="AH802" s="2044"/>
      <c r="AI802" s="2044"/>
      <c r="AJ802" s="2044"/>
      <c r="AK802" s="2044"/>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1485</v>
      </c>
      <c r="B803" s="2075" t="s">
        <v>1689</v>
      </c>
      <c r="C803" s="2075"/>
      <c r="D803" s="2075"/>
      <c r="E803" s="2075"/>
      <c r="F803" s="2075"/>
      <c r="G803" s="2075"/>
      <c r="H803" s="2075"/>
      <c r="I803" s="2075"/>
      <c r="J803" s="2075"/>
      <c r="K803" s="2075"/>
      <c r="L803" s="2075"/>
      <c r="M803" s="2075"/>
      <c r="N803" s="2075"/>
      <c r="O803" s="2075"/>
      <c r="P803" s="2075"/>
      <c r="Q803" s="2075"/>
      <c r="R803" s="2075"/>
      <c r="S803" s="2076"/>
      <c r="T803" s="2101">
        <f>AK274</f>
        <v>10</v>
      </c>
      <c r="U803" s="2101"/>
      <c r="V803" s="2101"/>
      <c r="W803" s="2101"/>
      <c r="X803" s="2101"/>
      <c r="Y803" s="2101"/>
      <c r="Z803" s="2044">
        <v>10</v>
      </c>
      <c r="AA803" s="2044"/>
      <c r="AB803" s="2044"/>
      <c r="AC803" s="2044"/>
      <c r="AD803" s="2044"/>
      <c r="AE803" s="2044"/>
      <c r="AF803" s="2107">
        <f>IF(T803&gt;Z803,Z803,T803)</f>
        <v>10</v>
      </c>
      <c r="AG803" s="2108"/>
      <c r="AH803" s="2108"/>
      <c r="AI803" s="2108"/>
      <c r="AJ803" s="2108"/>
      <c r="AK803" s="2109"/>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1489</v>
      </c>
      <c r="B804" s="2075" t="s">
        <v>1490</v>
      </c>
      <c r="C804" s="2075"/>
      <c r="D804" s="2075"/>
      <c r="E804" s="2075"/>
      <c r="F804" s="2075"/>
      <c r="G804" s="2075"/>
      <c r="H804" s="2075"/>
      <c r="I804" s="2075"/>
      <c r="J804" s="2075"/>
      <c r="K804" s="2075"/>
      <c r="L804" s="2075"/>
      <c r="M804" s="2075"/>
      <c r="N804" s="2075"/>
      <c r="O804" s="2075"/>
      <c r="P804" s="2075"/>
      <c r="Q804" s="2075"/>
      <c r="R804" s="2075"/>
      <c r="S804" s="2076"/>
      <c r="T804" s="2101">
        <f>AK327</f>
        <v>10</v>
      </c>
      <c r="U804" s="2101"/>
      <c r="V804" s="2101"/>
      <c r="W804" s="2101"/>
      <c r="X804" s="2101"/>
      <c r="Y804" s="2101"/>
      <c r="Z804" s="2107">
        <v>10</v>
      </c>
      <c r="AA804" s="2108"/>
      <c r="AB804" s="2108"/>
      <c r="AC804" s="2108"/>
      <c r="AD804" s="2108"/>
      <c r="AE804" s="2109"/>
      <c r="AF804" s="2107">
        <f>IF(T804&gt;Z804,Z804,T804)</f>
        <v>10</v>
      </c>
      <c r="AG804" s="2108"/>
      <c r="AH804" s="2108"/>
      <c r="AI804" s="2108"/>
      <c r="AJ804" s="2108"/>
      <c r="AK804" s="2109"/>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1690</v>
      </c>
      <c r="D805" s="857"/>
      <c r="E805" s="857"/>
      <c r="F805" s="857"/>
      <c r="G805" s="857"/>
      <c r="H805" s="857"/>
      <c r="I805" s="857"/>
      <c r="J805" s="857"/>
      <c r="K805" s="857"/>
      <c r="L805" s="857"/>
      <c r="M805" s="857"/>
      <c r="N805" s="857"/>
      <c r="O805" s="857"/>
      <c r="P805" s="857"/>
      <c r="Q805" s="857"/>
      <c r="R805" s="855"/>
      <c r="S805" s="858"/>
      <c r="T805" s="1977">
        <f>AK327</f>
        <v>10</v>
      </c>
      <c r="U805" s="1977"/>
      <c r="V805" s="1977"/>
      <c r="W805" s="1977"/>
      <c r="X805" s="1977"/>
      <c r="Y805" s="1977"/>
      <c r="Z805" s="1982">
        <v>20</v>
      </c>
      <c r="AA805" s="1983"/>
      <c r="AB805" s="1983"/>
      <c r="AC805" s="1983"/>
      <c r="AD805" s="1983"/>
      <c r="AE805" s="1984"/>
      <c r="AF805" s="2104"/>
      <c r="AG805" s="2104"/>
      <c r="AH805" s="2104"/>
      <c r="AI805" s="2104"/>
      <c r="AJ805" s="2104"/>
      <c r="AK805" s="2104"/>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1562</v>
      </c>
      <c r="B806" s="2075" t="s">
        <v>855</v>
      </c>
      <c r="C806" s="2075"/>
      <c r="D806" s="2075"/>
      <c r="E806" s="2075"/>
      <c r="F806" s="2075"/>
      <c r="G806" s="2075"/>
      <c r="H806" s="2075"/>
      <c r="I806" s="2075"/>
      <c r="J806" s="2075"/>
      <c r="K806" s="2075"/>
      <c r="L806" s="2075"/>
      <c r="M806" s="2075"/>
      <c r="N806" s="2075"/>
      <c r="O806" s="2075"/>
      <c r="P806" s="2075"/>
      <c r="Q806" s="2075"/>
      <c r="R806" s="2075"/>
      <c r="S806" s="2076"/>
      <c r="T806" s="2101">
        <f>AK458</f>
        <v>10</v>
      </c>
      <c r="U806" s="2101"/>
      <c r="V806" s="2101"/>
      <c r="W806" s="2101"/>
      <c r="X806" s="2101"/>
      <c r="Y806" s="2101"/>
      <c r="Z806" s="2107">
        <v>10</v>
      </c>
      <c r="AA806" s="2108"/>
      <c r="AB806" s="2108"/>
      <c r="AC806" s="2108"/>
      <c r="AD806" s="2108"/>
      <c r="AE806" s="2109"/>
      <c r="AF806" s="2044">
        <f>IF(T806&gt;Z806,Z806,T806)</f>
        <v>10</v>
      </c>
      <c r="AG806" s="2044"/>
      <c r="AH806" s="2044"/>
      <c r="AI806" s="2044"/>
      <c r="AJ806" s="2044"/>
      <c r="AK806" s="2044"/>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1668</v>
      </c>
      <c r="B807" s="2075" t="s">
        <v>1669</v>
      </c>
      <c r="C807" s="2075"/>
      <c r="D807" s="2075"/>
      <c r="E807" s="2075"/>
      <c r="F807" s="2075"/>
      <c r="G807" s="2075"/>
      <c r="H807" s="2075"/>
      <c r="I807" s="2075"/>
      <c r="J807" s="2075"/>
      <c r="K807" s="2075"/>
      <c r="L807" s="2075"/>
      <c r="M807" s="2075"/>
      <c r="N807" s="2075"/>
      <c r="O807" s="2075"/>
      <c r="P807" s="2075"/>
      <c r="Q807" s="2075"/>
      <c r="R807" s="2075"/>
      <c r="S807" s="2076"/>
      <c r="T807" s="2101">
        <f>AK548</f>
        <v>12</v>
      </c>
      <c r="U807" s="2101"/>
      <c r="V807" s="2101"/>
      <c r="W807" s="2101"/>
      <c r="X807" s="2101"/>
      <c r="Y807" s="2101"/>
      <c r="Z807" s="2107">
        <v>12</v>
      </c>
      <c r="AA807" s="2108"/>
      <c r="AB807" s="2108"/>
      <c r="AC807" s="2108"/>
      <c r="AD807" s="2108"/>
      <c r="AE807" s="2109"/>
      <c r="AF807" s="2044">
        <f>IF(T807&gt;Z807,Z807,T807)</f>
        <v>12</v>
      </c>
      <c r="AG807" s="2044"/>
      <c r="AH807" s="2044"/>
      <c r="AI807" s="2044"/>
      <c r="AJ807" s="2044"/>
      <c r="AK807" s="2044"/>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2333</v>
      </c>
      <c r="B808" s="2075" t="s">
        <v>1691</v>
      </c>
      <c r="C808" s="2075"/>
      <c r="D808" s="2075"/>
      <c r="E808" s="2075"/>
      <c r="F808" s="2075"/>
      <c r="G808" s="2075"/>
      <c r="H808" s="2075"/>
      <c r="I808" s="2075"/>
      <c r="J808" s="2075"/>
      <c r="K808" s="2075"/>
      <c r="L808" s="2075"/>
      <c r="M808" s="2075"/>
      <c r="N808" s="2075"/>
      <c r="O808" s="2075"/>
      <c r="P808" s="2075"/>
      <c r="Q808" s="2075"/>
      <c r="R808" s="2075"/>
      <c r="S808" s="2076"/>
      <c r="T808" s="2101">
        <f>AK783</f>
        <v>10</v>
      </c>
      <c r="U808" s="2101"/>
      <c r="V808" s="2101"/>
      <c r="W808" s="2101"/>
      <c r="X808" s="2101"/>
      <c r="Y808" s="2101"/>
      <c r="Z808" s="2107">
        <v>10</v>
      </c>
      <c r="AA808" s="2108"/>
      <c r="AB808" s="2108"/>
      <c r="AC808" s="2108"/>
      <c r="AD808" s="2108"/>
      <c r="AE808" s="2109"/>
      <c r="AF808" s="2044">
        <f>IF(T808&gt;Z808,Z808,T808)</f>
        <v>10</v>
      </c>
      <c r="AG808" s="2044"/>
      <c r="AH808" s="2044"/>
      <c r="AI808" s="2044"/>
      <c r="AJ808" s="2044"/>
      <c r="AK808" s="2044"/>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2105" t="s">
        <v>1692</v>
      </c>
      <c r="B809" s="2075"/>
      <c r="C809" s="2075"/>
      <c r="D809" s="2075"/>
      <c r="E809" s="2075"/>
      <c r="F809" s="2075"/>
      <c r="G809" s="2075"/>
      <c r="H809" s="2075"/>
      <c r="I809" s="2075"/>
      <c r="J809" s="2075"/>
      <c r="K809" s="2075"/>
      <c r="L809" s="2075"/>
      <c r="M809" s="2075"/>
      <c r="N809" s="2075"/>
      <c r="O809" s="2075"/>
      <c r="P809" s="2075"/>
      <c r="Q809" s="2075"/>
      <c r="R809" s="2075"/>
      <c r="S809" s="2076"/>
      <c r="T809" s="2106"/>
      <c r="U809" s="2106"/>
      <c r="V809" s="2106"/>
      <c r="W809" s="2106"/>
      <c r="X809" s="2106"/>
      <c r="Y809" s="2106"/>
      <c r="Z809" s="1978" t="s">
        <v>1693</v>
      </c>
      <c r="AA809" s="1978"/>
      <c r="AB809" s="1978"/>
      <c r="AC809" s="1978"/>
      <c r="AD809" s="1978"/>
      <c r="AE809" s="1978"/>
      <c r="AF809" s="2107">
        <f>IF(T809&gt;0,T809,0)</f>
        <v>0</v>
      </c>
      <c r="AG809" s="2108"/>
      <c r="AH809" s="2108"/>
      <c r="AI809" s="2108"/>
      <c r="AJ809" s="2108"/>
      <c r="AK809" s="2109"/>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2110" t="s">
        <v>1694</v>
      </c>
      <c r="B810" s="2111"/>
      <c r="C810" s="2111"/>
      <c r="D810" s="2111"/>
      <c r="E810" s="2111"/>
      <c r="F810" s="2111"/>
      <c r="G810" s="2111"/>
      <c r="H810" s="2111"/>
      <c r="I810" s="2111"/>
      <c r="J810" s="2111"/>
      <c r="K810" s="2111"/>
      <c r="L810" s="2111"/>
      <c r="M810" s="2111"/>
      <c r="N810" s="2111"/>
      <c r="O810" s="2111"/>
      <c r="P810" s="2111"/>
      <c r="Q810" s="2111"/>
      <c r="R810" s="2111"/>
      <c r="S810" s="2111"/>
      <c r="T810" s="2111"/>
      <c r="U810" s="2111"/>
      <c r="V810" s="2111"/>
      <c r="W810" s="2111"/>
      <c r="X810" s="2111"/>
      <c r="Y810" s="2111"/>
      <c r="Z810" s="2111"/>
      <c r="AA810" s="2111"/>
      <c r="AB810" s="2111"/>
      <c r="AC810" s="2111"/>
      <c r="AD810" s="2111"/>
      <c r="AE810" s="2112"/>
      <c r="AF810" s="2116">
        <f ca="1">SUM(AF793:AK808)-AF809</f>
        <v>120</v>
      </c>
      <c r="AG810" s="2117"/>
      <c r="AH810" s="2117"/>
      <c r="AI810" s="2117"/>
      <c r="AJ810" s="2117"/>
      <c r="AK810" s="2118"/>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2113"/>
      <c r="B811" s="2114"/>
      <c r="C811" s="2114"/>
      <c r="D811" s="2114"/>
      <c r="E811" s="2114"/>
      <c r="F811" s="2114"/>
      <c r="G811" s="2114"/>
      <c r="H811" s="2114"/>
      <c r="I811" s="2114"/>
      <c r="J811" s="2114"/>
      <c r="K811" s="2114"/>
      <c r="L811" s="2114"/>
      <c r="M811" s="2114"/>
      <c r="N811" s="2114"/>
      <c r="O811" s="2114"/>
      <c r="P811" s="2114"/>
      <c r="Q811" s="2114"/>
      <c r="R811" s="2114"/>
      <c r="S811" s="2114"/>
      <c r="T811" s="2114"/>
      <c r="U811" s="2114"/>
      <c r="V811" s="2114"/>
      <c r="W811" s="2114"/>
      <c r="X811" s="2114"/>
      <c r="Y811" s="2114"/>
      <c r="Z811" s="2114"/>
      <c r="AA811" s="2114"/>
      <c r="AB811" s="2114"/>
      <c r="AC811" s="2114"/>
      <c r="AD811" s="2114"/>
      <c r="AE811" s="2115"/>
      <c r="AF811" s="2119"/>
      <c r="AG811" s="2120"/>
      <c r="AH811" s="2120"/>
      <c r="AI811" s="2120"/>
      <c r="AJ811" s="2120"/>
      <c r="AK811" s="2121"/>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A38" zoomScale="85" zoomScaleNormal="85" workbookViewId="0">
      <selection activeCell="B98" sqref="B98"/>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166" t="s">
        <v>1695</v>
      </c>
      <c r="B1" s="2166"/>
      <c r="C1" s="2166"/>
      <c r="D1" s="2166"/>
      <c r="E1" s="2166"/>
      <c r="F1" s="2166"/>
      <c r="G1" s="2166"/>
      <c r="H1" s="2166"/>
      <c r="I1" s="2166"/>
      <c r="J1" s="2166"/>
    </row>
    <row r="2" spans="1:13" ht="15" customHeight="1" thickBot="1">
      <c r="A2" s="1081"/>
      <c r="B2" s="1081"/>
      <c r="I2" s="1082"/>
      <c r="K2" s="1083"/>
    </row>
    <row r="3" spans="1:13" s="1086" customFormat="1" ht="20.100000000000001" customHeight="1">
      <c r="A3" s="1140"/>
      <c r="B3" s="1141"/>
      <c r="C3" s="1142"/>
      <c r="D3" s="1147"/>
      <c r="E3" s="1142"/>
      <c r="F3" s="1143" t="s">
        <v>2298</v>
      </c>
      <c r="G3" s="1142"/>
      <c r="H3" s="1144">
        <f>E16</f>
        <v>53134706</v>
      </c>
      <c r="I3" s="1145"/>
    </row>
    <row r="4" spans="1:13" s="1086" customFormat="1" ht="20.100000000000001" customHeight="1">
      <c r="B4" s="1134"/>
      <c r="D4" s="1148"/>
      <c r="F4" s="1132" t="s">
        <v>2300</v>
      </c>
      <c r="G4" s="1131" t="s">
        <v>2299</v>
      </c>
      <c r="H4" s="1133">
        <f>I16</f>
        <v>42934154.827614382</v>
      </c>
      <c r="I4" s="1135"/>
      <c r="K4" s="1090"/>
    </row>
    <row r="5" spans="1:13" s="1086" customFormat="1" ht="20.100000000000001" customHeight="1" thickBot="1">
      <c r="B5" s="1136"/>
      <c r="C5" s="1137"/>
      <c r="D5" s="1149"/>
      <c r="E5" s="1138"/>
      <c r="F5" s="1149" t="s">
        <v>2240</v>
      </c>
      <c r="G5" s="1150"/>
      <c r="H5" s="1146">
        <f>H3/H4</f>
        <v>1.2375859316048496</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68" t="s">
        <v>2238</v>
      </c>
      <c r="C8" s="2169"/>
      <c r="D8" s="2169"/>
      <c r="E8" s="2170"/>
      <c r="G8" s="2171" t="s">
        <v>2239</v>
      </c>
      <c r="H8" s="2172"/>
      <c r="I8" s="2173"/>
      <c r="K8" s="1092"/>
    </row>
    <row r="9" spans="1:13" ht="15" customHeight="1">
      <c r="A9" s="1081"/>
      <c r="B9" s="2167" t="s">
        <v>2277</v>
      </c>
      <c r="C9" s="2167"/>
      <c r="D9" s="2167"/>
      <c r="E9" s="1094">
        <f>G31</f>
        <v>7257500</v>
      </c>
      <c r="G9" s="2176" t="s">
        <v>2275</v>
      </c>
      <c r="H9" s="2176"/>
      <c r="I9" s="1095">
        <f>Application!AM554</f>
        <v>53257010</v>
      </c>
      <c r="K9" s="1096"/>
      <c r="M9" s="1097"/>
    </row>
    <row r="10" spans="1:13" ht="15" customHeight="1" thickBot="1">
      <c r="A10" s="1081"/>
      <c r="B10" s="2167" t="s">
        <v>2278</v>
      </c>
      <c r="C10" s="2167"/>
      <c r="D10" s="2167"/>
      <c r="E10" s="1095">
        <f>G40</f>
        <v>30546756.000000004</v>
      </c>
      <c r="G10" s="2176" t="s">
        <v>2241</v>
      </c>
      <c r="H10" s="2176"/>
      <c r="I10" s="1182">
        <f>'Basis &amp; Credits'!AB77</f>
        <v>2136060</v>
      </c>
      <c r="M10" s="1097"/>
    </row>
    <row r="11" spans="1:13" ht="15" customHeight="1">
      <c r="A11" s="1098"/>
      <c r="B11" s="2167" t="s">
        <v>2279</v>
      </c>
      <c r="C11" s="2167"/>
      <c r="D11" s="2167"/>
      <c r="E11" s="1095">
        <f>G49</f>
        <v>0</v>
      </c>
      <c r="G11" s="2176" t="s">
        <v>2290</v>
      </c>
      <c r="H11" s="2176"/>
      <c r="I11" s="1181">
        <f>I9+I10</f>
        <v>55393070</v>
      </c>
      <c r="M11" s="1097"/>
    </row>
    <row r="12" spans="1:13" ht="15" customHeight="1">
      <c r="A12" s="1084"/>
      <c r="B12" s="2167" t="s">
        <v>2280</v>
      </c>
      <c r="C12" s="2167"/>
      <c r="D12" s="2167"/>
      <c r="E12" s="1095">
        <f>G58</f>
        <v>380000</v>
      </c>
      <c r="G12" s="1183" t="s">
        <v>2315</v>
      </c>
      <c r="H12" s="1184"/>
      <c r="M12" s="1097"/>
    </row>
    <row r="13" spans="1:13" ht="15" customHeight="1">
      <c r="A13" s="1081"/>
      <c r="B13" s="2167" t="s">
        <v>2281</v>
      </c>
      <c r="C13" s="2167"/>
      <c r="D13" s="2167"/>
      <c r="E13" s="1100">
        <f>G83</f>
        <v>10595950</v>
      </c>
      <c r="G13" s="2177" t="s">
        <v>139</v>
      </c>
      <c r="H13" s="2177"/>
      <c r="I13" s="1099">
        <f>15%*(Application!AJ993&gt;0)</f>
        <v>0.15</v>
      </c>
      <c r="M13" s="1097"/>
    </row>
    <row r="14" spans="1:13" ht="15" customHeight="1">
      <c r="A14" s="1081"/>
      <c r="B14" s="2167" t="s">
        <v>2282</v>
      </c>
      <c r="C14" s="2167"/>
      <c r="D14" s="2167"/>
      <c r="E14" s="1095">
        <f>IF(G96&gt;G106,G96,0)</f>
        <v>4354500</v>
      </c>
      <c r="G14" s="1179" t="s">
        <v>2291</v>
      </c>
      <c r="H14" s="1179"/>
      <c r="I14" s="1099">
        <f>IF(Application!AJ1031&gt;0,10%,IF(Application!AJ1035&gt;0,5%,0))</f>
        <v>0.05</v>
      </c>
      <c r="M14" s="1097"/>
    </row>
    <row r="15" spans="1:13" ht="15" customHeight="1" thickBot="1">
      <c r="A15" s="1081"/>
      <c r="B15" s="2174" t="s">
        <v>2301</v>
      </c>
      <c r="C15" s="2174"/>
      <c r="D15" s="2174"/>
      <c r="E15" s="1151">
        <f>IF(E14&gt;0,0,G106)</f>
        <v>0</v>
      </c>
      <c r="G15" s="2180" t="s">
        <v>2292</v>
      </c>
      <c r="H15" s="2181"/>
      <c r="I15" s="1153">
        <f>G114</f>
        <v>2.4918300653594773E-2</v>
      </c>
      <c r="M15" s="1097"/>
    </row>
    <row r="16" spans="1:13" ht="15" customHeight="1">
      <c r="A16" s="1081"/>
      <c r="B16" s="2175" t="s">
        <v>2237</v>
      </c>
      <c r="C16" s="2175"/>
      <c r="D16" s="2175"/>
      <c r="E16" s="1152">
        <f>SUM(E9:E15)</f>
        <v>53134706</v>
      </c>
      <c r="G16" s="1180" t="s">
        <v>2276</v>
      </c>
      <c r="H16" s="1180"/>
      <c r="I16" s="1154">
        <f>I11-((I11*I13)+(I11*I14)+(I11*I15))</f>
        <v>42934154.827614382</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123</v>
      </c>
      <c r="O18" s="1124" t="s">
        <v>589</v>
      </c>
      <c r="P18" s="1079">
        <f>MATCH(Application!T189,Application!BV490:BV547,0)</f>
        <v>44</v>
      </c>
      <c r="S18" s="1101">
        <f>SUM(Cdlac[Population])</f>
        <v>0</v>
      </c>
    </row>
    <row r="19" spans="1:20" ht="15" customHeight="1">
      <c r="A19" s="1081"/>
      <c r="B19" s="1081"/>
      <c r="I19" s="1107"/>
      <c r="L19" s="1079" t="s">
        <v>2233</v>
      </c>
      <c r="M19" s="1079" t="s">
        <v>2232</v>
      </c>
      <c r="N19" s="1079" t="s">
        <v>2246</v>
      </c>
      <c r="O19" s="1079" t="s">
        <v>2247</v>
      </c>
      <c r="P19" s="1079" t="s">
        <v>2234</v>
      </c>
      <c r="Q19" s="1079" t="s">
        <v>2235</v>
      </c>
      <c r="R19" s="1079" t="s">
        <v>2248</v>
      </c>
      <c r="S19" s="1079" t="s">
        <v>2254</v>
      </c>
      <c r="T19" s="1079" t="s">
        <v>385</v>
      </c>
    </row>
    <row r="20" spans="1:20" ht="15" customHeight="1">
      <c r="A20" s="1084"/>
      <c r="C20" s="2178" t="s">
        <v>2294</v>
      </c>
      <c r="D20" s="2178" t="s">
        <v>2295</v>
      </c>
      <c r="E20" s="2178" t="s">
        <v>2296</v>
      </c>
      <c r="F20" s="2178" t="s">
        <v>2297</v>
      </c>
      <c r="G20" s="2178" t="s">
        <v>2293</v>
      </c>
      <c r="H20" s="1108"/>
      <c r="I20" s="1107"/>
      <c r="L20" s="1079">
        <f>IFERROR(MIN(4,MATCH(Application!B718,UnitSizes,0)-1),"")</f>
        <v>0</v>
      </c>
      <c r="M20" s="1101">
        <f>Application!G718</f>
        <v>1</v>
      </c>
      <c r="N20" s="1109">
        <f>Application!AC718</f>
        <v>0.3</v>
      </c>
      <c r="O20" s="1109">
        <f>IF(Cdlac[[#This Row],[Quantity]]&gt;0,IF(Cdlac[[#This Row],[Federal]],30%,IF($G$36,40%,Cdlac[[#This Row],[iAMI]])),"")</f>
        <v>0.3</v>
      </c>
      <c r="P20" s="1101" cm="1">
        <f t="array" ref="P20">IF(Cdlac[[#This Row],[Quantity]]&gt;0,INDEX(TcacRents,$P$18,Cdlac[[#This Row],[Bedrooms]]+1)*Cdlac[[#This Row],[AMI]],"")</f>
        <v>864.6</v>
      </c>
      <c r="Q20" s="1101" cm="1">
        <f t="array" ref="Q20">IF(Cdlac[[#This Row],[Quantity]]&gt;0,INDEX(HudFmrs,$P$18,Cdlac[[#This Row],[Bedrooms]]+1),"")</f>
        <v>2212</v>
      </c>
      <c r="R20" s="1101">
        <f>IF(Cdlac[[#This Row],[Quantity]]&gt;0,MAX(0,Cdlac[[#This Row],[Fair Market Rent]]-Cdlac[[#This Row],[Restricted Rent]]),"")</f>
        <v>1347.4</v>
      </c>
      <c r="S20" s="1079">
        <f>IF(Cdlac[[#This Row],[Quantity]]&gt;0,AND(Application!AK718&lt;&gt;"N/A",Application!AK718&lt;&gt;"")*Cdlac[[#This Row],[Quantity]],"")</f>
        <v>0</v>
      </c>
      <c r="T20" s="1079" t="b">
        <f>AND('Subsidy Contract Calculation'!F4&gt;0,'Subsidy Contract Calculation'!C4="Federal",Cdlac[[#This Row],[Quantity]]&gt;0)</f>
        <v>0</v>
      </c>
    </row>
    <row r="21" spans="1:20" ht="15" customHeight="1">
      <c r="A21" s="1084"/>
      <c r="C21" s="2179"/>
      <c r="D21" s="2179"/>
      <c r="E21" s="2179"/>
      <c r="F21" s="2179"/>
      <c r="G21" s="2179"/>
      <c r="H21" s="1108"/>
      <c r="I21" s="1107"/>
      <c r="L21" s="1079">
        <f>IFERROR(MIN(4,MATCH(Application!B719,UnitSizes,0)-1),"")</f>
        <v>0</v>
      </c>
      <c r="M21" s="1101">
        <f>Application!G719</f>
        <v>1</v>
      </c>
      <c r="N21" s="1109">
        <f>Application!AC719</f>
        <v>0.4</v>
      </c>
      <c r="O21" s="1109">
        <f>IF(Cdlac[[#This Row],[Quantity]]&gt;0,IF(Cdlac[[#This Row],[Federal]],30%,IF($G$36,40%,Cdlac[[#This Row],[iAMI]])),"")</f>
        <v>0.4</v>
      </c>
      <c r="P21" s="1101" cm="1">
        <f t="array" ref="P21">IF(Cdlac[[#This Row],[Quantity]]&gt;0,INDEX(TcacRents,$P$18,Cdlac[[#This Row],[Bedrooms]]+1)*Cdlac[[#This Row],[AMI]],"")</f>
        <v>1152.8</v>
      </c>
      <c r="Q21" s="1101" cm="1">
        <f t="array" ref="Q21">IF(Cdlac[[#This Row],[Quantity]]&gt;0,INDEX(HudFmrs,$P$18,Cdlac[[#This Row],[Bedrooms]]+1),"")</f>
        <v>2212</v>
      </c>
      <c r="R21" s="1101">
        <f>IF(Cdlac[[#This Row],[Quantity]]&gt;0,MAX(0,Cdlac[[#This Row],[Fair Market Rent]]-Cdlac[[#This Row],[Restricted Rent]]),"")</f>
        <v>1059.2</v>
      </c>
      <c r="S21" s="1079">
        <f>IF(Cdlac[[#This Row],[Quantity]]&gt;0,AND(Application!AK719&lt;&gt;"N/A",Application!AK719&lt;&gt;"")*Cdlac[[#This Row],[Quantity]],"")</f>
        <v>0</v>
      </c>
      <c r="T21" s="1079" t="b">
        <f>AND('Subsidy Contract Calculation'!F5&gt;0,'Subsidy Contract Calculation'!C5="Federal",Cdlac[[#This Row],[Quantity]]&gt;0)</f>
        <v>0</v>
      </c>
    </row>
    <row r="22" spans="1:20" ht="15" customHeight="1">
      <c r="C22" s="1110">
        <v>0</v>
      </c>
      <c r="D22" s="1111">
        <v>0.9</v>
      </c>
      <c r="E22" s="1110">
        <f>SUMIFS(Cdlac[Quantity],Cdlac[Bedrooms],C22)</f>
        <v>11</v>
      </c>
      <c r="F22" s="1110">
        <f>E22</f>
        <v>11</v>
      </c>
      <c r="G22" s="1110">
        <f>D22*F22</f>
        <v>9.9</v>
      </c>
      <c r="L22" s="1079">
        <f>IFERROR(MIN(4,MATCH(Application!B720,UnitSizes,0)-1),"")</f>
        <v>0</v>
      </c>
      <c r="M22" s="1101">
        <f>Application!G720</f>
        <v>4</v>
      </c>
      <c r="N22" s="1109">
        <f>Application!AC720</f>
        <v>0.5</v>
      </c>
      <c r="O22" s="1109">
        <f>IF(Cdlac[[#This Row],[Quantity]]&gt;0,IF(Cdlac[[#This Row],[Federal]],30%,IF($G$36,40%,Cdlac[[#This Row],[iAMI]])),"")</f>
        <v>0.5</v>
      </c>
      <c r="P22" s="1101" cm="1">
        <f t="array" ref="P22">IF(Cdlac[[#This Row],[Quantity]]&gt;0,INDEX(TcacRents,$P$18,Cdlac[[#This Row],[Bedrooms]]+1)*Cdlac[[#This Row],[AMI]],"")</f>
        <v>1441</v>
      </c>
      <c r="Q22" s="1101" cm="1">
        <f t="array" ref="Q22">IF(Cdlac[[#This Row],[Quantity]]&gt;0,INDEX(HudFmrs,$P$18,Cdlac[[#This Row],[Bedrooms]]+1),"")</f>
        <v>2212</v>
      </c>
      <c r="R22" s="1101">
        <f>IF(Cdlac[[#This Row],[Quantity]]&gt;0,MAX(0,Cdlac[[#This Row],[Fair Market Rent]]-Cdlac[[#This Row],[Restricted Rent]]),"")</f>
        <v>771</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50</v>
      </c>
      <c r="F23" s="1110">
        <f>E23</f>
        <v>50</v>
      </c>
      <c r="G23" s="1110">
        <f>D23*F23</f>
        <v>50</v>
      </c>
      <c r="L23" s="1079">
        <f>IFERROR(MIN(4,MATCH(Application!B721,UnitSizes,0)-1),"")</f>
        <v>0</v>
      </c>
      <c r="M23" s="1101">
        <f>Application!G721</f>
        <v>5</v>
      </c>
      <c r="N23" s="1109">
        <f>Application!AC721</f>
        <v>0.6</v>
      </c>
      <c r="O23" s="1109">
        <f>IF(Cdlac[[#This Row],[Quantity]]&gt;0,IF(Cdlac[[#This Row],[Federal]],30%,IF($G$36,40%,Cdlac[[#This Row],[iAMI]])),"")</f>
        <v>0.6</v>
      </c>
      <c r="P23" s="1101" cm="1">
        <f t="array" ref="P23">IF(Cdlac[[#This Row],[Quantity]]&gt;0,INDEX(TcacRents,$P$18,Cdlac[[#This Row],[Bedrooms]]+1)*Cdlac[[#This Row],[AMI]],"")</f>
        <v>1729.2</v>
      </c>
      <c r="Q23" s="1101" cm="1">
        <f t="array" ref="Q23">IF(Cdlac[[#This Row],[Quantity]]&gt;0,INDEX(HudFmrs,$P$18,Cdlac[[#This Row],[Bedrooms]]+1),"")</f>
        <v>2212</v>
      </c>
      <c r="R23" s="1101">
        <f>IF(Cdlac[[#This Row],[Quantity]]&gt;0,MAX(0,Cdlac[[#This Row],[Fair Market Rent]]-Cdlac[[#This Row],[Restricted Rent]]),"")</f>
        <v>482.79999999999995</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31</v>
      </c>
      <c r="F24" s="1113">
        <f>SUM(E24:E26)-SUM(F25:F26)</f>
        <v>31</v>
      </c>
      <c r="G24" s="1110">
        <f>D24*F24</f>
        <v>38.75</v>
      </c>
      <c r="H24" s="1112"/>
      <c r="I24" s="1112"/>
      <c r="L24" s="1079">
        <f>IFERROR(MIN(4,MATCH(Application!B722,UnitSizes,0)-1),"")</f>
        <v>1</v>
      </c>
      <c r="M24" s="1101">
        <f>Application!G722</f>
        <v>8</v>
      </c>
      <c r="N24" s="1109">
        <f>Application!AC722</f>
        <v>0.3</v>
      </c>
      <c r="O24" s="1109">
        <f>IF(Cdlac[[#This Row],[Quantity]]&gt;0,IF(Cdlac[[#This Row],[Federal]],30%,IF($G$36,40%,Cdlac[[#This Row],[iAMI]])),"")</f>
        <v>0.3</v>
      </c>
      <c r="P24" s="1101" cm="1">
        <f t="array" ref="P24">IF(Cdlac[[#This Row],[Quantity]]&gt;0,INDEX(TcacRents,$P$18,Cdlac[[#This Row],[Bedrooms]]+1)*Cdlac[[#This Row],[AMI]],"")</f>
        <v>926.4</v>
      </c>
      <c r="Q24" s="1101" cm="1">
        <f t="array" ref="Q24">IF(Cdlac[[#This Row],[Quantity]]&gt;0,INDEX(HudFmrs,$P$18,Cdlac[[#This Row],[Bedrooms]]+1),"")</f>
        <v>2502</v>
      </c>
      <c r="R24" s="1101">
        <f>IF(Cdlac[[#This Row],[Quantity]]&gt;0,MAX(0,Cdlac[[#This Row],[Fair Market Rent]]-Cdlac[[#This Row],[Restricted Rent]]),"")</f>
        <v>1575.6</v>
      </c>
      <c r="S24" s="1079">
        <f>IF(Cdlac[[#This Row],[Quantity]]&gt;0,AND(Application!AK722&lt;&gt;"N/A",Application!AK722&lt;&gt;"")*Cdlac[[#This Row],[Quantity]],"")</f>
        <v>0</v>
      </c>
      <c r="T24" s="1079" t="b">
        <f>AND('Subsidy Contract Calculation'!F8&gt;0,'Subsidy Contract Calculation'!C8="Federal",Cdlac[[#This Row],[Quantity]]&gt;0)</f>
        <v>1</v>
      </c>
    </row>
    <row r="25" spans="1:20" ht="15" customHeight="1">
      <c r="A25" s="1112"/>
      <c r="C25" s="1113">
        <v>3</v>
      </c>
      <c r="D25" s="1111">
        <f>1.5+0.25*0</f>
        <v>1.5</v>
      </c>
      <c r="E25" s="1110">
        <f>SUMIFS(Cdlac[Quantity],Cdlac[Bedrooms],C25)</f>
        <v>31</v>
      </c>
      <c r="F25" s="1113">
        <f>MIN(E25,ROUNDDOWN(E27*30%,0))</f>
        <v>31</v>
      </c>
      <c r="G25" s="1110">
        <f>D25*F25</f>
        <v>46.5</v>
      </c>
      <c r="H25" s="1112"/>
      <c r="I25" s="1112"/>
      <c r="L25" s="1079">
        <f>IFERROR(MIN(4,MATCH(Application!B723,UnitSizes,0)-1),"")</f>
        <v>1</v>
      </c>
      <c r="M25" s="1101">
        <f>Application!G723</f>
        <v>3</v>
      </c>
      <c r="N25" s="1109">
        <f>Application!AC723</f>
        <v>0.4</v>
      </c>
      <c r="O25" s="1109">
        <f>IF(Cdlac[[#This Row],[Quantity]]&gt;0,IF(Cdlac[[#This Row],[Federal]],30%,IF($G$36,40%,Cdlac[[#This Row],[iAMI]])),"")</f>
        <v>0.4</v>
      </c>
      <c r="P25" s="1101" cm="1">
        <f t="array" ref="P25">IF(Cdlac[[#This Row],[Quantity]]&gt;0,INDEX(TcacRents,$P$18,Cdlac[[#This Row],[Bedrooms]]+1)*Cdlac[[#This Row],[AMI]],"")</f>
        <v>1235.2</v>
      </c>
      <c r="Q25" s="1101" cm="1">
        <f t="array" ref="Q25">IF(Cdlac[[#This Row],[Quantity]]&gt;0,INDEX(HudFmrs,$P$18,Cdlac[[#This Row],[Bedrooms]]+1),"")</f>
        <v>2502</v>
      </c>
      <c r="R25" s="1101">
        <f>IF(Cdlac[[#This Row],[Quantity]]&gt;0,MAX(0,Cdlac[[#This Row],[Fair Market Rent]]-Cdlac[[#This Row],[Restricted Rent]]),"")</f>
        <v>1266.8</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1</v>
      </c>
      <c r="M26" s="1101">
        <f>Application!G724</f>
        <v>7</v>
      </c>
      <c r="N26" s="1109">
        <f>Application!AC724</f>
        <v>0.4</v>
      </c>
      <c r="O26" s="1109">
        <f>IF(Cdlac[[#This Row],[Quantity]]&gt;0,IF(Cdlac[[#This Row],[Federal]],30%,IF($G$36,40%,Cdlac[[#This Row],[iAMI]])),"")</f>
        <v>0.3</v>
      </c>
      <c r="P26" s="1101" cm="1">
        <f t="array" ref="P26">IF(Cdlac[[#This Row],[Quantity]]&gt;0,INDEX(TcacRents,$P$18,Cdlac[[#This Row],[Bedrooms]]+1)*Cdlac[[#This Row],[AMI]],"")</f>
        <v>926.4</v>
      </c>
      <c r="Q26" s="1101" cm="1">
        <f t="array" ref="Q26">IF(Cdlac[[#This Row],[Quantity]]&gt;0,INDEX(HudFmrs,$P$18,Cdlac[[#This Row],[Bedrooms]]+1),"")</f>
        <v>2502</v>
      </c>
      <c r="R26" s="1101">
        <f>IF(Cdlac[[#This Row],[Quantity]]&gt;0,MAX(0,Cdlac[[#This Row],[Fair Market Rent]]-Cdlac[[#This Row],[Restricted Rent]]),"")</f>
        <v>1575.6</v>
      </c>
      <c r="S26" s="1079">
        <f>IF(Cdlac[[#This Row],[Quantity]]&gt;0,AND(Application!AK724&lt;&gt;"N/A",Application!AK724&lt;&gt;"")*Cdlac[[#This Row],[Quantity]],"")</f>
        <v>0</v>
      </c>
      <c r="T26" s="1079" t="b">
        <f>AND('Subsidy Contract Calculation'!F10&gt;0,'Subsidy Contract Calculation'!C10="Federal",Cdlac[[#This Row],[Quantity]]&gt;0)</f>
        <v>1</v>
      </c>
    </row>
    <row r="27" spans="1:20" ht="15" customHeight="1">
      <c r="A27" s="1112"/>
      <c r="C27" s="2162" t="s">
        <v>1696</v>
      </c>
      <c r="D27" s="2163"/>
      <c r="E27" s="1129">
        <f>SUM(E22:E26)</f>
        <v>123</v>
      </c>
      <c r="F27" s="1129">
        <f>SUM(F22:F26)</f>
        <v>123</v>
      </c>
      <c r="G27" s="1130">
        <f>SUMPRODUCT(D22:D26,F22:F26)</f>
        <v>145.15</v>
      </c>
      <c r="H27" s="1112"/>
      <c r="I27" s="1112"/>
      <c r="L27" s="1079">
        <f>IFERROR(MIN(4,MATCH(Application!B725,UnitSizes,0)-1),"")</f>
        <v>1</v>
      </c>
      <c r="M27" s="1101">
        <f>Application!G725</f>
        <v>16</v>
      </c>
      <c r="N27" s="1109">
        <f>Application!AC725</f>
        <v>0.5</v>
      </c>
      <c r="O27" s="1109">
        <f>IF(Cdlac[[#This Row],[Quantity]]&gt;0,IF(Cdlac[[#This Row],[Federal]],30%,IF($G$36,40%,Cdlac[[#This Row],[iAMI]])),"")</f>
        <v>0.5</v>
      </c>
      <c r="P27" s="1101" cm="1">
        <f t="array" ref="P27">IF(Cdlac[[#This Row],[Quantity]]&gt;0,INDEX(TcacRents,$P$18,Cdlac[[#This Row],[Bedrooms]]+1)*Cdlac[[#This Row],[AMI]],"")</f>
        <v>1544</v>
      </c>
      <c r="Q27" s="1101" cm="1">
        <f t="array" ref="Q27">IF(Cdlac[[#This Row],[Quantity]]&gt;0,INDEX(HudFmrs,$P$18,Cdlac[[#This Row],[Bedrooms]]+1),"")</f>
        <v>2502</v>
      </c>
      <c r="R27" s="1101">
        <f>IF(Cdlac[[#This Row],[Quantity]]&gt;0,MAX(0,Cdlac[[#This Row],[Fair Market Rent]]-Cdlac[[#This Row],[Restricted Rent]]),"")</f>
        <v>958</v>
      </c>
      <c r="S27" s="1079">
        <f>IF(Cdlac[[#This Row],[Quantity]]&gt;0,AND(Application!AK725&lt;&gt;"N/A",Application!AK725&lt;&gt;"")*Cdlac[[#This Row],[Quantity]],"")</f>
        <v>0</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f>IFERROR(MIN(4,MATCH(Application!B726,UnitSizes,0)-1),"")</f>
        <v>1</v>
      </c>
      <c r="M28" s="1101">
        <f>Application!G726</f>
        <v>16</v>
      </c>
      <c r="N28" s="1109">
        <f>Application!AC726</f>
        <v>0.6</v>
      </c>
      <c r="O28" s="1109">
        <f>IF(Cdlac[[#This Row],[Quantity]]&gt;0,IF(Cdlac[[#This Row],[Federal]],30%,IF($G$36,40%,Cdlac[[#This Row],[iAMI]])),"")</f>
        <v>0.6</v>
      </c>
      <c r="P28" s="1101" cm="1">
        <f t="array" ref="P28">IF(Cdlac[[#This Row],[Quantity]]&gt;0,INDEX(TcacRents,$P$18,Cdlac[[#This Row],[Bedrooms]]+1)*Cdlac[[#This Row],[AMI]],"")</f>
        <v>1852.8</v>
      </c>
      <c r="Q28" s="1101" cm="1">
        <f t="array" ref="Q28">IF(Cdlac[[#This Row],[Quantity]]&gt;0,INDEX(HudFmrs,$P$18,Cdlac[[#This Row],[Bedrooms]]+1),"")</f>
        <v>2502</v>
      </c>
      <c r="R28" s="1101">
        <f>IF(Cdlac[[#This Row],[Quantity]]&gt;0,MAX(0,Cdlac[[#This Row],[Fair Market Rent]]-Cdlac[[#This Row],[Restricted Rent]]),"")</f>
        <v>649.20000000000005</v>
      </c>
      <c r="S28" s="1079">
        <f>IF(Cdlac[[#This Row],[Quantity]]&gt;0,AND(Application!AK726&lt;&gt;"N/A",Application!AK726&lt;&gt;"")*Cdlac[[#This Row],[Quantity]],"")</f>
        <v>0</v>
      </c>
      <c r="T28" s="1079" t="b">
        <f>AND('Subsidy Contract Calculation'!F12&gt;0,'Subsidy Contract Calculation'!C12="Federal",Cdlac[[#This Row],[Quantity]]&gt;0)</f>
        <v>0</v>
      </c>
    </row>
    <row r="29" spans="1:20" ht="15" customHeight="1">
      <c r="A29" s="1112"/>
      <c r="E29" s="1159" t="s">
        <v>2293</v>
      </c>
      <c r="G29" s="1156">
        <f>G27</f>
        <v>145.15</v>
      </c>
      <c r="H29" s="1112"/>
      <c r="I29" s="1112"/>
      <c r="L29" s="1079">
        <f>IFERROR(MIN(4,MATCH(Application!B727,UnitSizes,0)-1),"")</f>
        <v>2</v>
      </c>
      <c r="M29" s="1101">
        <f>Application!G727</f>
        <v>5</v>
      </c>
      <c r="N29" s="1109">
        <f>Application!AC727</f>
        <v>0.3</v>
      </c>
      <c r="O29" s="1109">
        <f>IF(Cdlac[[#This Row],[Quantity]]&gt;0,IF(Cdlac[[#This Row],[Federal]],30%,IF($G$36,40%,Cdlac[[#This Row],[iAMI]])),"")</f>
        <v>0.3</v>
      </c>
      <c r="P29" s="1101" cm="1">
        <f t="array" ref="P29">IF(Cdlac[[#This Row],[Quantity]]&gt;0,INDEX(TcacRents,$P$18,Cdlac[[#This Row],[Bedrooms]]+1)*Cdlac[[#This Row],[AMI]],"")</f>
        <v>1111.8</v>
      </c>
      <c r="Q29" s="1101" cm="1">
        <f t="array" ref="Q29">IF(Cdlac[[#This Row],[Quantity]]&gt;0,INDEX(HudFmrs,$P$18,Cdlac[[#This Row],[Bedrooms]]+1),"")</f>
        <v>3293</v>
      </c>
      <c r="R29" s="1101">
        <f>IF(Cdlac[[#This Row],[Quantity]]&gt;0,MAX(0,Cdlac[[#This Row],[Fair Market Rent]]-Cdlac[[#This Row],[Restricted Rent]]),"")</f>
        <v>2181.1999999999998</v>
      </c>
      <c r="S29" s="1079">
        <f>IF(Cdlac[[#This Row],[Quantity]]&gt;0,AND(Application!AK727&lt;&gt;"N/A",Application!AK727&lt;&gt;"")*Cdlac[[#This Row],[Quantity]],"")</f>
        <v>0</v>
      </c>
      <c r="T29" s="1079" t="b">
        <f>AND('Subsidy Contract Calculation'!F13&gt;0,'Subsidy Contract Calculation'!C13="Federal",Cdlac[[#This Row],[Quantity]]&gt;0)</f>
        <v>1</v>
      </c>
    </row>
    <row r="30" spans="1:20" ht="15" customHeight="1">
      <c r="A30" s="1112"/>
      <c r="E30" s="1159" t="s">
        <v>2245</v>
      </c>
      <c r="F30" s="1155" t="s">
        <v>2302</v>
      </c>
      <c r="G30" s="1157">
        <v>50000</v>
      </c>
      <c r="H30" s="1112"/>
      <c r="I30" s="1112"/>
      <c r="L30" s="1079">
        <f>IFERROR(MIN(4,MATCH(Application!B728,UnitSizes,0)-1),"")</f>
        <v>2</v>
      </c>
      <c r="M30" s="1101">
        <f>Application!G728</f>
        <v>1</v>
      </c>
      <c r="N30" s="1109">
        <f>Application!AC728</f>
        <v>0.4</v>
      </c>
      <c r="O30" s="1109">
        <f>IF(Cdlac[[#This Row],[Quantity]]&gt;0,IF(Cdlac[[#This Row],[Federal]],30%,IF($G$36,40%,Cdlac[[#This Row],[iAMI]])),"")</f>
        <v>0.4</v>
      </c>
      <c r="P30" s="1101" cm="1">
        <f t="array" ref="P30">IF(Cdlac[[#This Row],[Quantity]]&gt;0,INDEX(TcacRents,$P$18,Cdlac[[#This Row],[Bedrooms]]+1)*Cdlac[[#This Row],[AMI]],"")</f>
        <v>1482.4</v>
      </c>
      <c r="Q30" s="1101" cm="1">
        <f t="array" ref="Q30">IF(Cdlac[[#This Row],[Quantity]]&gt;0,INDEX(HudFmrs,$P$18,Cdlac[[#This Row],[Bedrooms]]+1),"")</f>
        <v>3293</v>
      </c>
      <c r="R30" s="1101">
        <f>IF(Cdlac[[#This Row],[Quantity]]&gt;0,MAX(0,Cdlac[[#This Row],[Fair Market Rent]]-Cdlac[[#This Row],[Restricted Rent]]),"")</f>
        <v>1810.6</v>
      </c>
      <c r="S30" s="1079">
        <f>IF(Cdlac[[#This Row],[Quantity]]&gt;0,AND(Application!AK728&lt;&gt;"N/A",Application!AK728&lt;&gt;"")*Cdlac[[#This Row],[Quantity]],"")</f>
        <v>0</v>
      </c>
      <c r="T30" s="1079" t="b">
        <f>AND('Subsidy Contract Calculation'!F14&gt;0,'Subsidy Contract Calculation'!C14="Federal",Cdlac[[#This Row],[Quantity]]&gt;0)</f>
        <v>0</v>
      </c>
    </row>
    <row r="31" spans="1:20" ht="15" customHeight="1">
      <c r="A31" s="1112"/>
      <c r="E31" s="1160" t="s">
        <v>2286</v>
      </c>
      <c r="F31" s="1081"/>
      <c r="G31" s="1161">
        <f>G30*G29</f>
        <v>7257500</v>
      </c>
      <c r="H31" s="1112"/>
      <c r="I31" s="1112"/>
      <c r="L31" s="1079">
        <f>IFERROR(MIN(4,MATCH(Application!B729,UnitSizes,0)-1),"")</f>
        <v>2</v>
      </c>
      <c r="M31" s="1101">
        <f>Application!G729</f>
        <v>3</v>
      </c>
      <c r="N31" s="1109">
        <f>Application!AC729</f>
        <v>0.4</v>
      </c>
      <c r="O31" s="1109">
        <f>IF(Cdlac[[#This Row],[Quantity]]&gt;0,IF(Cdlac[[#This Row],[Federal]],30%,IF($G$36,40%,Cdlac[[#This Row],[iAMI]])),"")</f>
        <v>0.3</v>
      </c>
      <c r="P31" s="1101" cm="1">
        <f t="array" ref="P31">IF(Cdlac[[#This Row],[Quantity]]&gt;0,INDEX(TcacRents,$P$18,Cdlac[[#This Row],[Bedrooms]]+1)*Cdlac[[#This Row],[AMI]],"")</f>
        <v>1111.8</v>
      </c>
      <c r="Q31" s="1101" cm="1">
        <f t="array" ref="Q31">IF(Cdlac[[#This Row],[Quantity]]&gt;0,INDEX(HudFmrs,$P$18,Cdlac[[#This Row],[Bedrooms]]+1),"")</f>
        <v>3293</v>
      </c>
      <c r="R31" s="1101">
        <f>IF(Cdlac[[#This Row],[Quantity]]&gt;0,MAX(0,Cdlac[[#This Row],[Fair Market Rent]]-Cdlac[[#This Row],[Restricted Rent]]),"")</f>
        <v>2181.1999999999998</v>
      </c>
      <c r="S31" s="1079">
        <f>IF(Cdlac[[#This Row],[Quantity]]&gt;0,AND(Application!AK729&lt;&gt;"N/A",Application!AK729&lt;&gt;"")*Cdlac[[#This Row],[Quantity]],"")</f>
        <v>0</v>
      </c>
      <c r="T31" s="1079" t="b">
        <f>AND('Subsidy Contract Calculation'!F15&gt;0,'Subsidy Contract Calculation'!C15="Federal",Cdlac[[#This Row],[Quantity]]&gt;0)</f>
        <v>1</v>
      </c>
    </row>
    <row r="32" spans="1:20" ht="15" customHeight="1">
      <c r="A32" s="1112"/>
      <c r="B32" s="1112"/>
      <c r="C32" s="1112"/>
      <c r="D32" s="1112"/>
      <c r="E32" s="1112"/>
      <c r="F32" s="1112"/>
      <c r="G32" s="1112"/>
      <c r="H32" s="1112"/>
      <c r="I32" s="1112"/>
      <c r="L32" s="1079">
        <f>IFERROR(MIN(4,MATCH(Application!B730,UnitSizes,0)-1),"")</f>
        <v>2</v>
      </c>
      <c r="M32" s="1101">
        <f>Application!G730</f>
        <v>10</v>
      </c>
      <c r="N32" s="1109">
        <f>Application!AC730</f>
        <v>0.5</v>
      </c>
      <c r="O32" s="1109">
        <f>IF(Cdlac[[#This Row],[Quantity]]&gt;0,IF(Cdlac[[#This Row],[Federal]],30%,IF($G$36,40%,Cdlac[[#This Row],[iAMI]])),"")</f>
        <v>0.5</v>
      </c>
      <c r="P32" s="1101" cm="1">
        <f t="array" ref="P32">IF(Cdlac[[#This Row],[Quantity]]&gt;0,INDEX(TcacRents,$P$18,Cdlac[[#This Row],[Bedrooms]]+1)*Cdlac[[#This Row],[AMI]],"")</f>
        <v>1853</v>
      </c>
      <c r="Q32" s="1101" cm="1">
        <f t="array" ref="Q32">IF(Cdlac[[#This Row],[Quantity]]&gt;0,INDEX(HudFmrs,$P$18,Cdlac[[#This Row],[Bedrooms]]+1),"")</f>
        <v>3293</v>
      </c>
      <c r="R32" s="1101">
        <f>IF(Cdlac[[#This Row],[Quantity]]&gt;0,MAX(0,Cdlac[[#This Row],[Fair Market Rent]]-Cdlac[[#This Row],[Restricted Rent]]),"")</f>
        <v>1440</v>
      </c>
      <c r="S32" s="1079">
        <f>IF(Cdlac[[#This Row],[Quantity]]&gt;0,AND(Application!AK730&lt;&gt;"N/A",Application!AK730&lt;&gt;"")*Cdlac[[#This Row],[Quantity]],"")</f>
        <v>0</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f>IFERROR(MIN(4,MATCH(Application!B731,UnitSizes,0)-1),"")</f>
        <v>2</v>
      </c>
      <c r="M33" s="1101">
        <f>Application!G731</f>
        <v>12</v>
      </c>
      <c r="N33" s="1109">
        <f>Application!AC731</f>
        <v>0.6</v>
      </c>
      <c r="O33" s="1109">
        <f>IF(Cdlac[[#This Row],[Quantity]]&gt;0,IF(Cdlac[[#This Row],[Federal]],30%,IF($G$36,40%,Cdlac[[#This Row],[iAMI]])),"")</f>
        <v>0.6</v>
      </c>
      <c r="P33" s="1101" cm="1">
        <f t="array" ref="P33">IF(Cdlac[[#This Row],[Quantity]]&gt;0,INDEX(TcacRents,$P$18,Cdlac[[#This Row],[Bedrooms]]+1)*Cdlac[[#This Row],[AMI]],"")</f>
        <v>2223.6</v>
      </c>
      <c r="Q33" s="1101" cm="1">
        <f t="array" ref="Q33">IF(Cdlac[[#This Row],[Quantity]]&gt;0,INDEX(HudFmrs,$P$18,Cdlac[[#This Row],[Bedrooms]]+1),"")</f>
        <v>3293</v>
      </c>
      <c r="R33" s="1101">
        <f>IF(Cdlac[[#This Row],[Quantity]]&gt;0,MAX(0,Cdlac[[#This Row],[Fair Market Rent]]-Cdlac[[#This Row],[Restricted Rent]]),"")</f>
        <v>1069.4000000000001</v>
      </c>
      <c r="S33" s="1079">
        <f>IF(Cdlac[[#This Row],[Quantity]]&gt;0,AND(Application!AK731&lt;&gt;"N/A",Application!AK731&lt;&gt;"")*Cdlac[[#This Row],[Quantity]],"")</f>
        <v>0</v>
      </c>
      <c r="T33" s="1079" t="b">
        <f>AND('Subsidy Contract Calculation'!F17&gt;0,'Subsidy Contract Calculation'!C17="Federal",Cdlac[[#This Row],[Quantity]]&gt;0)</f>
        <v>0</v>
      </c>
    </row>
    <row r="34" spans="2:20" ht="15" customHeight="1">
      <c r="L34" s="1079">
        <f>IFERROR(MIN(4,MATCH(Application!B732,UnitSizes,0)-1),"")</f>
        <v>3</v>
      </c>
      <c r="M34" s="1101">
        <f>Application!G732</f>
        <v>5</v>
      </c>
      <c r="N34" s="1109">
        <f>Application!AC732</f>
        <v>0.3</v>
      </c>
      <c r="O34" s="1109">
        <f>IF(Cdlac[[#This Row],[Quantity]]&gt;0,IF(Cdlac[[#This Row],[Federal]],30%,IF($G$36,40%,Cdlac[[#This Row],[iAMI]])),"")</f>
        <v>0.3</v>
      </c>
      <c r="P34" s="1101" cm="1">
        <f t="array" ref="P34">IF(Cdlac[[#This Row],[Quantity]]&gt;0,INDEX(TcacRents,$P$18,Cdlac[[#This Row],[Bedrooms]]+1)*Cdlac[[#This Row],[AMI]],"")</f>
        <v>1284.5999999999999</v>
      </c>
      <c r="Q34" s="1101" cm="1">
        <f t="array" ref="Q34">IF(Cdlac[[#This Row],[Quantity]]&gt;0,INDEX(HudFmrs,$P$18,Cdlac[[#This Row],[Bedrooms]]+1),"")</f>
        <v>4077</v>
      </c>
      <c r="R34" s="1101">
        <f>IF(Cdlac[[#This Row],[Quantity]]&gt;0,MAX(0,Cdlac[[#This Row],[Fair Market Rent]]-Cdlac[[#This Row],[Restricted Rent]]),"")</f>
        <v>2792.4</v>
      </c>
      <c r="S34" s="1079">
        <f>IF(Cdlac[[#This Row],[Quantity]]&gt;0,AND(Application!AK732&lt;&gt;"N/A",Application!AK732&lt;&gt;"")*Cdlac[[#This Row],[Quantity]],"")</f>
        <v>0</v>
      </c>
      <c r="T34" s="1079" t="b">
        <f>AND('Subsidy Contract Calculation'!F18&gt;0,'Subsidy Contract Calculation'!C18="Federal",Cdlac[[#This Row],[Quantity]]&gt;0)</f>
        <v>1</v>
      </c>
    </row>
    <row r="35" spans="2:20" ht="15" customHeight="1">
      <c r="E35" s="1124" t="s">
        <v>2313</v>
      </c>
      <c r="G35" s="1162" cm="1">
        <f t="array" ref="G35">SUMPRODUCT(Cdlac[Quantity],Cdlac[iAMI],IF(Cdlac[Federal],0,1))/SUMIFS(Cdlac[Quantity],Cdlac[Federal],FALSE)</f>
        <v>0.54021739130434765</v>
      </c>
      <c r="L35" s="1079">
        <f>IFERROR(MIN(4,MATCH(Application!B733,UnitSizes,0)-1),"")</f>
        <v>3</v>
      </c>
      <c r="M35" s="1101">
        <f>Application!G733</f>
        <v>1</v>
      </c>
      <c r="N35" s="1109">
        <f>Application!AC733</f>
        <v>0.4</v>
      </c>
      <c r="O35" s="1109">
        <f>IF(Cdlac[[#This Row],[Quantity]]&gt;0,IF(Cdlac[[#This Row],[Federal]],30%,IF($G$36,40%,Cdlac[[#This Row],[iAMI]])),"")</f>
        <v>0.4</v>
      </c>
      <c r="P35" s="1101" cm="1">
        <f t="array" ref="P35">IF(Cdlac[[#This Row],[Quantity]]&gt;0,INDEX(TcacRents,$P$18,Cdlac[[#This Row],[Bedrooms]]+1)*Cdlac[[#This Row],[AMI]],"")</f>
        <v>1712.8000000000002</v>
      </c>
      <c r="Q35" s="1101" cm="1">
        <f t="array" ref="Q35">IF(Cdlac[[#This Row],[Quantity]]&gt;0,INDEX(HudFmrs,$P$18,Cdlac[[#This Row],[Bedrooms]]+1),"")</f>
        <v>4077</v>
      </c>
      <c r="R35" s="1101">
        <f>IF(Cdlac[[#This Row],[Quantity]]&gt;0,MAX(0,Cdlac[[#This Row],[Fair Market Rent]]-Cdlac[[#This Row],[Restricted Rent]]),"")</f>
        <v>2364.1999999999998</v>
      </c>
      <c r="S35" s="1079">
        <f>IF(Cdlac[[#This Row],[Quantity]]&gt;0,AND(Application!AK733&lt;&gt;"N/A",Application!AK733&lt;&gt;"")*Cdlac[[#This Row],[Quantity]],"")</f>
        <v>0</v>
      </c>
      <c r="T35" s="1079" t="b">
        <f>AND('Subsidy Contract Calculation'!F19&gt;0,'Subsidy Contract Calculation'!C19="Federal",Cdlac[[#This Row],[Quantity]]&gt;0)</f>
        <v>0</v>
      </c>
    </row>
    <row r="36" spans="2:20" ht="15" customHeight="1">
      <c r="E36" s="1124" t="s">
        <v>2308</v>
      </c>
      <c r="G36" s="1119" t="b">
        <f>G35&lt;40%</f>
        <v>0</v>
      </c>
      <c r="L36" s="1079">
        <f>IFERROR(MIN(4,MATCH(Application!B734,UnitSizes,0)-1),"")</f>
        <v>3</v>
      </c>
      <c r="M36" s="1101">
        <f>Application!G734</f>
        <v>3</v>
      </c>
      <c r="N36" s="1109">
        <f>Application!AC734</f>
        <v>0.4</v>
      </c>
      <c r="O36" s="1109">
        <f>IF(Cdlac[[#This Row],[Quantity]]&gt;0,IF(Cdlac[[#This Row],[Federal]],30%,IF($G$36,40%,Cdlac[[#This Row],[iAMI]])),"")</f>
        <v>0.3</v>
      </c>
      <c r="P36" s="1101" cm="1">
        <f t="array" ref="P36">IF(Cdlac[[#This Row],[Quantity]]&gt;0,INDEX(TcacRents,$P$18,Cdlac[[#This Row],[Bedrooms]]+1)*Cdlac[[#This Row],[AMI]],"")</f>
        <v>1284.5999999999999</v>
      </c>
      <c r="Q36" s="1101" cm="1">
        <f t="array" ref="Q36">IF(Cdlac[[#This Row],[Quantity]]&gt;0,INDEX(HudFmrs,$P$18,Cdlac[[#This Row],[Bedrooms]]+1),"")</f>
        <v>4077</v>
      </c>
      <c r="R36" s="1101">
        <f>IF(Cdlac[[#This Row],[Quantity]]&gt;0,MAX(0,Cdlac[[#This Row],[Fair Market Rent]]-Cdlac[[#This Row],[Restricted Rent]]),"")</f>
        <v>2792.4</v>
      </c>
      <c r="S36" s="1079">
        <f>IF(Cdlac[[#This Row],[Quantity]]&gt;0,AND(Application!AK734&lt;&gt;"N/A",Application!AK734&lt;&gt;"")*Cdlac[[#This Row],[Quantity]],"")</f>
        <v>0</v>
      </c>
      <c r="T36" s="1079" t="b">
        <f>AND('Subsidy Contract Calculation'!F20&gt;0,'Subsidy Contract Calculation'!C20="Federal",Cdlac[[#This Row],[Quantity]]&gt;0)</f>
        <v>1</v>
      </c>
    </row>
    <row r="37" spans="2:20" ht="15" customHeight="1">
      <c r="L37" s="1079">
        <f>IFERROR(MIN(4,MATCH(Application!B735,UnitSizes,0)-1),"")</f>
        <v>3</v>
      </c>
      <c r="M37" s="1101">
        <f>Application!G735</f>
        <v>10</v>
      </c>
      <c r="N37" s="1109">
        <f>Application!AC735</f>
        <v>0.5</v>
      </c>
      <c r="O37" s="1109">
        <f>IF(Cdlac[[#This Row],[Quantity]]&gt;0,IF(Cdlac[[#This Row],[Federal]],30%,IF($G$36,40%,Cdlac[[#This Row],[iAMI]])),"")</f>
        <v>0.5</v>
      </c>
      <c r="P37" s="1101" cm="1">
        <f t="array" ref="P37">IF(Cdlac[[#This Row],[Quantity]]&gt;0,INDEX(TcacRents,$P$18,Cdlac[[#This Row],[Bedrooms]]+1)*Cdlac[[#This Row],[AMI]],"")</f>
        <v>2141</v>
      </c>
      <c r="Q37" s="1101" cm="1">
        <f t="array" ref="Q37">IF(Cdlac[[#This Row],[Quantity]]&gt;0,INDEX(HudFmrs,$P$18,Cdlac[[#This Row],[Bedrooms]]+1),"")</f>
        <v>4077</v>
      </c>
      <c r="R37" s="1101">
        <f>IF(Cdlac[[#This Row],[Quantity]]&gt;0,MAX(0,Cdlac[[#This Row],[Fair Market Rent]]-Cdlac[[#This Row],[Restricted Rent]]),"")</f>
        <v>1936</v>
      </c>
      <c r="S37" s="1079">
        <f>IF(Cdlac[[#This Row],[Quantity]]&gt;0,AND(Application!AK735&lt;&gt;"N/A",Application!AK735&lt;&gt;"")*Cdlac[[#This Row],[Quantity]],"")</f>
        <v>0</v>
      </c>
      <c r="T37" s="1079" t="b">
        <f>AND('Subsidy Contract Calculation'!F21&gt;0,'Subsidy Contract Calculation'!C21="Federal",Cdlac[[#This Row],[Quantity]]&gt;0)</f>
        <v>0</v>
      </c>
    </row>
    <row r="38" spans="2:20" ht="15" customHeight="1">
      <c r="E38" s="1124" t="s">
        <v>2249</v>
      </c>
      <c r="G38" s="1116">
        <f>SUMPRODUCT(Cdlac[Quantity],Cdlac[Delta])</f>
        <v>169704.2</v>
      </c>
      <c r="L38" s="1079">
        <f>IFERROR(MIN(4,MATCH(Application!B736,UnitSizes,0)-1),"")</f>
        <v>3</v>
      </c>
      <c r="M38" s="1101">
        <f>Application!G736</f>
        <v>12</v>
      </c>
      <c r="N38" s="1109">
        <f>Application!AC736</f>
        <v>0.6</v>
      </c>
      <c r="O38" s="1109">
        <f>IF(Cdlac[[#This Row],[Quantity]]&gt;0,IF(Cdlac[[#This Row],[Federal]],30%,IF($G$36,40%,Cdlac[[#This Row],[iAMI]])),"")</f>
        <v>0.6</v>
      </c>
      <c r="P38" s="1101" cm="1">
        <f t="array" ref="P38">IF(Cdlac[[#This Row],[Quantity]]&gt;0,INDEX(TcacRents,$P$18,Cdlac[[#This Row],[Bedrooms]]+1)*Cdlac[[#This Row],[AMI]],"")</f>
        <v>2569.1999999999998</v>
      </c>
      <c r="Q38" s="1101" cm="1">
        <f t="array" ref="Q38">IF(Cdlac[[#This Row],[Quantity]]&gt;0,INDEX(HudFmrs,$P$18,Cdlac[[#This Row],[Bedrooms]]+1),"")</f>
        <v>4077</v>
      </c>
      <c r="R38" s="1101">
        <f>IF(Cdlac[[#This Row],[Quantity]]&gt;0,MAX(0,Cdlac[[#This Row],[Fair Market Rent]]-Cdlac[[#This Row],[Restricted Rent]]),"")</f>
        <v>1507.8000000000002</v>
      </c>
      <c r="S38" s="1079">
        <f>IF(Cdlac[[#This Row],[Quantity]]&gt;0,AND(Application!AK736&lt;&gt;"N/A",Application!AK736&lt;&gt;"")*Cdlac[[#This Row],[Quantity]],"")</f>
        <v>0</v>
      </c>
      <c r="T38" s="1079" t="b">
        <f>AND('Subsidy Contract Calculation'!F22&gt;0,'Subsidy Contract Calculation'!C22="Federal",Cdlac[[#This Row],[Quantity]]&gt;0)</f>
        <v>0</v>
      </c>
    </row>
    <row r="39" spans="2:20" ht="15" customHeight="1">
      <c r="E39" s="1159" t="s">
        <v>2314</v>
      </c>
      <c r="F39" s="1155" t="s">
        <v>2302</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2242</v>
      </c>
      <c r="F40" s="1081"/>
      <c r="G40" s="1165">
        <f>G38*G39</f>
        <v>30546756.000000004</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2303</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2304</v>
      </c>
      <c r="G45" s="1167">
        <f>ROUNDDOWN(E27*50%,0)</f>
        <v>61</v>
      </c>
    </row>
    <row r="46" spans="2:20" ht="15" customHeight="1">
      <c r="E46" s="1159"/>
      <c r="G46" s="1167"/>
    </row>
    <row r="47" spans="2:20" ht="15" customHeight="1">
      <c r="E47" s="1159" t="s">
        <v>2255</v>
      </c>
      <c r="G47" s="1156">
        <f>MIN(G44:G45)</f>
        <v>0</v>
      </c>
    </row>
    <row r="48" spans="2:20" ht="15" customHeight="1">
      <c r="E48" s="1159" t="s">
        <v>2245</v>
      </c>
      <c r="F48" s="1155" t="s">
        <v>2302</v>
      </c>
      <c r="G48" s="1166">
        <v>10000</v>
      </c>
    </row>
    <row r="49" spans="2:14" ht="15" customHeight="1">
      <c r="E49" s="1160" t="s">
        <v>2285</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2305</v>
      </c>
      <c r="G53" s="1117">
        <f>SUMIFS(Cdlac[Quantity],Cdlac[iAMI],"&lt;=30%")</f>
        <v>19</v>
      </c>
    </row>
    <row r="54" spans="2:14" ht="15" customHeight="1">
      <c r="E54" s="1159" t="s">
        <v>2304</v>
      </c>
      <c r="G54" s="1117">
        <f>ROUNDDOWN(E27*50%,0)</f>
        <v>61</v>
      </c>
    </row>
    <row r="55" spans="2:14" ht="15" customHeight="1">
      <c r="E55" s="1159"/>
      <c r="G55" s="1117"/>
    </row>
    <row r="56" spans="2:14" ht="15" customHeight="1">
      <c r="E56" s="1159" t="s">
        <v>2255</v>
      </c>
      <c r="G56" s="1156">
        <f>MIN(G53:G54)</f>
        <v>19</v>
      </c>
    </row>
    <row r="57" spans="2:14" ht="15" customHeight="1">
      <c r="E57" s="1159" t="s">
        <v>2245</v>
      </c>
      <c r="F57" s="1155" t="s">
        <v>2302</v>
      </c>
      <c r="G57" s="1166">
        <v>20000</v>
      </c>
    </row>
    <row r="58" spans="2:14" ht="15" customHeight="1">
      <c r="E58" s="1160" t="s">
        <v>2284</v>
      </c>
      <c r="F58" s="1081"/>
      <c r="G58" s="1165">
        <f>G56*G57</f>
        <v>380000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2258</v>
      </c>
      <c r="G62" s="1156">
        <f>VLOOKUP('Points System'!$H$595,'Points System'!$AO$575:$AP$580,2,FALSE)</f>
        <v>7</v>
      </c>
      <c r="L62" s="1169" t="str">
        <f>'Points System'!H627</f>
        <v>(i)</v>
      </c>
      <c r="M62" s="2164" t="s">
        <v>1514</v>
      </c>
      <c r="N62" s="2165"/>
    </row>
    <row r="63" spans="2:14" ht="15" customHeight="1">
      <c r="E63" s="1124" t="s">
        <v>2245</v>
      </c>
      <c r="F63" s="1155" t="s">
        <v>2302</v>
      </c>
      <c r="G63" s="1114">
        <v>4000</v>
      </c>
      <c r="L63" s="1170" t="str">
        <f>'Points System'!H639</f>
        <v>(i)</v>
      </c>
      <c r="M63" s="2156" t="s">
        <v>2259</v>
      </c>
      <c r="N63" s="2157"/>
    </row>
    <row r="64" spans="2:14" ht="15" customHeight="1">
      <c r="E64" s="1124" t="s">
        <v>2306</v>
      </c>
      <c r="F64" s="1155" t="s">
        <v>2302</v>
      </c>
      <c r="G64" s="1168">
        <f>G27</f>
        <v>145.15</v>
      </c>
      <c r="L64" s="1170" t="str">
        <f>'Points System'!H674</f>
        <v>(iv)</v>
      </c>
      <c r="M64" s="2156" t="s">
        <v>2260</v>
      </c>
      <c r="N64" s="2157"/>
    </row>
    <row r="65" spans="2:14" ht="15" customHeight="1">
      <c r="E65" s="1160" t="s">
        <v>2264</v>
      </c>
      <c r="F65" s="1081"/>
      <c r="G65" s="1165">
        <f>G62*G63*G64</f>
        <v>4064200</v>
      </c>
      <c r="L65" s="1170" t="str">
        <f>IF(OR('Points System'!H698="(ii)",'Points System'!H698="(i)"),"(i)","N/A")</f>
        <v>(i)</v>
      </c>
      <c r="M65" s="2156" t="s">
        <v>2261</v>
      </c>
      <c r="N65" s="2157"/>
    </row>
    <row r="66" spans="2:14" ht="15" customHeight="1">
      <c r="C66" s="1115"/>
      <c r="G66" s="1156"/>
      <c r="L66" s="1171" t="str">
        <f>'Points System'!H712</f>
        <v>N/A</v>
      </c>
      <c r="M66" s="2156" t="s">
        <v>1540</v>
      </c>
      <c r="N66" s="2157"/>
    </row>
    <row r="67" spans="2:14" ht="15" customHeight="1">
      <c r="E67" s="1124" t="s">
        <v>2307</v>
      </c>
      <c r="G67" s="1168">
        <f>COUNTIFS(L62:L69,"(i)")</f>
        <v>5</v>
      </c>
      <c r="L67" s="1170" t="str">
        <f>'Points System'!H724</f>
        <v>N/A</v>
      </c>
      <c r="M67" s="2156" t="s">
        <v>2262</v>
      </c>
      <c r="N67" s="2157"/>
    </row>
    <row r="68" spans="2:14" ht="15" customHeight="1">
      <c r="E68" s="1124" t="s">
        <v>2245</v>
      </c>
      <c r="F68" s="1155" t="s">
        <v>2302</v>
      </c>
      <c r="G68" s="1166">
        <v>4000</v>
      </c>
      <c r="L68" s="1170" t="str">
        <f>'Points System'!H740</f>
        <v>(i)</v>
      </c>
      <c r="M68" s="2156" t="s">
        <v>2263</v>
      </c>
      <c r="N68" s="2157"/>
    </row>
    <row r="69" spans="2:14" ht="15" customHeight="1" thickBot="1">
      <c r="E69" s="1160" t="s">
        <v>2265</v>
      </c>
      <c r="F69" s="1081"/>
      <c r="G69" s="1165">
        <f>G64*G67*G68</f>
        <v>2903000</v>
      </c>
      <c r="L69" s="1172" t="str">
        <f>'Points System'!H752</f>
        <v>(i)</v>
      </c>
      <c r="M69" s="2158" t="s">
        <v>1543</v>
      </c>
      <c r="N69" s="2159"/>
    </row>
    <row r="70" spans="2:14" ht="15" customHeight="1"/>
    <row r="71" spans="2:14" ht="15" customHeight="1">
      <c r="C71" s="1118" t="s">
        <v>2267</v>
      </c>
    </row>
    <row r="72" spans="2:14" ht="15" customHeight="1">
      <c r="C72" s="1115" t="s">
        <v>2268</v>
      </c>
      <c r="G72" s="1078"/>
    </row>
    <row r="73" spans="2:14" ht="15" customHeight="1">
      <c r="C73" s="1115" t="s">
        <v>2269</v>
      </c>
      <c r="G73" s="1078" t="s">
        <v>552</v>
      </c>
    </row>
    <row r="74" spans="2:14" ht="15" customHeight="1">
      <c r="C74" s="1115" t="s">
        <v>2497</v>
      </c>
      <c r="G74" s="1078" t="s">
        <v>552</v>
      </c>
    </row>
    <row r="75" spans="2:14" ht="15" customHeight="1">
      <c r="C75" s="1115" t="s">
        <v>2498</v>
      </c>
      <c r="G75" s="1078" t="s">
        <v>552</v>
      </c>
    </row>
    <row r="76" spans="2:14" ht="15" customHeight="1"/>
    <row r="77" spans="2:14" ht="15" customHeight="1">
      <c r="B77" s="1116"/>
      <c r="C77" s="1115"/>
      <c r="E77" s="1124" t="s">
        <v>2309</v>
      </c>
      <c r="G77" s="1117" t="b">
        <f>COUNTIFS(G72:G75,"Yes")&gt;=1</f>
        <v>1</v>
      </c>
    </row>
    <row r="78" spans="2:14" ht="15" customHeight="1">
      <c r="E78" s="1115"/>
    </row>
    <row r="79" spans="2:14" ht="15" customHeight="1">
      <c r="E79" s="1124" t="s">
        <v>2306</v>
      </c>
      <c r="F79" s="1155" t="s">
        <v>2302</v>
      </c>
      <c r="G79" s="1156">
        <f>G27</f>
        <v>145.15</v>
      </c>
    </row>
    <row r="80" spans="2:14" ht="15" customHeight="1">
      <c r="E80" s="1124" t="s">
        <v>2245</v>
      </c>
      <c r="F80" s="1155" t="s">
        <v>2302</v>
      </c>
      <c r="G80" s="1166">
        <v>25000</v>
      </c>
    </row>
    <row r="81" spans="2:14" ht="15" customHeight="1">
      <c r="E81" s="1160" t="s">
        <v>2266</v>
      </c>
      <c r="F81" s="1081"/>
      <c r="G81" s="1165">
        <f>G77*G80*G64</f>
        <v>3628750</v>
      </c>
    </row>
    <row r="82" spans="2:14" ht="15" customHeight="1">
      <c r="C82" s="1115"/>
      <c r="E82" s="1115"/>
    </row>
    <row r="83" spans="2:14" ht="15" customHeight="1">
      <c r="E83" s="1160" t="s">
        <v>2243</v>
      </c>
      <c r="G83" s="1165">
        <f>G81+G69+G65</f>
        <v>10595950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2288</v>
      </c>
      <c r="G87" s="1078" t="s">
        <v>552</v>
      </c>
      <c r="L87" s="2160" t="s">
        <v>2272</v>
      </c>
      <c r="M87" s="2161"/>
      <c r="N87" s="1173">
        <v>30000</v>
      </c>
    </row>
    <row r="88" spans="2:14" ht="15" customHeight="1">
      <c r="C88" s="1115" t="s">
        <v>2289</v>
      </c>
      <c r="G88" s="1119" t="str">
        <f>IF(Application!D211="Large Family","Yes","No")</f>
        <v>Yes</v>
      </c>
      <c r="L88" s="2152" t="s">
        <v>2236</v>
      </c>
      <c r="M88" s="2153"/>
      <c r="N88" s="1174">
        <v>20000</v>
      </c>
    </row>
    <row r="89" spans="2:14" ht="15" customHeight="1" thickBot="1">
      <c r="C89" s="1115" t="s">
        <v>2270</v>
      </c>
      <c r="G89" s="1078" t="s">
        <v>676</v>
      </c>
      <c r="L89" s="2154" t="s">
        <v>2273</v>
      </c>
      <c r="M89" s="2155"/>
      <c r="N89" s="1175">
        <v>10000</v>
      </c>
    </row>
    <row r="90" spans="2:14" ht="15" customHeight="1">
      <c r="C90" s="1115" t="s">
        <v>2271</v>
      </c>
      <c r="G90" s="1079" t="str">
        <f>Application!T193</f>
        <v>Highest Resource</v>
      </c>
    </row>
    <row r="91" spans="2:14" ht="15" customHeight="1">
      <c r="C91" s="1115"/>
    </row>
    <row r="92" spans="2:14" ht="15" customHeight="1">
      <c r="E92" s="1124" t="s">
        <v>2309</v>
      </c>
      <c r="G92" s="1117" t="b">
        <f>AND(COUNTIFS(G88:G89,"Yes")&gt;=1,G87="Yes")</f>
        <v>1</v>
      </c>
    </row>
    <row r="93" spans="2:14" ht="15" customHeight="1">
      <c r="E93" s="1124"/>
      <c r="G93" s="1117"/>
    </row>
    <row r="94" spans="2:14" ht="15" customHeight="1">
      <c r="E94" s="1124" t="s">
        <v>2245</v>
      </c>
      <c r="G94" s="1116">
        <f>IFERROR(INDEX(N87:N89,MATCH(LEFT(G90,17),L87:L89,0)),0)</f>
        <v>30000</v>
      </c>
    </row>
    <row r="95" spans="2:14" ht="15" customHeight="1">
      <c r="E95" s="1124" t="str">
        <f>E64</f>
        <v>Bedroom-Adjusted Low-Income Units</v>
      </c>
      <c r="F95" s="1155" t="s">
        <v>2302</v>
      </c>
      <c r="G95" s="1156">
        <f>G27</f>
        <v>145.15</v>
      </c>
    </row>
    <row r="96" spans="2:14" ht="15" customHeight="1">
      <c r="D96" s="1081"/>
      <c r="E96" s="1160" t="s">
        <v>2244</v>
      </c>
      <c r="F96" s="1081"/>
      <c r="G96" s="1165">
        <f>G95*G94*G92</f>
        <v>4354500</v>
      </c>
    </row>
    <row r="97" spans="2:9" ht="15" customHeight="1"/>
    <row r="98" spans="2:9" ht="15" customHeight="1">
      <c r="B98" s="1104" t="s">
        <v>2257</v>
      </c>
      <c r="C98" s="1105"/>
      <c r="D98" s="1105"/>
      <c r="E98" s="1105"/>
      <c r="F98" s="1105"/>
      <c r="G98" s="1105"/>
      <c r="H98" s="1105"/>
      <c r="I98" s="1106"/>
    </row>
    <row r="99" spans="2:9" ht="15" customHeight="1"/>
    <row r="100" spans="2:9" ht="15" customHeight="1">
      <c r="F100" s="1158" t="s">
        <v>2283</v>
      </c>
      <c r="G100" s="1078" t="s">
        <v>676</v>
      </c>
    </row>
    <row r="101" spans="2:9" ht="15" customHeight="1">
      <c r="F101" s="1158"/>
    </row>
    <row r="102" spans="2:9" ht="15" customHeight="1">
      <c r="E102" s="1124" t="s">
        <v>2309</v>
      </c>
      <c r="G102" s="1117" t="b">
        <f>G100="Yes"</f>
        <v>0</v>
      </c>
    </row>
    <row r="103" spans="2:9" ht="15" customHeight="1"/>
    <row r="104" spans="2:9" ht="15" customHeight="1">
      <c r="E104" s="1124" t="str">
        <f>E64</f>
        <v>Bedroom-Adjusted Low-Income Units</v>
      </c>
      <c r="G104" s="1156">
        <f>G27</f>
        <v>145.15</v>
      </c>
    </row>
    <row r="105" spans="2:9" ht="15" customHeight="1">
      <c r="E105" s="1124" t="s">
        <v>2245</v>
      </c>
      <c r="F105" s="1155" t="s">
        <v>2302</v>
      </c>
      <c r="G105" s="1085">
        <v>20000</v>
      </c>
    </row>
    <row r="106" spans="2:9" ht="15" customHeight="1">
      <c r="E106" s="1160" t="s">
        <v>2274</v>
      </c>
      <c r="F106" s="1081"/>
      <c r="G106" s="1165">
        <f>G102*G105*G104</f>
        <v>0</v>
      </c>
    </row>
    <row r="107" spans="2:9" ht="15" customHeight="1"/>
    <row r="108" spans="2:9" ht="15" customHeight="1">
      <c r="B108" s="1104" t="s">
        <v>2311</v>
      </c>
      <c r="C108" s="1105"/>
      <c r="D108" s="1105"/>
      <c r="E108" s="1105"/>
      <c r="F108" s="1105"/>
      <c r="G108" s="1105"/>
      <c r="H108" s="1105"/>
      <c r="I108" s="1106"/>
    </row>
    <row r="109" spans="2:9" ht="15" customHeight="1"/>
    <row r="110" spans="2:9" ht="15" customHeight="1">
      <c r="E110" s="1124" t="s">
        <v>589</v>
      </c>
      <c r="G110" s="1079" t="str">
        <f>IF(Application!T189="","",Application!T189)</f>
        <v>Santa Cruz</v>
      </c>
    </row>
    <row r="111" spans="2:9" ht="15" customHeight="1">
      <c r="E111" s="1124"/>
      <c r="G111" s="1116"/>
    </row>
    <row r="112" spans="2:9" ht="15" customHeight="1">
      <c r="E112" s="1124" t="str">
        <f>"2-Bedroom "&amp;G110&amp;" County Basis Limit"</f>
        <v>2-Bedroom Santa Cruz County Basis Limit</v>
      </c>
      <c r="G112" s="1116">
        <f>Application!R987</f>
        <v>538400</v>
      </c>
    </row>
    <row r="113" spans="4:9" ht="15" customHeight="1">
      <c r="E113" s="1124" t="s">
        <v>2310</v>
      </c>
      <c r="G113" s="1116">
        <f>MEDIAN((Application!BR806:BR863))</f>
        <v>489600</v>
      </c>
    </row>
    <row r="114" spans="4:9" ht="15" customHeight="1">
      <c r="D114" s="1081"/>
      <c r="E114" s="1160" t="s">
        <v>2312</v>
      </c>
      <c r="F114" s="1176"/>
      <c r="G114" s="1177">
        <f>((G112-G113)/G113)*0.25</f>
        <v>2.4918300653594773E-2</v>
      </c>
      <c r="H114" s="1077"/>
      <c r="I114" s="1077"/>
    </row>
    <row r="115" spans="4:9" ht="1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Kate Blessing-Kawamura</cp:lastModifiedBy>
  <cp:lastPrinted>2024-04-19T18:35:17Z</cp:lastPrinted>
  <dcterms:created xsi:type="dcterms:W3CDTF">2007-12-27T18:26:28Z</dcterms:created>
  <dcterms:modified xsi:type="dcterms:W3CDTF">2024-04-19T21:17:15Z</dcterms:modified>
</cp:coreProperties>
</file>